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233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234" i="1" l="1"/>
  <c r="D37" i="14" l="1"/>
  <c r="D5" i="14"/>
  <c r="F15" i="13"/>
  <c r="F29" i="13" l="1"/>
  <c r="C39" i="12"/>
  <c r="B39" i="12"/>
  <c r="B37" i="12"/>
  <c r="E26" i="17"/>
  <c r="E24" i="17"/>
  <c r="E22" i="17"/>
  <c r="C10" i="12" l="1"/>
  <c r="B10" i="12"/>
  <c r="B12" i="12"/>
  <c r="C19" i="12"/>
  <c r="B19" i="12"/>
  <c r="B21" i="12"/>
  <c r="B20" i="12"/>
  <c r="B36" i="16" l="1"/>
  <c r="E30" i="17"/>
  <c r="J605" i="1" l="1"/>
  <c r="H605" i="1"/>
  <c r="H244" i="1" l="1"/>
  <c r="H208" i="1"/>
  <c r="I203" i="1"/>
  <c r="G203" i="1"/>
  <c r="G201" i="1"/>
  <c r="F199" i="1"/>
  <c r="F234" i="1" l="1"/>
  <c r="H209" i="1"/>
  <c r="F244" i="1"/>
  <c r="I208" i="1"/>
  <c r="K206" i="1"/>
  <c r="J206" i="1"/>
  <c r="F206" i="1"/>
  <c r="I240" i="1"/>
  <c r="H240" i="1"/>
  <c r="F240" i="1"/>
  <c r="G204" i="1"/>
  <c r="F204" i="1"/>
  <c r="K239" i="1"/>
  <c r="K203" i="1"/>
  <c r="H203" i="1"/>
  <c r="F203" i="1"/>
  <c r="I237" i="1"/>
  <c r="H237" i="1"/>
  <c r="F201" i="1"/>
  <c r="F237" i="1"/>
  <c r="I201" i="1"/>
  <c r="H201" i="1"/>
  <c r="I235" i="1"/>
  <c r="G235" i="1"/>
  <c r="F235" i="1"/>
  <c r="I199" i="1"/>
  <c r="H199" i="1"/>
  <c r="G199" i="1"/>
  <c r="K234" i="1"/>
  <c r="J234" i="1"/>
  <c r="J198" i="1"/>
  <c r="I198" i="1" l="1"/>
  <c r="H198" i="1"/>
  <c r="G198" i="1"/>
  <c r="G234" i="1"/>
  <c r="F198" i="1"/>
  <c r="F208" i="1"/>
  <c r="H245" i="1"/>
  <c r="H361" i="1" l="1"/>
  <c r="H359" i="1"/>
  <c r="G473" i="1"/>
  <c r="G469" i="1"/>
  <c r="G612" i="1" l="1"/>
  <c r="G614" i="1"/>
  <c r="F614" i="1"/>
  <c r="F612" i="1"/>
  <c r="H595" i="1"/>
  <c r="J592" i="1"/>
  <c r="H592" i="1"/>
  <c r="F583" i="1"/>
  <c r="F532" i="1"/>
  <c r="K532" i="1"/>
  <c r="F534" i="1"/>
  <c r="I532" i="1"/>
  <c r="H534" i="1"/>
  <c r="H532" i="1"/>
  <c r="G534" i="1"/>
  <c r="G532" i="1"/>
  <c r="G527" i="1"/>
  <c r="F527" i="1"/>
  <c r="G522" i="1"/>
  <c r="I527" i="1"/>
  <c r="H527" i="1"/>
  <c r="H529" i="1"/>
  <c r="I529" i="1"/>
  <c r="J527" i="1"/>
  <c r="F529" i="1"/>
  <c r="H522" i="1"/>
  <c r="I524" i="1"/>
  <c r="G524" i="1"/>
  <c r="F524" i="1"/>
  <c r="I522" i="1"/>
  <c r="J522" i="1"/>
  <c r="F522" i="1"/>
  <c r="I325" i="1"/>
  <c r="G325" i="1" l="1"/>
  <c r="F325" i="1"/>
  <c r="G323" i="1"/>
  <c r="I320" i="1"/>
  <c r="G282" i="1"/>
  <c r="F282" i="1"/>
  <c r="G252" i="1"/>
  <c r="J203" i="1" l="1"/>
  <c r="H157" i="1" l="1"/>
  <c r="H159" i="1"/>
  <c r="H162" i="1"/>
  <c r="G158" i="1"/>
  <c r="F12" i="1" l="1"/>
  <c r="F30" i="1" l="1"/>
  <c r="G653" i="1" l="1"/>
  <c r="E7" i="17" l="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C12" i="10" s="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E110" i="2" s="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E121" i="2" s="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I409" i="1" s="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G652" i="1"/>
  <c r="H653" i="1"/>
  <c r="G654" i="1"/>
  <c r="H654" i="1"/>
  <c r="G655" i="1"/>
  <c r="H655" i="1"/>
  <c r="H656" i="1"/>
  <c r="J656" i="1" s="1"/>
  <c r="G62" i="2"/>
  <c r="I170" i="1"/>
  <c r="G477" i="1"/>
  <c r="H409" i="1" l="1"/>
  <c r="H645" i="1" s="1"/>
  <c r="J645" i="1" s="1"/>
  <c r="G646" i="1"/>
  <c r="J652" i="1"/>
  <c r="G553" i="1"/>
  <c r="H477" i="1"/>
  <c r="H625" i="1" s="1"/>
  <c r="J625" i="1" s="1"/>
  <c r="G409" i="1"/>
  <c r="H646" i="1" s="1"/>
  <c r="G662" i="1"/>
  <c r="E123" i="2"/>
  <c r="E119" i="2"/>
  <c r="G339" i="1"/>
  <c r="G353" i="1" s="1"/>
  <c r="H663" i="1"/>
  <c r="C121" i="2"/>
  <c r="C120" i="2"/>
  <c r="C119" i="2"/>
  <c r="D6" i="13"/>
  <c r="C6" i="13" s="1"/>
  <c r="C13" i="10"/>
  <c r="C112" i="2"/>
  <c r="A40" i="12"/>
  <c r="C110" i="2"/>
  <c r="J258" i="1"/>
  <c r="F258" i="1"/>
  <c r="F272" i="1" s="1"/>
  <c r="C20" i="10"/>
  <c r="I370" i="1"/>
  <c r="H635" i="1" s="1"/>
  <c r="J635" i="1" s="1"/>
  <c r="L257" i="1"/>
  <c r="H193" i="1"/>
  <c r="H194" i="1" s="1"/>
  <c r="G630" i="1" s="1"/>
  <c r="J630" i="1" s="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C141" i="2" l="1"/>
  <c r="C144" i="2" s="1"/>
  <c r="I663" i="1"/>
  <c r="E128" i="2"/>
  <c r="E115" i="2"/>
  <c r="H649" i="1"/>
  <c r="J649" i="1" s="1"/>
  <c r="F661" i="1"/>
  <c r="F665" i="1" s="1"/>
  <c r="F668" i="1" s="1"/>
  <c r="J272" i="1"/>
  <c r="H661" i="1"/>
  <c r="H665" i="1" s="1"/>
  <c r="H668" i="1" s="1"/>
  <c r="C81" i="2"/>
  <c r="F194" i="1"/>
  <c r="G628" i="1" s="1"/>
  <c r="J628" i="1" s="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<sst xmlns="http://schemas.openxmlformats.org/spreadsheetml/2006/main" count="5577" uniqueCount="1677">
  <si>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</si>
  <si>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</si>
  <si>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</si>
  <si>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</si>
  <si>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</si>
  <si>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</si>
  <si>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</si>
  <si>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</si>
  <si>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</si>
  <si>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</si>
  <si>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</si>
  <si>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</si>
  <si>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</si>
  <si>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</si>
  <si>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</si>
  <si>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</si>
  <si>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</si>
  <si>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</si>
  <si>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</si>
  <si>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</si>
  <si>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</si>
  <si>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</si>
  <si>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</si>
  <si>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</si>
  <si>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</si>
  <si>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</si>
  <si>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</si>
  <si>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</si>
  <si>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</si>
  <si>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</si>
  <si>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</si>
  <si>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</si>
  <si>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</si>
  <si>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</si>
  <si>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</si>
  <si>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</si>
  <si>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</si>
  <si>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</si>
  <si>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</si>
  <si>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</si>
  <si>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</si>
  <si>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</si>
  <si>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</si>
  <si>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</si>
  <si>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</si>
  <si>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</si>
  <si>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</si>
  <si>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</si>
  <si>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</si>
  <si>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</si>
  <si>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</si>
  <si>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</si>
  <si>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</si>
  <si>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</si>
  <si>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</si>
  <si>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</si>
  <si>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</si>
  <si>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</si>
  <si>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</si>
  <si>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</si>
  <si>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</si>
  <si>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</si>
  <si>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</si>
  <si>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</si>
  <si>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</si>
  <si>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</si>
  <si>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</si>
  <si>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</si>
  <si>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</si>
  <si>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</si>
  <si>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</si>
  <si>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</si>
  <si>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</si>
  <si>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</si>
  <si>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</si>
  <si>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</si>
  <si>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</si>
  <si>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</si>
  <si>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</si>
  <si>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</si>
  <si>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</si>
  <si>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</si>
  <si>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</si>
  <si>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</si>
  <si>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</si>
  <si>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</si>
  <si>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</si>
  <si>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</si>
  <si>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</si>
  <si>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</si>
  <si>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</si>
  <si>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</si>
  <si>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</si>
  <si>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</si>
  <si>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</si>
  <si>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</si>
  <si>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</si>
  <si>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</si>
  <si>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</si>
  <si>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</si>
  <si>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</si>
  <si>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</si>
  <si>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</si>
  <si>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</si>
  <si>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</si>
  <si>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</si>
  <si>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</si>
  <si>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</si>
  <si>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</si>
  <si>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</si>
  <si>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</si>
  <si>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</si>
  <si>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</si>
  <si>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</si>
  <si>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</si>
  <si>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</si>
  <si>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</si>
  <si>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</si>
  <si>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</si>
  <si>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</si>
  <si>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</si>
  <si>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</si>
  <si>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</si>
  <si>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</si>
  <si>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</si>
  <si>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</si>
  <si>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</si>
  <si>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</si>
  <si>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</si>
  <si>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</si>
  <si>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</si>
  <si>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</si>
  <si>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</si>
  <si>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</si>
  <si>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</si>
  <si>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</si>
  <si>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</si>
  <si>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</si>
  <si>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</si>
  <si>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</si>
  <si>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</si>
  <si>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</si>
  <si>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</si>
  <si>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</si>
  <si>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</si>
  <si>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</si>
  <si>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</si>
  <si>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</si>
  <si>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</si>
  <si>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</si>
  <si>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</si>
  <si>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</si>
  <si>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</si>
  <si>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</si>
  <si>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</si>
  <si>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</si>
  <si>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</si>
  <si>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</si>
  <si>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</si>
  <si>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</si>
  <si>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</si>
  <si>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</si>
  <si>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</si>
  <si>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</si>
  <si>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</si>
  <si>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</si>
  <si>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</si>
  <si>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</si>
  <si>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</si>
  <si>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</si>
  <si>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</si>
  <si>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</si>
  <si>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</si>
  <si>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</si>
  <si>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</si>
  <si>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</si>
  <si>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</si>
  <si>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</si>
  <si>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</si>
  <si>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</si>
  <si>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</si>
  <si>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</si>
  <si>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</si>
  <si>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</si>
  <si>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</si>
  <si>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</si>
  <si>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</si>
  <si>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</si>
  <si>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</si>
  <si>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</si>
  <si>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</si>
  <si>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</si>
  <si>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</si>
  <si>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</si>
  <si>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</si>
  <si>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</si>
  <si>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</si>
  <si>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</si>
  <si>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</si>
  <si>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</si>
  <si>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</si>
  <si>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</si>
  <si>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</si>
  <si>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</si>
  <si>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</si>
  <si>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</si>
  <si>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</si>
  <si>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</si>
  <si>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</si>
  <si>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</si>
  <si>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</si>
  <si>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</si>
  <si>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</si>
  <si>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</si>
  <si>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</si>
  <si>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</si>
  <si>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</si>
  <si>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</si>
  <si>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</si>
  <si>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</si>
  <si>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</si>
  <si>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</si>
  <si>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</si>
  <si>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</si>
  <si>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</si>
  <si>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</si>
  <si>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</si>
  <si>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</si>
  <si>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</si>
  <si>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</si>
  <si>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</si>
  <si>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</si>
  <si>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</si>
  <si>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</si>
  <si>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</si>
  <si>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</si>
  <si>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</si>
  <si>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</si>
  <si>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</si>
  <si>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</si>
  <si>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</si>
  <si>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</si>
  <si>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</si>
  <si>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</si>
  <si>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</si>
  <si>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</si>
  <si>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</si>
  <si>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</si>
  <si>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</si>
  <si>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</si>
  <si>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</si>
  <si>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</si>
  <si>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</si>
  <si>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</si>
  <si>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</si>
  <si>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</si>
  <si>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</si>
  <si>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</si>
  <si>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</si>
  <si>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</si>
  <si>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</si>
  <si>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</si>
  <si>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</si>
  <si>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</si>
  <si>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</si>
  <si>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</si>
  <si>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</si>
  <si>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</si>
  <si>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</si>
  <si>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</si>
  <si>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</si>
  <si>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</si>
  <si>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</si>
  <si>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</si>
  <si>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</si>
  <si>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</si>
  <si>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</si>
  <si>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</si>
  <si>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</si>
  <si>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</si>
  <si>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</si>
  <si>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</si>
  <si>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</si>
  <si>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</si>
  <si>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</si>
  <si>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</si>
  <si>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</si>
  <si>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</si>
  <si>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</si>
  <si>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</si>
  <si>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</si>
  <si>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</si>
  <si>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</si>
  <si>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</si>
  <si>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</si>
  <si>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</si>
  <si>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</si>
  <si>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</si>
  <si>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</si>
  <si>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</si>
  <si>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</si>
  <si>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</si>
  <si>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</si>
  <si>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</si>
  <si>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</si>
  <si>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</si>
  <si>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</si>
  <si>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</si>
  <si>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</si>
  <si>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</si>
  <si>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</si>
  <si>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</si>
  <si>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</si>
  <si>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</si>
  <si>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</si>
  <si>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</si>
  <si>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</si>
  <si>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</si>
  <si>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</si>
  <si>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</si>
  <si>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</si>
  <si>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</si>
  <si>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</si>
  <si>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</si>
  <si>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</si>
  <si>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</si>
  <si>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</si>
  <si>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</si>
  <si>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</si>
  <si>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</si>
  <si>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</si>
  <si>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</si>
  <si>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</si>
  <si>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</si>
  <si>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</si>
  <si>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</si>
  <si>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</si>
  <si>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</si>
  <si>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</si>
  <si>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</si>
  <si>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</si>
  <si>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</si>
  <si>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</si>
  <si>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</si>
  <si>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</si>
  <si>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</si>
  <si>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</si>
  <si>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</si>
  <si>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</si>
  <si>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</si>
  <si>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</si>
  <si>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</si>
  <si>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</si>
  <si>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</si>
  <si>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</si>
  <si>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</si>
  <si>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</si>
  <si>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</si>
  <si>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</si>
  <si>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</si>
  <si>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</si>
  <si>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</si>
  <si>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</si>
  <si>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</si>
  <si>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</si>
  <si>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</si>
  <si>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</si>
  <si>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</si>
  <si>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</si>
  <si>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</si>
  <si>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</si>
  <si>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</si>
  <si>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</si>
  <si>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</si>
  <si>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</si>
  <si>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</si>
  <si>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</si>
  <si>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</si>
  <si>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</si>
  <si>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</si>
  <si>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</si>
  <si>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</si>
  <si>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</si>
  <si>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</si>
  <si>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</si>
  <si>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</si>
  <si>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</si>
  <si>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</si>
  <si>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</si>
  <si>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</si>
  <si>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</si>
  <si>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</si>
  <si>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</si>
  <si>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</si>
  <si>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</si>
  <si>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</si>
  <si>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</si>
  <si>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</si>
  <si>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</si>
  <si>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</si>
  <si>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</si>
  <si>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</si>
  <si>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</si>
  <si>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</si>
  <si>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</si>
  <si>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</si>
  <si>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</si>
  <si>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</si>
  <si>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</si>
  <si>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</si>
  <si>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</si>
  <si>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</si>
  <si>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</si>
  <si>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</si>
  <si>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</si>
  <si>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</si>
  <si>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</si>
  <si>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</si>
  <si>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</si>
  <si>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</si>
  <si>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</si>
  <si>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</si>
  <si>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</si>
  <si>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</si>
  <si>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</si>
  <si>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</si>
  <si>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</si>
  <si>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</si>
  <si>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</si>
  <si>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</si>
  <si>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</si>
  <si>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</si>
  <si>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</si>
  <si>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</si>
  <si>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</si>
  <si>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</si>
  <si>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</si>
  <si>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</si>
  <si>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</si>
  <si>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</si>
  <si>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</si>
  <si>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</si>
  <si>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</si>
  <si>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</si>
  <si>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</si>
  <si>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</si>
  <si>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</si>
  <si>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</si>
  <si>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</si>
  <si>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</si>
  <si>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</si>
  <si>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</si>
  <si>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</si>
  <si>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</si>
  <si>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</si>
  <si>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</si>
  <si>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</si>
  <si>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</si>
  <si>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</si>
  <si>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</si>
  <si>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</si>
  <si>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</si>
  <si>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</si>
  <si>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</si>
  <si>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</si>
  <si>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</si>
  <si>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</si>
  <si>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</si>
  <si>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</si>
  <si>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</si>
  <si>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</si>
  <si>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</si>
  <si>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</si>
  <si>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</si>
  <si>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</si>
  <si>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</si>
  <si>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</si>
  <si>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</si>
  <si>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</si>
  <si>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</si>
  <si>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</si>
  <si>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</si>
  <si>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</si>
  <si>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</si>
  <si>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</si>
  <si>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</si>
  <si>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</si>
  <si>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</si>
  <si>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</si>
  <si>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</si>
  <si>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</si>
  <si>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</si>
  <si>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</si>
  <si>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</si>
  <si>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</si>
  <si>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</si>
  <si>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</si>
  <si>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</si>
  <si>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</si>
  <si>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</si>
  <si>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</si>
  <si>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</si>
  <si>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</si>
  <si>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</si>
  <si>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</si>
  <si>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</si>
  <si>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</si>
  <si>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</si>
  <si>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</si>
  <si>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</si>
  <si>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</si>
  <si>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</si>
  <si>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</si>
  <si>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</si>
  <si>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</si>
  <si>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</si>
  <si>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</si>
  <si>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</si>
  <si>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</si>
  <si>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</si>
  <si>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</si>
  <si>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</si>
  <si>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</si>
  <si>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</si>
  <si>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</si>
  <si>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</si>
  <si>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</si>
  <si>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</si>
  <si>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</si>
  <si>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</si>
  <si>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</si>
  <si>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</si>
  <si>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</si>
  <si>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</si>
  <si>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</si>
  <si>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</si>
  <si>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</si>
  <si>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</si>
  <si>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</si>
  <si>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</si>
  <si>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</si>
  <si>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</si>
  <si>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</si>
  <si>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</si>
  <si>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</si>
  <si>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</si>
  <si>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</si>
  <si>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</si>
  <si>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</si>
  <si>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</si>
  <si>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</si>
  <si>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</si>
  <si>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</si>
  <si>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</si>
  <si>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</si>
  <si>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</si>
  <si>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</si>
  <si>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</si>
  <si>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</si>
  <si>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</si>
  <si>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</si>
  <si>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</si>
  <si>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</si>
  <si>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</si>
  <si>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</si>
  <si>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</si>
  <si>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</si>
  <si>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</si>
  <si>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</si>
  <si>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</si>
  <si>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</si>
  <si>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</si>
  <si>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</si>
  <si>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</si>
  <si>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</si>
  <si>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</si>
  <si>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</si>
  <si>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</si>
  <si>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</si>
  <si>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</si>
  <si>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</si>
  <si>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</si>
  <si>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</si>
  <si>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</si>
  <si>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</si>
  <si>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</si>
  <si>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</si>
  <si>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</si>
  <si>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</si>
  <si>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</si>
  <si>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</si>
  <si>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</si>
  <si>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</si>
  <si>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</si>
  <si>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</si>
  <si>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</si>
  <si>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</si>
  <si>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</si>
  <si>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</si>
  <si>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</si>
  <si>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</si>
  <si>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</si>
  <si>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</si>
  <si>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</si>
  <si>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</si>
  <si>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</si>
  <si>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</si>
  <si>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</si>
  <si>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</si>
  <si>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</si>
  <si>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</si>
  <si>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</si>
  <si>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</si>
  <si>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</si>
  <si>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</si>
  <si>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</si>
  <si>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</si>
  <si>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</si>
  <si>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</si>
  <si>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</si>
  <si>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</si>
  <si>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</si>
  <si>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</si>
  <si>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</si>
  <si>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</si>
  <si>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</si>
  <si>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</si>
  <si>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</si>
  <si>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</si>
  <si>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</si>
  <si>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</si>
  <si>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</si>
  <si>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</si>
  <si>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</si>
  <si>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</si>
  <si>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</si>
  <si>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</si>
  <si>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</si>
  <si>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</si>
  <si>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</si>
  <si>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</si>
  <si>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</si>
  <si>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</si>
  <si>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</si>
  <si>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</si>
  <si>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</si>
  <si>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</si>
  <si>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</si>
  <si>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</si>
  <si>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</si>
  <si>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</si>
  <si>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</si>
  <si>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</si>
  <si>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</si>
  <si>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</si>
  <si>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</si>
  <si>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</si>
  <si>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</si>
  <si>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</si>
  <si>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</si>
  <si>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</si>
  <si>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</si>
  <si>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</si>
  <si>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</si>
  <si>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</si>
  <si>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</si>
  <si>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</si>
  <si>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</si>
  <si>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</si>
  <si>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</si>
  <si>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</si>
  <si>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</si>
  <si>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</si>
  <si>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</si>
  <si>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</si>
  <si>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</si>
  <si>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</si>
  <si>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</si>
  <si>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</si>
  <si>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</si>
  <si>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</si>
  <si>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</si>
  <si>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</si>
  <si>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</si>
  <si>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</si>
  <si>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</si>
  <si>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</si>
  <si>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</si>
  <si>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</si>
  <si>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</si>
  <si>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</si>
  <si>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</si>
  <si>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</si>
  <si>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</si>
  <si>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</si>
  <si>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</si>
  <si>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</si>
  <si>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</si>
  <si>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</si>
  <si>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</si>
  <si>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</si>
  <si>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</si>
  <si>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</si>
  <si>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</si>
  <si>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</si>
  <si>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</si>
  <si>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</si>
  <si>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</si>
  <si>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</si>
  <si>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</si>
  <si>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</si>
  <si>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</si>
  <si>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</si>
  <si>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</si>
  <si>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</si>
  <si>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</si>
  <si>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</si>
  <si>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</si>
  <si>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</si>
  <si>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</si>
  <si>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</si>
  <si>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</si>
  <si>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</si>
  <si>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</si>
  <si>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</si>
  <si>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</si>
  <si>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</si>
  <si>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</si>
  <si>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</si>
  <si>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</si>
  <si>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</si>
  <si>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</si>
  <si>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</si>
  <si>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</si>
  <si>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</si>
  <si>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</si>
  <si>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</si>
  <si>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</si>
  <si>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</si>
  <si>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</si>
  <si>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</si>
  <si>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</si>
  <si>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</si>
  <si>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</si>
  <si>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</si>
  <si>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</si>
  <si>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</si>
  <si>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</si>
  <si>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</si>
  <si>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</si>
  <si>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</si>
  <si>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</si>
  <si>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</si>
  <si>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</si>
  <si>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</si>
  <si>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</si>
  <si>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</si>
  <si>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</si>
  <si>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</si>
  <si>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</si>
  <si>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</si>
  <si>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</si>
  <si>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</si>
  <si>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</si>
  <si>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</si>
  <si>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</si>
  <si>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</si>
  <si>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</si>
  <si>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</si>
  <si>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</si>
  <si>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</si>
  <si>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</si>
  <si>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</si>
  <si>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</si>
  <si>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</si>
  <si>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</si>
  <si>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</si>
  <si>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</si>
  <si>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</si>
  <si>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</si>
  <si>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</si>
  <si>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</si>
  <si>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</si>
  <si>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</si>
  <si>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</si>
  <si>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</si>
  <si>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</si>
  <si>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</si>
  <si>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</si>
  <si>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</si>
  <si>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</si>
  <si>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</si>
  <si>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</si>
  <si>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</si>
  <si>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</si>
  <si>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</si>
  <si>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</si>
  <si>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</si>
  <si>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</si>
  <si>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</si>
  <si>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</si>
  <si>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</si>
  <si>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</si>
  <si>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</si>
  <si>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</si>
  <si>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</si>
  <si>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</si>
  <si>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</si>
  <si>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</si>
  <si>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</si>
  <si>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</si>
  <si>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</si>
  <si>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</si>
  <si>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</si>
  <si>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</si>
  <si>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</si>
  <si>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</si>
  <si>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</si>
  <si>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</si>
  <si>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</si>
  <si>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</si>
  <si>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</si>
  <si>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</si>
  <si>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</si>
  <si>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</si>
  <si>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</si>
  <si>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</si>
  <si>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</si>
  <si>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</si>
  <si>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</si>
  <si>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</si>
  <si>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</si>
  <si>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</si>
  <si>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</si>
  <si>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</si>
  <si>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</si>
  <si>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</si>
  <si>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</si>
  <si>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</si>
  <si>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</si>
  <si>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</si>
  <si>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</si>
  <si>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</si>
  <si>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</si>
  <si>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</si>
  <si>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</si>
  <si>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</si>
  <si>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</si>
  <si>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</si>
  <si>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</si>
  <si>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</si>
  <si>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</si>
  <si>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</si>
  <si>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</si>
  <si>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</si>
  <si>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</si>
  <si>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</si>
  <si>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</si>
  <si>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</si>
  <si>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</si>
  <si>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</si>
  <si>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</si>
  <si>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</si>
  <si>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</si>
  <si>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</si>
  <si>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</si>
  <si>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</si>
  <si>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</si>
  <si>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</si>
  <si>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</si>
  <si>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</si>
  <si>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</si>
  <si>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</si>
  <si>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</si>
  <si>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</si>
  <si>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</si>
  <si>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</si>
  <si>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</si>
  <si>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</si>
  <si>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</si>
  <si>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</si>
  <si>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</si>
  <si>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</si>
  <si>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</si>
  <si>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</si>
  <si>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</si>
  <si>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</si>
  <si>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</si>
  <si>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</si>
  <si>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</si>
  <si>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</si>
  <si>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</si>
  <si>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</si>
  <si>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</si>
  <si>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</si>
  <si>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</si>
  <si>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</si>
  <si>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</si>
  <si>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</si>
  <si>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</si>
  <si>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</si>
  <si>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</si>
  <si>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</si>
  <si>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</si>
  <si>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</si>
  <si>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</si>
  <si>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</si>
  <si>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</si>
  <si>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</si>
  <si>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</si>
  <si>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</si>
  <si>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</si>
  <si>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</si>
  <si>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</si>
  <si>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</si>
  <si>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</si>
  <si>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</si>
  <si>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</si>
  <si>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</si>
  <si>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</si>
  <si>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</si>
  <si>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</si>
  <si>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</si>
  <si>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</si>
  <si>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</si>
  <si>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</si>
  <si>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</si>
  <si>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</si>
  <si>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</si>
  <si>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</si>
  <si>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</si>
  <si>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</si>
  <si>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</si>
  <si>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</si>
  <si>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</si>
  <si>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</si>
  <si>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</si>
  <si>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</si>
  <si>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</si>
  <si>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</si>
  <si>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</si>
  <si>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</si>
  <si>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</si>
  <si>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</si>
  <si>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</si>
  <si>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</si>
  <si>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</si>
  <si>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</si>
  <si>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</si>
  <si>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</si>
  <si>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</si>
  <si>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</si>
  <si>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</si>
  <si>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</si>
  <si>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</si>
  <si>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</si>
  <si>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</si>
  <si>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</si>
  <si>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</si>
  <si>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</si>
  <si>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</si>
  <si>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</si>
  <si>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</si>
  <si>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</si>
  <si>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</si>
  <si>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</si>
  <si>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</si>
  <si>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</si>
  <si>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</si>
  <si>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</si>
  <si>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</si>
  <si>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</si>
  <si>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</si>
  <si>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</si>
  <si>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</si>
  <si>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</si>
  <si>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</si>
  <si>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</si>
  <si>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</si>
  <si>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</si>
  <si>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</si>
  <si>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</si>
  <si>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</si>
  <si>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</si>
  <si>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</si>
  <si>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</si>
  <si>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</si>
  <si>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</si>
  <si>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</si>
  <si>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</si>
  <si>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</si>
  <si>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</si>
  <si>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</si>
  <si>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</si>
  <si>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</si>
  <si>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</si>
  <si>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</si>
  <si>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</si>
  <si>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</si>
  <si>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</si>
  <si>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</si>
  <si>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</si>
  <si>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</si>
  <si>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</si>
  <si>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</si>
  <si>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</si>
  <si>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</si>
  <si>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</si>
  <si>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</si>
  <si>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</si>
  <si>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</si>
  <si>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</si>
  <si>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</si>
  <si>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</si>
  <si>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</si>
  <si>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</si>
  <si>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</si>
  <si>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</si>
  <si>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</si>
  <si>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</si>
  <si>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</si>
  <si>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</si>
  <si>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</si>
  <si>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</si>
  <si>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</si>
  <si>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</si>
  <si>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</si>
  <si>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</si>
  <si>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</si>
  <si>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</si>
  <si>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</si>
  <si>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</si>
  <si>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</si>
  <si>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</si>
  <si>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</si>
  <si>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</si>
  <si>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</si>
  <si>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</si>
  <si>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</si>
  <si>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</si>
  <si>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</si>
  <si>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</si>
  <si>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</si>
  <si>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</si>
  <si>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</si>
  <si>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</si>
  <si>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</si>
  <si>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</si>
  <si>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</si>
  <si>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</si>
  <si>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</si>
  <si>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</si>
  <si>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</si>
  <si>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</si>
  <si>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</si>
  <si>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</si>
  <si>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</si>
  <si>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</si>
  <si>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</si>
  <si>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</si>
  <si>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</si>
  <si>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</si>
  <si>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</si>
  <si>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</si>
  <si>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</si>
  <si>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</si>
  <si>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</si>
  <si>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</si>
  <si>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</si>
  <si>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</si>
  <si>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</si>
  <si>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</si>
  <si>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</si>
  <si>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</si>
  <si>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</si>
  <si>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</si>
  <si>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</si>
  <si>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</si>
  <si>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</si>
  <si>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</si>
  <si>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</si>
  <si>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</si>
  <si>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</si>
  <si>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</si>
  <si>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</si>
  <si>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</si>
  <si>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</si>
  <si>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</si>
  <si>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</si>
  <si>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</si>
  <si>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</si>
  <si>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</si>
  <si>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</si>
  <si>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</si>
  <si>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</si>
  <si>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</si>
  <si>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</si>
  <si>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</si>
  <si>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</si>
  <si>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</si>
  <si>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</si>
  <si>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</si>
  <si>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</si>
  <si>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</si>
  <si>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</si>
  <si>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</si>
  <si>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</si>
  <si>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</si>
  <si>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</si>
  <si>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</si>
  <si>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</si>
  <si>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</si>
  <si>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</si>
  <si>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</si>
  <si>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</si>
  <si>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</si>
  <si>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</si>
  <si>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</si>
  <si>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</si>
  <si>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</si>
  <si>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</si>
  <si>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</si>
  <si>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</si>
  <si>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</si>
  <si>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</si>
  <si>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</si>
  <si>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</si>
  <si>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</si>
  <si>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</si>
  <si>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</si>
  <si>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</si>
  <si>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</si>
  <si>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</si>
  <si>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</si>
  <si>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</si>
  <si>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</si>
  <si>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</si>
  <si>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</si>
  <si>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</si>
  <si>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</si>
  <si>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</si>
  <si>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</si>
  <si>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</si>
  <si>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</si>
  <si>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</si>
  <si>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</si>
  <si>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</si>
  <si>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</si>
  <si>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</si>
  <si>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</si>
  <si>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</si>
  <si>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</si>
  <si>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</si>
  <si>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</si>
  <si>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</si>
  <si>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</si>
  <si>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</si>
  <si>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</si>
  <si>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</si>
  <si>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</si>
  <si>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</si>
  <si>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</si>
  <si>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</si>
  <si>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</si>
  <si>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</si>
  <si>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</si>
  <si>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</si>
  <si>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</si>
  <si>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</si>
  <si>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</si>
  <si>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</si>
  <si>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</si>
  <si>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</si>
  <si>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</si>
  <si>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</si>
  <si>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</si>
  <si>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</si>
  <si>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</si>
  <si>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</si>
  <si>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</si>
  <si>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</si>
  <si>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</si>
  <si>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</si>
  <si>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</si>
  <si>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</si>
  <si>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</si>
  <si>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</si>
  <si>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</si>
  <si>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</si>
  <si>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</si>
  <si>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</si>
  <si>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</si>
  <si>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</si>
  <si>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</si>
  <si>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</si>
  <si>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</si>
  <si>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</si>
  <si>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</si>
  <si>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</si>
  <si>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</si>
  <si>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</si>
  <si>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</si>
  <si>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</si>
  <si>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</si>
  <si>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</si>
  <si>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</si>
  <si>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</si>
  <si>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</si>
  <si>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</si>
  <si>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</si>
  <si>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</si>
  <si>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</si>
  <si>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</si>
  <si>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</si>
  <si>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</si>
  <si>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</si>
  <si>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</si>
  <si>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</si>
  <si>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</si>
  <si>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</si>
  <si>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</si>
  <si>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</si>
  <si>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</si>
  <si>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</si>
  <si>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</si>
  <si>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</si>
  <si>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</si>
  <si>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</si>
  <si>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</si>
  <si>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</si>
  <si>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</si>
  <si>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</si>
  <si>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</si>
  <si>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</si>
  <si>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</si>
  <si>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</si>
  <si>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</si>
  <si>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</si>
  <si>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</si>
  <si>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</si>
  <si>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</si>
  <si>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</si>
  <si>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</si>
  <si>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</si>
  <si>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</si>
  <si>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</si>
  <si>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</si>
  <si>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</si>
  <si>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</si>
  <si>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</si>
  <si>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</si>
  <si>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</si>
  <si>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</si>
  <si>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</si>
  <si>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</si>
  <si>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</si>
  <si>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</si>
  <si>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</si>
  <si>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</si>
  <si>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</si>
  <si>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</si>
  <si>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</si>
  <si>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</si>
  <si>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</si>
  <si>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</si>
  <si>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</si>
  <si>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</si>
  <si>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</si>
  <si>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</si>
  <si>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</si>
  <si>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</si>
  <si>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</si>
  <si>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</si>
  <si>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</si>
  <si>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</si>
  <si>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</si>
  <si>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</si>
  <si>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</si>
  <si>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</si>
  <si>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</si>
  <si>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</si>
  <si>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</si>
  <si>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</si>
  <si>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</si>
  <si>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</si>
  <si>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</si>
  <si>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</si>
  <si>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</si>
  <si>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</si>
  <si>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</si>
  <si>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</si>
  <si>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</si>
  <si>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</si>
  <si>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</si>
  <si>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</si>
  <si>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</si>
  <si>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</si>
  <si>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</si>
  <si>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</si>
  <si>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</si>
  <si>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</si>
  <si>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</si>
  <si>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</si>
  <si>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</si>
  <si>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</si>
  <si>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</si>
  <si>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</si>
  <si>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</si>
  <si>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</si>
  <si>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</si>
  <si>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</si>
  <si>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</si>
  <si>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</si>
  <si>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</si>
  <si>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</si>
  <si>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</si>
  <si>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</si>
  <si>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</si>
  <si>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</si>
  <si>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</si>
  <si>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</si>
  <si>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</si>
  <si>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</si>
  <si>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</si>
  <si>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</si>
  <si>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</si>
  <si>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</si>
  <si>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</si>
  <si>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</si>
  <si>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</si>
  <si>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</si>
  <si>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</si>
  <si>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</si>
  <si>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</si>
  <si>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</si>
  <si>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</si>
  <si>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</si>
  <si>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</si>
  <si>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</si>
  <si>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</si>
  <si>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</si>
  <si>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</si>
  <si>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</si>
  <si>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</si>
  <si>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</si>
  <si>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</si>
  <si>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</si>
  <si>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</si>
  <si>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</si>
  <si>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</si>
  <si>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</si>
  <si>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</si>
  <si>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</si>
  <si>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</si>
  <si>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</si>
  <si>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</si>
  <si>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</si>
  <si>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</si>
  <si>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</si>
  <si>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</si>
  <si>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</si>
  <si>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</si>
  <si>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</si>
  <si>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</si>
  <si>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</si>
  <si>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</si>
  <si>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</si>
  <si>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</si>
  <si>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</si>
  <si>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</si>
  <si>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</si>
  <si>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</si>
  <si>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</si>
  <si>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</si>
  <si>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</si>
  <si>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</si>
  <si>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</si>
  <si>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</si>
  <si>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</si>
  <si>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</si>
  <si>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</si>
  <si>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</si>
  <si>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</si>
  <si>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</si>
  <si>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</si>
  <si>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</si>
  <si>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</si>
  <si>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</si>
  <si>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</si>
  <si>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</si>
  <si>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</si>
  <si>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</si>
  <si>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</si>
  <si>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</si>
  <si>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</si>
  <si>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</si>
  <si>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</si>
  <si>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</si>
  <si>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</si>
  <si>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</si>
  <si>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</si>
  <si>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</si>
  <si>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</si>
  <si>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</si>
  <si>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</si>
  <si>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</si>
  <si>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</si>
  <si>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</si>
  <si>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</si>
  <si>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</si>
  <si>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</si>
  <si>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</si>
  <si>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</si>
  <si>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</si>
  <si>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</si>
  <si>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</si>
  <si>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</si>
  <si>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</si>
  <si>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</si>
  <si>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</si>
  <si>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</si>
  <si>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</si>
  <si>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</si>
  <si>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</si>
  <si>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</si>
  <si>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</si>
  <si>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</si>
  <si>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</si>
  <si>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</si>
  <si>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</si>
  <si>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</si>
  <si>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</si>
  <si>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</si>
  <si>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</si>
  <si>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</si>
  <si>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</si>
  <si>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</si>
  <si>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</si>
  <si>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</si>
  <si>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</si>
  <si>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</si>
  <si>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</si>
  <si>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</si>
  <si>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</si>
  <si>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</si>
  <si>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</si>
  <si>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</si>
  <si>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</si>
  <si>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</si>
  <si>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</si>
  <si>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</si>
  <si>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</si>
  <si>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</si>
  <si>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</si>
  <si>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</si>
  <si>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</si>
  <si>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</si>
  <si>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</si>
  <si>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</si>
  <si>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</si>
  <si>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</si>
  <si>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</si>
  <si>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</si>
  <si>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</si>
  <si>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</si>
  <si>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</si>
  <si>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</si>
  <si>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</si>
  <si>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</si>
  <si>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</si>
  <si>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</si>
  <si>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</si>
  <si>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</si>
  <si>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</si>
  <si>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</si>
  <si>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</si>
  <si>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</si>
  <si>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</si>
  <si>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</si>
  <si>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</si>
  <si>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</si>
  <si>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</si>
  <si>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</si>
  <si>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</si>
  <si>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</si>
  <si>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</si>
  <si>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</si>
  <si>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</si>
  <si>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</si>
  <si>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</si>
  <si>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</si>
  <si>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</si>
  <si>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</si>
  <si>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</si>
  <si>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</si>
  <si>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</si>
  <si>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</si>
  <si>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</si>
  <si>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</si>
  <si>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</si>
  <si>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</si>
  <si>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</si>
  <si>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</si>
  <si>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</si>
  <si>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</si>
  <si>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</si>
  <si>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</si>
  <si>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</si>
  <si>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</si>
  <si>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</si>
  <si>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</si>
  <si>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</si>
  <si>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</si>
  <si>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</si>
  <si>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</si>
  <si>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</si>
  <si>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</si>
  <si>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</si>
  <si>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</si>
  <si>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</si>
  <si>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</si>
  <si>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</si>
  <si>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</si>
  <si>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</si>
  <si>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</si>
  <si>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</si>
  <si>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</si>
  <si>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</si>
  <si>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</si>
  <si>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</si>
  <si>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</si>
  <si>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</si>
  <si>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</si>
  <si>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</si>
  <si>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</si>
  <si>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</si>
  <si>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</si>
  <si>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</si>
  <si>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</si>
  <si>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</si>
  <si>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</si>
  <si>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</si>
  <si>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</si>
  <si>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</si>
  <si>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</si>
  <si>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</si>
  <si>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</si>
  <si>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</si>
  <si>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</si>
  <si>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</si>
  <si>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</si>
  <si>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</si>
  <si>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</si>
  <si>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</si>
  <si>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</si>
  <si>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</si>
  <si>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</si>
  <si>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</si>
  <si>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</si>
  <si>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</si>
  <si>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</si>
  <si>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</si>
  <si>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</si>
  <si>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</si>
  <si>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</si>
  <si>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</si>
  <si>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</si>
  <si>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</si>
  <si>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</si>
  <si>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</si>
  <si>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</si>
  <si>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</si>
  <si>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</si>
  <si>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</si>
  <si>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</si>
  <si>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</si>
  <si>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</si>
  <si>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</si>
  <si>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</si>
  <si>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</si>
  <si>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</si>
  <si>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</si>
  <si>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</si>
  <si>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</si>
  <si>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</si>
  <si>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</si>
  <si>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</si>
  <si>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</si>
  <si>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</si>
  <si>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</si>
  <si>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</si>
  <si>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</si>
  <si>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</si>
  <si>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</si>
  <si>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</si>
  <si>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</si>
  <si>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</si>
  <si>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</si>
  <si>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</si>
  <si>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</si>
  <si>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</si>
  <si>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</si>
  <si>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</si>
  <si>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</si>
  <si>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</si>
  <si>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</si>
  <si>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</si>
  <si>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</si>
  <si>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</si>
  <si>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</si>
  <si>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</si>
  <si>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</si>
  <si>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</si>
  <si>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</si>
  <si>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</si>
  <si>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</si>
  <si>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</si>
  <si>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</si>
  <si>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</si>
  <si>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</si>
  <si>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</si>
  <si>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</si>
  <si>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</si>
  <si>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</si>
  <si>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</si>
  <si>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</si>
  <si>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</si>
  <si>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</si>
  <si>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</si>
  <si>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</si>
  <si>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</si>
  <si>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</si>
  <si>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</si>
  <si>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</si>
  <si>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</si>
  <si>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</si>
  <si>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</si>
  <si>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</si>
  <si>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</si>
  <si>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</si>
  <si>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</si>
  <si>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</si>
  <si>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</si>
  <si>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</si>
  <si>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</si>
  <si>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</si>
  <si>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</si>
  <si>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</si>
  <si>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</si>
  <si>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</si>
  <si>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</si>
  <si>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</si>
  <si>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</si>
  <si>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</si>
  <si>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</si>
  <si>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</si>
  <si>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</si>
  <si>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</si>
  <si>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</si>
  <si>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</si>
  <si>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</si>
  <si>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</si>
  <si>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</si>
  <si>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</si>
  <si>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</si>
  <si>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</si>
  <si>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</si>
  <si>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</si>
  <si>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</si>
  <si>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</si>
  <si>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</si>
  <si>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</si>
  <si>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Northumberland SD</t>
  </si>
  <si>
    <t>CARES Tab  Expenditures</t>
  </si>
  <si>
    <t>this is why I have a larger value in the second field than in the first field.</t>
  </si>
  <si>
    <t xml:space="preserve">In the first field it states to omit several objects.  511 and 512.  These objects are then added back in the next field, </t>
  </si>
  <si>
    <t xml:space="preserve">If needed I will attach my spreadsheet with the breakdown of the object and function codes for the CAREs and SPSRF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</si>
</sst>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10" borderId="0" applyNumberFormat="0" applyBorder="0" applyAlignment="0" applyProtection="0"/>
    <xf numFmtId="0" fontId="55" fillId="11" borderId="0" applyNumberFormat="0" applyBorder="0" applyAlignment="0" applyProtection="0"/>
    <xf numFmtId="0" fontId="56" fillId="12" borderId="0" applyNumberFormat="0" applyBorder="0" applyAlignment="0" applyProtection="0"/>
    <xf numFmtId="0" fontId="57" fillId="13" borderId="31" applyNumberFormat="0" applyAlignment="0" applyProtection="0"/>
    <xf numFmtId="0" fontId="58" fillId="14" borderId="32" applyNumberFormat="0" applyAlignment="0" applyProtection="0"/>
    <xf numFmtId="0" fontId="59" fillId="14" borderId="31" applyNumberFormat="0" applyAlignment="0" applyProtection="0"/>
    <xf numFmtId="0" fontId="60" fillId="0" borderId="33" applyNumberFormat="0" applyFill="0" applyAlignment="0" applyProtection="0"/>
    <xf numFmtId="0" fontId="61" fillId="15"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65" fillId="20" borderId="0" applyNumberFormat="0" applyBorder="0" applyAlignment="0" applyProtection="0"/>
    <xf numFmtId="0" fontId="6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65" fillId="24" borderId="0" applyNumberFormat="0" applyBorder="0" applyAlignment="0" applyProtection="0"/>
    <xf numFmtId="0" fontId="6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65" fillId="28" borderId="0" applyNumberFormat="0" applyBorder="0" applyAlignment="0" applyProtection="0"/>
    <xf numFmtId="0" fontId="65"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65" fillId="32" borderId="0" applyNumberFormat="0" applyBorder="0" applyAlignment="0" applyProtection="0"/>
    <xf numFmtId="0" fontId="65" fillId="33" borderId="0" applyNumberFormat="0" applyBorder="0" applyAlignment="0" applyProtection="0"/>
    <xf numFmtId="0" fontId="5" fillId="34" borderId="0" applyNumberFormat="0" applyBorder="0" applyAlignment="0" applyProtection="0"/>
    <xf numFmtId="0" fontId="5" fillId="35" borderId="0" applyNumberFormat="0" applyBorder="0" applyAlignment="0" applyProtection="0"/>
    <xf numFmtId="0" fontId="65" fillId="36" borderId="0" applyNumberFormat="0" applyBorder="0" applyAlignment="0" applyProtection="0"/>
    <xf numFmtId="0" fontId="65" fillId="37"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65" fillId="40" borderId="0" applyNumberFormat="0" applyBorder="0" applyAlignment="0" applyProtection="0"/>
    <xf numFmtId="0" fontId="5" fillId="0" borderId="0"/>
    <xf numFmtId="0" fontId="66" fillId="0" borderId="0" applyNumberFormat="0" applyFill="0" applyBorder="0" applyAlignment="0" applyProtection="0"/>
    <xf numFmtId="0" fontId="5" fillId="16" borderId="35" applyNumberFormat="0" applyFont="0" applyAlignment="0" applyProtection="0"/>
    <xf numFmtId="0" fontId="4" fillId="0" borderId="0"/>
  </cellStyleXfs>
  <cellXfs count="39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9" fontId="6" fillId="0" borderId="0" xfId="0" applyNumberFormat="1" applyFont="1"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8" borderId="24" xfId="0" applyFont="1" applyFill="1" applyBorder="1" applyAlignment="1">
      <alignment horizontal="center" vertical="center" wrapText="1"/>
    </xf>
    <xf numFmtId="0" fontId="14" fillId="8" borderId="25" xfId="0" applyFont="1" applyFill="1" applyBorder="1" applyAlignment="1">
      <alignment horizontal="center" vertical="center" wrapText="1"/>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9" borderId="0" xfId="0" applyFont="1" applyFill="1" applyProtection="1">
      <protection locked="0"/>
    </xf>
    <xf numFmtId="0" fontId="14"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9" borderId="0" xfId="0" applyFont="1" applyFill="1" applyProtection="1"/>
    <xf numFmtId="0" fontId="0" fillId="9" borderId="0" xfId="0" applyFill="1" applyProtection="1"/>
    <xf numFmtId="0" fontId="14" fillId="9" borderId="0" xfId="0" applyFont="1" applyFill="1" applyProtection="1"/>
    <xf numFmtId="0" fontId="14" fillId="9" borderId="26" xfId="0" applyFont="1" applyFill="1" applyBorder="1" applyAlignment="1" applyProtection="1">
      <alignment horizontal="center"/>
    </xf>
    <xf numFmtId="0" fontId="14" fillId="9" borderId="26" xfId="0" applyFont="1" applyFill="1" applyBorder="1" applyAlignment="1" applyProtection="1">
      <alignment horizontal="center" wrapText="1"/>
    </xf>
    <xf numFmtId="0" fontId="14" fillId="9" borderId="26" xfId="0" applyFont="1" applyFill="1" applyBorder="1" applyProtection="1"/>
    <xf numFmtId="2" fontId="14"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5" fillId="0" borderId="23" xfId="40" applyBorder="1" applyAlignment="1">
      <alignment horizontal="left"/>
    </xf>
    <xf numFmtId="0" fontId="5" fillId="0" borderId="37" xfId="40" applyBorder="1" applyAlignment="1">
      <alignment horizontal="left"/>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1"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1" borderId="0" xfId="0" applyFont="1" applyFill="1"/>
    <xf numFmtId="0" fontId="0" fillId="41" borderId="0" xfId="0" applyFill="1"/>
    <xf numFmtId="0" fontId="41"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4" fillId="0" borderId="0" xfId="43"/>
    <xf numFmtId="0" fontId="4" fillId="41" borderId="0" xfId="43" applyFill="1" applyProtection="1">
      <protection locked="0"/>
    </xf>
    <xf numFmtId="0" fontId="4" fillId="41" borderId="0" xfId="43" applyFill="1" applyBorder="1" applyProtection="1">
      <protection locked="0"/>
    </xf>
    <xf numFmtId="40" fontId="4" fillId="44" borderId="0" xfId="43" applyNumberFormat="1" applyFill="1" applyProtection="1"/>
    <xf numFmtId="0" fontId="64" fillId="45" borderId="0" xfId="43" applyFont="1" applyFill="1"/>
    <xf numFmtId="0" fontId="64" fillId="45" borderId="0" xfId="43" applyFont="1" applyFill="1" applyAlignment="1">
      <alignment horizontal="center"/>
    </xf>
    <xf numFmtId="0" fontId="4" fillId="45" borderId="0" xfId="43" applyFill="1"/>
    <xf numFmtId="0" fontId="4" fillId="45" borderId="0" xfId="43" applyFill="1" applyAlignment="1">
      <alignment horizontal="left"/>
    </xf>
    <xf numFmtId="0" fontId="4" fillId="45" borderId="0" xfId="43" applyFill="1" applyAlignment="1">
      <alignment wrapText="1"/>
    </xf>
    <xf numFmtId="0" fontId="72" fillId="45" borderId="0" xfId="43" applyFont="1" applyFill="1" applyAlignment="1">
      <alignment horizontal="left" vertical="top" readingOrder="1"/>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3" fillId="0" borderId="0" xfId="43" applyFont="1"/>
    <xf numFmtId="0" fontId="2" fillId="41" borderId="0" xfId="43" applyFont="1" applyFill="1" applyProtection="1">
      <protection locked="0"/>
    </xf>
    <xf numFmtId="0" fontId="1" fillId="41" borderId="0" xfId="43" applyFont="1" applyFill="1" applyProtection="1">
      <protection locked="0"/>
    </xf>
    <xf numFmtId="4" fontId="74" fillId="0" borderId="0" xfId="0" applyNumberFormat="1" applyFont="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5" zoomScaleNormal="125" workbookViewId="0">
      <pane xSplit="5" ySplit="3" topLeftCell="F644"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407</v>
      </c>
      <c r="C2" s="21">
        <v>407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-103035.92</v>
      </c>
      <c r="G9" s="18"/>
      <c r="H9" s="18"/>
      <c r="I9" s="18"/>
      <c r="J9" s="67">
        <f>SUM(I440)</f>
        <v>696044.2</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f>9573.19+215550.33</f>
        <v>225123.52</v>
      </c>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592.84</v>
      </c>
      <c r="G14" s="18">
        <v>9573.19</v>
      </c>
      <c r="H14" s="18">
        <v>215550.33</v>
      </c>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122680.43999999999</v>
      </c>
      <c r="G19" s="41">
        <f>SUM(G9:G18)</f>
        <v>9573.19</v>
      </c>
      <c r="H19" s="41">
        <f>SUM(H9:H18)</f>
        <v>215550.33</v>
      </c>
      <c r="I19" s="41">
        <f>SUM(I9:I18)</f>
        <v>0</v>
      </c>
      <c r="J19" s="41">
        <f>SUM(J9:J18)</f>
        <v>696044.2</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v>9573.19</v>
      </c>
      <c r="H22" s="18">
        <v>215550.33</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f>4307.06+7038.29</f>
        <v>11345.35</v>
      </c>
      <c r="G30" s="18"/>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11345.35</v>
      </c>
      <c r="G32" s="41">
        <f>SUM(G22:G31)</f>
        <v>9573.19</v>
      </c>
      <c r="H32" s="41">
        <f>SUM(H22:H31)</f>
        <v>215550.33</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696044.2</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111335.09</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111335.09</v>
      </c>
      <c r="G51" s="41">
        <f>SUM(G35:G50)</f>
        <v>0</v>
      </c>
      <c r="H51" s="41">
        <f>SUM(H35:H50)</f>
        <v>0</v>
      </c>
      <c r="I51" s="41">
        <f>SUM(I35:I50)</f>
        <v>0</v>
      </c>
      <c r="J51" s="41">
        <f>SUM(J35:J50)</f>
        <v>696044.2</v>
      </c>
      <c r="K51" s="45" t="s">
        <v>288</v>
      </c>
      <c r="L51" s="45" t="s">
        <v>288</v>
      </c>
      <c r="N51" s="262"/>
    </row>
    <row r="52" spans="1:14" s="3" customFormat="1" ht="12.2" customHeight="1" thickTop="1" x14ac:dyDescent="0.15">
      <c r="A52" s="38" t="s">
        <v>455</v>
      </c>
      <c r="B52" s="39" t="s">
        <v>289</v>
      </c>
      <c r="C52" s="6">
        <v>37</v>
      </c>
      <c r="D52" s="39" t="s">
        <v>653</v>
      </c>
      <c r="E52" s="39"/>
      <c r="F52" s="41">
        <f>F51+F32</f>
        <v>122680.44</v>
      </c>
      <c r="G52" s="41">
        <f>G51+G32</f>
        <v>9573.19</v>
      </c>
      <c r="H52" s="41">
        <f>H51+H32</f>
        <v>215550.33</v>
      </c>
      <c r="I52" s="41">
        <f>I51+I32</f>
        <v>0</v>
      </c>
      <c r="J52" s="41">
        <f>J51+J32</f>
        <v>696044.2</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1507905</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1507905</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698159.13</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v>152404.65</v>
      </c>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850563.78</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1537.4</v>
      </c>
      <c r="G96" s="18"/>
      <c r="H96" s="18"/>
      <c r="I96" s="18"/>
      <c r="J96" s="18">
        <v>286.95</v>
      </c>
      <c r="K96" s="24" t="s">
        <v>288</v>
      </c>
      <c r="L96" s="24" t="s">
        <v>288</v>
      </c>
      <c r="M96" s="8"/>
      <c r="N96" s="264"/>
    </row>
    <row r="97" spans="1:14" s="3" customFormat="1" ht="12.2" customHeight="1" x14ac:dyDescent="0.15">
      <c r="A97" s="1" t="s">
        <v>503</v>
      </c>
      <c r="B97" s="2" t="s">
        <v>315</v>
      </c>
      <c r="C97" s="6">
        <v>12</v>
      </c>
      <c r="D97" s="2" t="s">
        <v>430</v>
      </c>
      <c r="E97" s="6">
        <v>1600</v>
      </c>
      <c r="F97" s="24" t="s">
        <v>288</v>
      </c>
      <c r="G97" s="18">
        <v>3154.25</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10000</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799.45</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12336.85</v>
      </c>
      <c r="G111" s="41">
        <f>SUM(G96:G110)</f>
        <v>3154.25</v>
      </c>
      <c r="H111" s="41">
        <f>SUM(H96:H110)</f>
        <v>0</v>
      </c>
      <c r="I111" s="41">
        <f>SUM(I96:I110)</f>
        <v>0</v>
      </c>
      <c r="J111" s="41">
        <f>SUM(J96:J110)</f>
        <v>286.95</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2370805.6300000004</v>
      </c>
      <c r="G112" s="41">
        <f>G60+G111</f>
        <v>3154.25</v>
      </c>
      <c r="H112" s="41">
        <f>H60+H79+H94+H111</f>
        <v>0</v>
      </c>
      <c r="I112" s="41">
        <f>I60+I111</f>
        <v>0</v>
      </c>
      <c r="J112" s="41">
        <f>J60+J111</f>
        <v>286.95</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3229378.22</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160032</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3990.42</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3393400.64</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9000</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5814.15</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3359.65</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14814.15</v>
      </c>
      <c r="G136" s="41">
        <f>SUM(G123:G135)</f>
        <v>3359.65</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3408214.79</v>
      </c>
      <c r="G140" s="41">
        <f>G121+SUM(G136:G137)</f>
        <v>3359.65</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182987.15</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227496.94</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f>456.93+34118.89</f>
        <v>34575.82</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f>151380.78+9602.44</f>
        <v>160983.22</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f>100279.22+854.85</f>
        <v>101134.07</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10069.58</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18"/>
      <c r="H162" s="18">
        <f>71147.78+111160.45</f>
        <v>182308.22999999998</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10069.58</v>
      </c>
      <c r="G163" s="41">
        <f>SUM(G150:G162)</f>
        <v>160983.22</v>
      </c>
      <c r="H163" s="41">
        <f>SUM(H150:H162)</f>
        <v>728502.21</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483.84</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10553.42</v>
      </c>
      <c r="G170" s="41">
        <f>G147+G163+SUM(G164:G169)</f>
        <v>160983.22</v>
      </c>
      <c r="H170" s="41">
        <f>H147+H163+SUM(H164:H169)</f>
        <v>728502.21</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v>390.59</v>
      </c>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390.59</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22067.68</v>
      </c>
      <c r="H180" s="18"/>
      <c r="I180" s="18"/>
      <c r="J180" s="18">
        <v>350000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v>6202.49</v>
      </c>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28270.17</v>
      </c>
      <c r="H184" s="41">
        <f>SUM(H180:H183)</f>
        <v>0</v>
      </c>
      <c r="I184" s="41">
        <f>SUM(I180:I183)</f>
        <v>0</v>
      </c>
      <c r="J184" s="41">
        <f>SUM(J180:J183)</f>
        <v>350000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390.59</v>
      </c>
      <c r="G193" s="41">
        <f>G184+SUM(G189:G192)</f>
        <v>28270.17</v>
      </c>
      <c r="H193" s="41">
        <f>+H184+SUM(H189:H192)</f>
        <v>0</v>
      </c>
      <c r="I193" s="41">
        <f>I178+I184+SUM(I189:I192)</f>
        <v>0</v>
      </c>
      <c r="J193" s="41">
        <f>J184</f>
        <v>350000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5789964.4299999997</v>
      </c>
      <c r="G194" s="47">
        <f>G112+G140+G170+G193</f>
        <v>195767.28999999998</v>
      </c>
      <c r="H194" s="47">
        <f>H112+H140+H170+H193</f>
        <v>728502.21</v>
      </c>
      <c r="I194" s="47">
        <f>I112+I140+I170+I193</f>
        <v>0</v>
      </c>
      <c r="J194" s="47">
        <f>J112+J140+J193</f>
        <v>350286.95</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419292.21+273288.51+32027.16+8570.18+22490.13+1154.36+4377.5+3272.5</f>
        <v>764472.55</v>
      </c>
      <c r="G198" s="18">
        <f>162859.53+142793.83</f>
        <v>305653.36</v>
      </c>
      <c r="H198" s="18">
        <f>2496.65+7334.97</f>
        <v>9831.6200000000008</v>
      </c>
      <c r="I198" s="18">
        <f>23472.54+10403.67</f>
        <v>33876.21</v>
      </c>
      <c r="J198" s="18">
        <f>1327.8+3658.77</f>
        <v>4986.57</v>
      </c>
      <c r="K198" s="18">
        <v>150</v>
      </c>
      <c r="L198" s="19">
        <f>SUM(F198:K198)</f>
        <v>1118970.3100000003</v>
      </c>
      <c r="M198" s="8"/>
      <c r="N198" s="264"/>
    </row>
    <row r="199" spans="1:14" s="3" customFormat="1" ht="12.2" customHeight="1" x14ac:dyDescent="0.15">
      <c r="A199" s="1" t="s">
        <v>439</v>
      </c>
      <c r="B199" s="2" t="s">
        <v>341</v>
      </c>
      <c r="C199" s="2" t="s">
        <v>291</v>
      </c>
      <c r="D199" s="2" t="s">
        <v>431</v>
      </c>
      <c r="E199" s="6">
        <v>1200</v>
      </c>
      <c r="F199" s="18">
        <f>232114.73+166457.3</f>
        <v>398572.03</v>
      </c>
      <c r="G199" s="18">
        <f>67341.04+26732.65</f>
        <v>94073.69</v>
      </c>
      <c r="H199" s="18">
        <f>94991.49+7687.8</f>
        <v>102679.29000000001</v>
      </c>
      <c r="I199" s="18">
        <f>1254.38+664.03</f>
        <v>1918.41</v>
      </c>
      <c r="J199" s="18">
        <v>200</v>
      </c>
      <c r="K199" s="18">
        <v>110</v>
      </c>
      <c r="L199" s="19">
        <f>SUM(F199:K199)</f>
        <v>597553.42000000004</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f>11650+7530.8+327.6</f>
        <v>19508.399999999998</v>
      </c>
      <c r="G201" s="18">
        <f>1636.02+1450.46</f>
        <v>3086.48</v>
      </c>
      <c r="H201" s="18">
        <f>940+1657.5</f>
        <v>2597.5</v>
      </c>
      <c r="I201" s="18">
        <f>475.28+2999.57</f>
        <v>3474.8500000000004</v>
      </c>
      <c r="J201" s="18">
        <v>0</v>
      </c>
      <c r="K201" s="18">
        <v>0</v>
      </c>
      <c r="L201" s="19">
        <f>SUM(F201:K201)</f>
        <v>28667.229999999996</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f>121066.72+46626.16</f>
        <v>167692.88</v>
      </c>
      <c r="G203" s="18">
        <f>33952.16+23374.84</f>
        <v>57327</v>
      </c>
      <c r="H203" s="18">
        <f>66408.04+1957.35</f>
        <v>68365.39</v>
      </c>
      <c r="I203" s="18">
        <f>2078.57+1057.55</f>
        <v>3136.12</v>
      </c>
      <c r="J203" s="18">
        <f>336.76+19.85</f>
        <v>356.61</v>
      </c>
      <c r="K203" s="18">
        <f>329+105+129</f>
        <v>563</v>
      </c>
      <c r="L203" s="19">
        <f t="shared" ref="L203:L209" si="0">SUM(F203:K203)</f>
        <v>297441</v>
      </c>
      <c r="M203" s="8"/>
      <c r="N203" s="264"/>
    </row>
    <row r="204" spans="1:14" s="3" customFormat="1" ht="12.2" customHeight="1" x14ac:dyDescent="0.15">
      <c r="A204" s="1" t="s">
        <v>443</v>
      </c>
      <c r="B204" s="2" t="s">
        <v>341</v>
      </c>
      <c r="C204" s="2" t="s">
        <v>295</v>
      </c>
      <c r="D204" s="2" t="s">
        <v>431</v>
      </c>
      <c r="E204" s="6">
        <v>2200</v>
      </c>
      <c r="F204" s="18">
        <f>30679.82+10783.42+6359.45</f>
        <v>47822.689999999995</v>
      </c>
      <c r="G204" s="18">
        <f>13540.86+4834.35+2859.53</f>
        <v>21234.739999999998</v>
      </c>
      <c r="H204" s="18">
        <v>2473.14</v>
      </c>
      <c r="I204" s="18">
        <v>3012.47</v>
      </c>
      <c r="J204" s="18">
        <v>0</v>
      </c>
      <c r="K204" s="18">
        <v>0</v>
      </c>
      <c r="L204" s="19">
        <f t="shared" si="0"/>
        <v>74543.039999999994</v>
      </c>
      <c r="M204" s="8"/>
      <c r="N204" s="264"/>
    </row>
    <row r="205" spans="1:14" s="3" customFormat="1" ht="12.2" customHeight="1" x14ac:dyDescent="0.15">
      <c r="A205" s="1" t="s">
        <v>444</v>
      </c>
      <c r="B205" s="2" t="s">
        <v>341</v>
      </c>
      <c r="C205" s="2" t="s">
        <v>296</v>
      </c>
      <c r="D205" s="2" t="s">
        <v>431</v>
      </c>
      <c r="E205" s="6">
        <v>2300</v>
      </c>
      <c r="F205" s="18">
        <v>4268.8</v>
      </c>
      <c r="G205" s="18">
        <v>423.58</v>
      </c>
      <c r="H205" s="18">
        <v>283105.68</v>
      </c>
      <c r="I205" s="18">
        <v>812.8</v>
      </c>
      <c r="J205" s="18">
        <v>0</v>
      </c>
      <c r="K205" s="18">
        <v>2688.8</v>
      </c>
      <c r="L205" s="19">
        <f t="shared" si="0"/>
        <v>291299.65999999997</v>
      </c>
      <c r="M205" s="8"/>
      <c r="N205" s="264"/>
    </row>
    <row r="206" spans="1:14" s="3" customFormat="1" ht="12.2" customHeight="1" x14ac:dyDescent="0.15">
      <c r="A206" s="1" t="s">
        <v>445</v>
      </c>
      <c r="B206" s="2" t="s">
        <v>341</v>
      </c>
      <c r="C206" s="2" t="s">
        <v>297</v>
      </c>
      <c r="D206" s="2" t="s">
        <v>431</v>
      </c>
      <c r="E206" s="6">
        <v>2400</v>
      </c>
      <c r="F206" s="18">
        <f>145005.83+89429.51</f>
        <v>234435.33999999997</v>
      </c>
      <c r="G206" s="18">
        <v>102070.66</v>
      </c>
      <c r="H206" s="18">
        <v>2235.0500000000002</v>
      </c>
      <c r="I206" s="18">
        <v>21694.55</v>
      </c>
      <c r="J206" s="18">
        <f>1323.14+761.99</f>
        <v>2085.13</v>
      </c>
      <c r="K206" s="18">
        <f>4115+2962.56</f>
        <v>7077.5599999999995</v>
      </c>
      <c r="L206" s="19">
        <f t="shared" si="0"/>
        <v>369598.29</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f>39616.55+32466.41+1755.02+235.8-704.21+387.2+259.25</f>
        <v>74016.02</v>
      </c>
      <c r="G208" s="18">
        <v>32783.360000000001</v>
      </c>
      <c r="H208" s="18">
        <f>67747.41+1032.48</f>
        <v>68779.89</v>
      </c>
      <c r="I208" s="18">
        <f>39919.53+33602.36</f>
        <v>73521.89</v>
      </c>
      <c r="J208" s="18">
        <v>0</v>
      </c>
      <c r="K208" s="18"/>
      <c r="L208" s="19">
        <f t="shared" si="0"/>
        <v>249101.16000000003</v>
      </c>
      <c r="M208" s="8"/>
      <c r="N208" s="264"/>
    </row>
    <row r="209" spans="1:14" s="3" customFormat="1" ht="12.2" customHeight="1" x14ac:dyDescent="0.15">
      <c r="A209" s="1" t="s">
        <v>448</v>
      </c>
      <c r="B209" s="2" t="s">
        <v>341</v>
      </c>
      <c r="C209" s="2" t="s">
        <v>300</v>
      </c>
      <c r="D209" s="2" t="s">
        <v>431</v>
      </c>
      <c r="E209" s="6">
        <v>2700</v>
      </c>
      <c r="F209" s="18"/>
      <c r="G209" s="18"/>
      <c r="H209" s="18">
        <f>38444.01+26051.24+7068.33+2918.8+2317.95+5497.44</f>
        <v>82297.77</v>
      </c>
      <c r="I209" s="18"/>
      <c r="J209" s="18"/>
      <c r="K209" s="18"/>
      <c r="L209" s="19">
        <f t="shared" si="0"/>
        <v>82297.77</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1710788.71</v>
      </c>
      <c r="G212" s="41">
        <f t="shared" si="1"/>
        <v>616652.87</v>
      </c>
      <c r="H212" s="41">
        <f t="shared" si="1"/>
        <v>622365.32999999996</v>
      </c>
      <c r="I212" s="41">
        <f t="shared" si="1"/>
        <v>141447.29999999999</v>
      </c>
      <c r="J212" s="41">
        <f t="shared" si="1"/>
        <v>7628.3099999999995</v>
      </c>
      <c r="K212" s="41">
        <f t="shared" si="1"/>
        <v>10589.36</v>
      </c>
      <c r="L212" s="41">
        <f t="shared" si="1"/>
        <v>3109471.8800000008</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f>724739.82+12735+9268.53+97.87+10608.09+9316.25</f>
        <v>766765.55999999994</v>
      </c>
      <c r="G234" s="18">
        <f>97660.18+3567.14+721.39+58196.16+131215.42+6084.75+5764.97-24.79+1876.62</f>
        <v>305061.84000000003</v>
      </c>
      <c r="H234" s="18">
        <f>3265.03+95.08+586.5+535.68</f>
        <v>4482.29</v>
      </c>
      <c r="I234" s="18">
        <v>26004.46</v>
      </c>
      <c r="J234" s="18">
        <f>4668.53</f>
        <v>4668.53</v>
      </c>
      <c r="K234" s="18">
        <f>893.9</f>
        <v>893.9</v>
      </c>
      <c r="L234" s="19">
        <f>SUM(F234:K234)</f>
        <v>1107876.5799999998</v>
      </c>
      <c r="M234" s="8"/>
      <c r="N234" s="264"/>
    </row>
    <row r="235" spans="1:14" s="3" customFormat="1" ht="12.2" customHeight="1" x14ac:dyDescent="0.15">
      <c r="A235" s="1" t="s">
        <v>439</v>
      </c>
      <c r="B235" s="2" t="s">
        <v>350</v>
      </c>
      <c r="C235" s="2" t="s">
        <v>291</v>
      </c>
      <c r="D235" s="2" t="s">
        <v>431</v>
      </c>
      <c r="E235" s="6">
        <v>1200</v>
      </c>
      <c r="F235" s="18">
        <f>108691.19</f>
        <v>108691.19</v>
      </c>
      <c r="G235" s="18">
        <f>28457.37</f>
        <v>28457.37</v>
      </c>
      <c r="H235" s="18">
        <v>0</v>
      </c>
      <c r="I235" s="18">
        <f>1229.08</f>
        <v>1229.08</v>
      </c>
      <c r="J235" s="18">
        <v>0</v>
      </c>
      <c r="K235" s="18">
        <v>0</v>
      </c>
      <c r="L235" s="19">
        <f>SUM(F235:K235)</f>
        <v>138377.63999999998</v>
      </c>
      <c r="M235" s="8"/>
      <c r="N235" s="264"/>
    </row>
    <row r="236" spans="1:14" s="3" customFormat="1" ht="12.2" customHeight="1" x14ac:dyDescent="0.15">
      <c r="A236" s="1" t="s">
        <v>440</v>
      </c>
      <c r="B236" s="2" t="s">
        <v>350</v>
      </c>
      <c r="C236" s="2" t="s">
        <v>292</v>
      </c>
      <c r="D236" s="2" t="s">
        <v>431</v>
      </c>
      <c r="E236" s="6">
        <v>1300</v>
      </c>
      <c r="F236" s="18"/>
      <c r="G236" s="18"/>
      <c r="H236" s="18">
        <v>22645.37</v>
      </c>
      <c r="I236" s="18"/>
      <c r="J236" s="18"/>
      <c r="K236" s="18"/>
      <c r="L236" s="19">
        <f>SUM(F236:K236)</f>
        <v>22645.37</v>
      </c>
      <c r="M236" s="8"/>
      <c r="N236" s="264"/>
    </row>
    <row r="237" spans="1:14" s="3" customFormat="1" ht="12.2" customHeight="1" x14ac:dyDescent="0.15">
      <c r="A237" s="1" t="s">
        <v>441</v>
      </c>
      <c r="B237" s="2" t="s">
        <v>350</v>
      </c>
      <c r="C237" s="2" t="s">
        <v>293</v>
      </c>
      <c r="D237" s="2" t="s">
        <v>431</v>
      </c>
      <c r="E237" s="6">
        <v>1400</v>
      </c>
      <c r="F237" s="18">
        <f>39943.2-12.6</f>
        <v>39930.6</v>
      </c>
      <c r="G237" s="18">
        <v>7714.84</v>
      </c>
      <c r="H237" s="18">
        <f>10582+509.01</f>
        <v>11091.01</v>
      </c>
      <c r="I237" s="18">
        <f>7108.11+485.16</f>
        <v>7593.2699999999995</v>
      </c>
      <c r="J237" s="18">
        <v>6714</v>
      </c>
      <c r="K237" s="18">
        <v>2180</v>
      </c>
      <c r="L237" s="19">
        <f>SUM(F237:K237)</f>
        <v>75223.72</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49163.47</v>
      </c>
      <c r="G239" s="18">
        <v>27170.66</v>
      </c>
      <c r="H239" s="18">
        <v>5047.6000000000004</v>
      </c>
      <c r="I239" s="18">
        <v>7404.93</v>
      </c>
      <c r="J239" s="18">
        <v>0</v>
      </c>
      <c r="K239" s="18">
        <f>718.4</f>
        <v>718.4</v>
      </c>
      <c r="L239" s="19">
        <f t="shared" ref="L239:L245" si="4">SUM(F239:K239)</f>
        <v>89505.06</v>
      </c>
      <c r="M239" s="8"/>
      <c r="N239" s="264"/>
    </row>
    <row r="240" spans="1:14" s="3" customFormat="1" ht="12.2" customHeight="1" x14ac:dyDescent="0.15">
      <c r="A240" s="1" t="s">
        <v>443</v>
      </c>
      <c r="B240" s="2" t="s">
        <v>350</v>
      </c>
      <c r="C240" s="2" t="s">
        <v>295</v>
      </c>
      <c r="D240" s="2" t="s">
        <v>431</v>
      </c>
      <c r="E240" s="6">
        <v>2200</v>
      </c>
      <c r="F240" s="18">
        <f>5119.18+10506.92</f>
        <v>15626.1</v>
      </c>
      <c r="G240" s="18">
        <v>6960.29</v>
      </c>
      <c r="H240" s="18">
        <f>718</f>
        <v>718</v>
      </c>
      <c r="I240" s="18">
        <f>1491.67</f>
        <v>1491.67</v>
      </c>
      <c r="J240" s="18">
        <v>0</v>
      </c>
      <c r="K240" s="18">
        <v>0</v>
      </c>
      <c r="L240" s="19">
        <f t="shared" si="4"/>
        <v>24796.059999999998</v>
      </c>
      <c r="M240" s="8"/>
      <c r="N240" s="264"/>
    </row>
    <row r="241" spans="1:14" s="3" customFormat="1" ht="12.2" customHeight="1" x14ac:dyDescent="0.15">
      <c r="A241" s="1" t="s">
        <v>444</v>
      </c>
      <c r="B241" s="2" t="s">
        <v>350</v>
      </c>
      <c r="C241" s="2" t="s">
        <v>296</v>
      </c>
      <c r="D241" s="2" t="s">
        <v>431</v>
      </c>
      <c r="E241" s="6">
        <v>2300</v>
      </c>
      <c r="F241" s="18">
        <v>2401.1999999999998</v>
      </c>
      <c r="G241" s="18">
        <v>238.26</v>
      </c>
      <c r="H241" s="18">
        <v>159246.94</v>
      </c>
      <c r="I241" s="18">
        <v>457.2</v>
      </c>
      <c r="J241" s="18">
        <v>0</v>
      </c>
      <c r="K241" s="18">
        <v>1512.45</v>
      </c>
      <c r="L241" s="19">
        <f t="shared" si="4"/>
        <v>163856.05000000002</v>
      </c>
      <c r="M241" s="8"/>
      <c r="N241" s="264"/>
    </row>
    <row r="242" spans="1:14" s="3" customFormat="1" ht="12.2" customHeight="1" x14ac:dyDescent="0.15">
      <c r="A242" s="1" t="s">
        <v>445</v>
      </c>
      <c r="B242" s="2" t="s">
        <v>350</v>
      </c>
      <c r="C242" s="2" t="s">
        <v>297</v>
      </c>
      <c r="D242" s="2" t="s">
        <v>431</v>
      </c>
      <c r="E242" s="6">
        <v>2400</v>
      </c>
      <c r="F242" s="18">
        <v>144878.79</v>
      </c>
      <c r="G242" s="18">
        <v>61395.54</v>
      </c>
      <c r="H242" s="18">
        <v>1927.56</v>
      </c>
      <c r="I242" s="18">
        <v>11374.7</v>
      </c>
      <c r="J242" s="18">
        <v>1030</v>
      </c>
      <c r="K242" s="18">
        <v>3250.76</v>
      </c>
      <c r="L242" s="19">
        <f t="shared" si="4"/>
        <v>223857.35000000003</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f>47881.14+2744.98+1101.64+426.61</f>
        <v>52154.37</v>
      </c>
      <c r="G244" s="18">
        <v>16860.59</v>
      </c>
      <c r="H244" s="18">
        <f>32707.14+580.77</f>
        <v>33287.909999999996</v>
      </c>
      <c r="I244" s="18">
        <v>55541.43</v>
      </c>
      <c r="J244" s="18">
        <v>0</v>
      </c>
      <c r="K244" s="18"/>
      <c r="L244" s="19">
        <f t="shared" si="4"/>
        <v>157844.29999999999</v>
      </c>
      <c r="M244" s="8"/>
      <c r="N244" s="264"/>
    </row>
    <row r="245" spans="1:14" s="3" customFormat="1" ht="12.2" customHeight="1" x14ac:dyDescent="0.15">
      <c r="A245" s="1" t="s">
        <v>448</v>
      </c>
      <c r="B245" s="2" t="s">
        <v>350</v>
      </c>
      <c r="C245" s="2" t="s">
        <v>300</v>
      </c>
      <c r="D245" s="2" t="s">
        <v>431</v>
      </c>
      <c r="E245" s="6">
        <v>2700</v>
      </c>
      <c r="F245" s="18"/>
      <c r="G245" s="18"/>
      <c r="H245" s="18">
        <f>69752.75+12519.95+616</f>
        <v>82888.7</v>
      </c>
      <c r="I245" s="18"/>
      <c r="J245" s="18"/>
      <c r="K245" s="18"/>
      <c r="L245" s="19">
        <f t="shared" si="4"/>
        <v>82888.7</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1179611.28</v>
      </c>
      <c r="G248" s="41">
        <f t="shared" si="5"/>
        <v>453859.39</v>
      </c>
      <c r="H248" s="41">
        <f t="shared" si="5"/>
        <v>321335.38</v>
      </c>
      <c r="I248" s="41">
        <f t="shared" si="5"/>
        <v>111096.73999999999</v>
      </c>
      <c r="J248" s="41">
        <f t="shared" si="5"/>
        <v>12412.529999999999</v>
      </c>
      <c r="K248" s="41">
        <f t="shared" si="5"/>
        <v>8555.51</v>
      </c>
      <c r="L248" s="41">
        <f t="shared" si="5"/>
        <v>2086870.83</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v>4825</v>
      </c>
      <c r="G252" s="18">
        <f>365.54+858.85</f>
        <v>1224.3900000000001</v>
      </c>
      <c r="H252" s="18">
        <v>15000</v>
      </c>
      <c r="I252" s="18"/>
      <c r="J252" s="18"/>
      <c r="K252" s="18"/>
      <c r="L252" s="19">
        <f t="shared" si="6"/>
        <v>21049.39</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v>418618.09</v>
      </c>
      <c r="I256" s="18"/>
      <c r="J256" s="18"/>
      <c r="K256" s="18"/>
      <c r="L256" s="19">
        <f t="shared" si="6"/>
        <v>418618.09</v>
      </c>
      <c r="M256" s="8"/>
      <c r="N256" s="264"/>
    </row>
    <row r="257" spans="1:14" s="3" customFormat="1" ht="12.2" customHeight="1" thickTop="1" thickBot="1" x14ac:dyDescent="0.2">
      <c r="A257" s="38" t="s">
        <v>461</v>
      </c>
      <c r="B257" s="40">
        <v>10</v>
      </c>
      <c r="C257" s="40">
        <v>7</v>
      </c>
      <c r="D257" s="39" t="s">
        <v>431</v>
      </c>
      <c r="E257" s="40"/>
      <c r="F257" s="41">
        <f t="shared" ref="F257:K257" si="7">SUM(F251:F256)</f>
        <v>4825</v>
      </c>
      <c r="G257" s="41">
        <f t="shared" si="7"/>
        <v>1224.3900000000001</v>
      </c>
      <c r="H257" s="41">
        <f t="shared" si="7"/>
        <v>433618.09</v>
      </c>
      <c r="I257" s="41">
        <f t="shared" si="7"/>
        <v>0</v>
      </c>
      <c r="J257" s="41">
        <f t="shared" si="7"/>
        <v>0</v>
      </c>
      <c r="K257" s="41">
        <f t="shared" si="7"/>
        <v>0</v>
      </c>
      <c r="L257" s="41">
        <f>SUM(F257:K257)</f>
        <v>439667.48000000004</v>
      </c>
      <c r="M257" s="8"/>
      <c r="N257" s="264"/>
    </row>
    <row r="258" spans="1:14" s="3" customFormat="1" ht="12.2" customHeight="1" thickTop="1" x14ac:dyDescent="0.15">
      <c r="A258" s="38" t="s">
        <v>462</v>
      </c>
      <c r="B258" s="40">
        <v>10</v>
      </c>
      <c r="C258" s="40">
        <v>8</v>
      </c>
      <c r="D258" s="39" t="s">
        <v>431</v>
      </c>
      <c r="E258" s="40"/>
      <c r="F258" s="41">
        <f t="shared" ref="F258:L258" si="8">F212+F230+F248+F257</f>
        <v>2895224.99</v>
      </c>
      <c r="G258" s="41">
        <f t="shared" si="8"/>
        <v>1071736.6499999999</v>
      </c>
      <c r="H258" s="41">
        <f t="shared" si="8"/>
        <v>1377318.8</v>
      </c>
      <c r="I258" s="41">
        <f t="shared" si="8"/>
        <v>252544.03999999998</v>
      </c>
      <c r="J258" s="41">
        <f t="shared" si="8"/>
        <v>20040.839999999997</v>
      </c>
      <c r="K258" s="41">
        <f t="shared" si="8"/>
        <v>19144.870000000003</v>
      </c>
      <c r="L258" s="41">
        <f t="shared" si="8"/>
        <v>5636010.1900000013</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15404.25</v>
      </c>
      <c r="L261" s="19">
        <f>SUM(F261:K261)</f>
        <v>15404.25</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22067.68</v>
      </c>
      <c r="L264" s="19">
        <f>SUM(F264:K264)</f>
        <v>22067.68</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350000</v>
      </c>
      <c r="L267" s="19">
        <f t="shared" si="9"/>
        <v>350000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24459.599999999999</v>
      </c>
      <c r="L269" s="19">
        <f t="shared" si="9"/>
        <v>24459.599999999999</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411931.52999999997</v>
      </c>
      <c r="L271" s="41">
        <f t="shared" si="9"/>
        <v>411931.52999999997</v>
      </c>
      <c r="M271" s="8"/>
      <c r="N271" s="264"/>
    </row>
    <row r="272" spans="1:14" s="34" customFormat="1" ht="12.2" customHeight="1" thickTop="1" x14ac:dyDescent="0.2">
      <c r="A272" s="43" t="s">
        <v>464</v>
      </c>
      <c r="B272" s="40">
        <v>10</v>
      </c>
      <c r="C272" s="40">
        <v>18</v>
      </c>
      <c r="D272" s="39" t="s">
        <v>431</v>
      </c>
      <c r="E272" s="40"/>
      <c r="F272" s="42">
        <f t="shared" ref="F272:L272" si="11">F258+F271</f>
        <v>2895224.99</v>
      </c>
      <c r="G272" s="42">
        <f t="shared" si="11"/>
        <v>1071736.6499999999</v>
      </c>
      <c r="H272" s="42">
        <f t="shared" si="11"/>
        <v>1377318.8</v>
      </c>
      <c r="I272" s="42">
        <f t="shared" si="11"/>
        <v>252544.03999999998</v>
      </c>
      <c r="J272" s="42">
        <f t="shared" si="11"/>
        <v>20040.839999999997</v>
      </c>
      <c r="K272" s="42">
        <f t="shared" si="11"/>
        <v>431076.39999999997</v>
      </c>
      <c r="L272" s="42">
        <f t="shared" si="11"/>
        <v>6047941.7200000016</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172332.92</v>
      </c>
      <c r="G277" s="18">
        <v>65791.87</v>
      </c>
      <c r="H277" s="18">
        <v>1137.3</v>
      </c>
      <c r="I277" s="18">
        <v>2106.08</v>
      </c>
      <c r="J277" s="18">
        <v>72246.91</v>
      </c>
      <c r="K277" s="18">
        <v>0</v>
      </c>
      <c r="L277" s="19">
        <f>SUM(F277:K277)</f>
        <v>313615.07999999996</v>
      </c>
      <c r="M277" s="8"/>
      <c r="N277" s="264"/>
    </row>
    <row r="278" spans="1:14" s="3" customFormat="1" ht="12.2" customHeight="1" x14ac:dyDescent="0.15">
      <c r="A278" s="1" t="s">
        <v>439</v>
      </c>
      <c r="B278" s="2" t="s">
        <v>357</v>
      </c>
      <c r="C278" s="2" t="s">
        <v>291</v>
      </c>
      <c r="D278" s="2" t="s">
        <v>431</v>
      </c>
      <c r="E278" s="6">
        <v>1200</v>
      </c>
      <c r="F278" s="18"/>
      <c r="G278" s="18"/>
      <c r="H278" s="18"/>
      <c r="I278" s="18">
        <v>932.95</v>
      </c>
      <c r="J278" s="18"/>
      <c r="K278" s="18"/>
      <c r="L278" s="19">
        <f>SUM(F278:K278)</f>
        <v>932.95</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4340</v>
      </c>
      <c r="G280" s="18">
        <v>1107</v>
      </c>
      <c r="H280" s="18">
        <v>225</v>
      </c>
      <c r="I280" s="18">
        <v>940.01</v>
      </c>
      <c r="J280" s="18">
        <v>9121.26</v>
      </c>
      <c r="K280" s="18">
        <v>0</v>
      </c>
      <c r="L280" s="19">
        <f>SUM(F280:K280)</f>
        <v>15733.27</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f>4500+39929.79</f>
        <v>44429.79</v>
      </c>
      <c r="G282" s="18">
        <f>1140.69+10736.54</f>
        <v>11877.230000000001</v>
      </c>
      <c r="H282" s="18">
        <v>0</v>
      </c>
      <c r="I282" s="18">
        <v>3209.77</v>
      </c>
      <c r="J282" s="18">
        <v>10068.24</v>
      </c>
      <c r="K282" s="18"/>
      <c r="L282" s="19">
        <f t="shared" ref="L282:L288" si="12">SUM(F282:K282)</f>
        <v>69585.03</v>
      </c>
      <c r="M282" s="8"/>
      <c r="N282" s="264"/>
    </row>
    <row r="283" spans="1:14" s="3" customFormat="1" ht="12.2" customHeight="1" x14ac:dyDescent="0.15">
      <c r="A283" s="1" t="s">
        <v>443</v>
      </c>
      <c r="B283" s="2" t="s">
        <v>357</v>
      </c>
      <c r="C283" s="2" t="s">
        <v>295</v>
      </c>
      <c r="D283" s="2" t="s">
        <v>431</v>
      </c>
      <c r="E283" s="6">
        <v>2200</v>
      </c>
      <c r="F283" s="18"/>
      <c r="G283" s="18"/>
      <c r="H283" s="18">
        <v>2337.5</v>
      </c>
      <c r="I283" s="18">
        <v>246.23</v>
      </c>
      <c r="J283" s="18"/>
      <c r="K283" s="18"/>
      <c r="L283" s="19">
        <f t="shared" si="12"/>
        <v>2583.73</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c r="I287" s="18">
        <v>3166.8</v>
      </c>
      <c r="J287" s="18">
        <v>6104.64</v>
      </c>
      <c r="K287" s="18"/>
      <c r="L287" s="19">
        <f t="shared" si="12"/>
        <v>9271.44</v>
      </c>
      <c r="M287" s="8"/>
      <c r="N287" s="264"/>
    </row>
    <row r="288" spans="1:14" s="3" customFormat="1" ht="12.2" customHeight="1" x14ac:dyDescent="0.15">
      <c r="A288" s="1" t="s">
        <v>448</v>
      </c>
      <c r="B288" s="2" t="s">
        <v>357</v>
      </c>
      <c r="C288" s="2" t="s">
        <v>300</v>
      </c>
      <c r="D288" s="2" t="s">
        <v>431</v>
      </c>
      <c r="E288" s="6">
        <v>2700</v>
      </c>
      <c r="F288" s="18"/>
      <c r="G288" s="18"/>
      <c r="H288" s="18">
        <v>540</v>
      </c>
      <c r="I288" s="18"/>
      <c r="J288" s="18"/>
      <c r="K288" s="18"/>
      <c r="L288" s="19">
        <f t="shared" si="12"/>
        <v>540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221102.71000000002</v>
      </c>
      <c r="G291" s="42">
        <f t="shared" si="13"/>
        <v>78776.099999999991</v>
      </c>
      <c r="H291" s="42">
        <f t="shared" si="13"/>
        <v>4239.8</v>
      </c>
      <c r="I291" s="42">
        <f t="shared" si="13"/>
        <v>10601.84</v>
      </c>
      <c r="J291" s="42">
        <f t="shared" si="13"/>
        <v>97541.05</v>
      </c>
      <c r="K291" s="42">
        <f t="shared" si="13"/>
        <v>0</v>
      </c>
      <c r="L291" s="41">
        <f t="shared" si="13"/>
        <v>412261.49999999994</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12100</v>
      </c>
      <c r="G315" s="18">
        <v>1627.97</v>
      </c>
      <c r="H315" s="18">
        <v>2000</v>
      </c>
      <c r="I315" s="18">
        <v>9298.86</v>
      </c>
      <c r="J315" s="18">
        <v>70470.009999999995</v>
      </c>
      <c r="K315" s="18">
        <v>0</v>
      </c>
      <c r="L315" s="19">
        <f>SUM(F315:K315)</f>
        <v>95496.84</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v>1300</v>
      </c>
      <c r="G318" s="18">
        <v>287.42</v>
      </c>
      <c r="H318" s="18">
        <v>0</v>
      </c>
      <c r="I318" s="18">
        <v>2820.4</v>
      </c>
      <c r="J318" s="18">
        <v>0</v>
      </c>
      <c r="K318" s="18">
        <v>237</v>
      </c>
      <c r="L318" s="19">
        <f>SUM(F318:K318)</f>
        <v>4644.82</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56267.28</v>
      </c>
      <c r="G320" s="18">
        <v>11658.8</v>
      </c>
      <c r="H320" s="18">
        <v>895</v>
      </c>
      <c r="I320" s="18">
        <f>1639.03+403.75</f>
        <v>2042.78</v>
      </c>
      <c r="J320" s="18">
        <v>15747.76</v>
      </c>
      <c r="K320" s="18">
        <v>887.01</v>
      </c>
      <c r="L320" s="19">
        <f t="shared" ref="L320:L326" si="16">SUM(F320:K320)</f>
        <v>87498.62999999999</v>
      </c>
      <c r="M320" s="8"/>
      <c r="N320" s="264"/>
    </row>
    <row r="321" spans="1:14" s="3" customFormat="1" ht="12.2" customHeight="1" x14ac:dyDescent="0.15">
      <c r="A321" s="1" t="s">
        <v>443</v>
      </c>
      <c r="B321" s="2" t="s">
        <v>359</v>
      </c>
      <c r="C321" s="2" t="s">
        <v>295</v>
      </c>
      <c r="D321" s="2" t="s">
        <v>431</v>
      </c>
      <c r="E321" s="6">
        <v>2200</v>
      </c>
      <c r="F321" s="18">
        <v>11725</v>
      </c>
      <c r="G321" s="18">
        <v>15349.21</v>
      </c>
      <c r="H321" s="18">
        <v>7000</v>
      </c>
      <c r="I321" s="18"/>
      <c r="J321" s="18"/>
      <c r="K321" s="18"/>
      <c r="L321" s="19">
        <f t="shared" si="16"/>
        <v>34074.21</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v>10053</v>
      </c>
      <c r="G323" s="18">
        <f>761.64+1789.45</f>
        <v>2551.09</v>
      </c>
      <c r="H323" s="18"/>
      <c r="I323" s="18"/>
      <c r="J323" s="18"/>
      <c r="K323" s="18"/>
      <c r="L323" s="19">
        <f t="shared" si="16"/>
        <v>12604.09</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f>14149.39+1000</f>
        <v>15149.39</v>
      </c>
      <c r="G325" s="18">
        <f>1082.43+748.47+76.5+111.17</f>
        <v>2018.5700000000002</v>
      </c>
      <c r="H325" s="18">
        <v>0</v>
      </c>
      <c r="I325" s="18">
        <f>17179.02+809.53+1867.6+3085.6+4247.32</f>
        <v>27189.069999999996</v>
      </c>
      <c r="J325" s="18">
        <v>3549.21</v>
      </c>
      <c r="K325" s="18">
        <v>0</v>
      </c>
      <c r="L325" s="19">
        <f t="shared" si="16"/>
        <v>47906.239999999998</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106594.67</v>
      </c>
      <c r="G329" s="42">
        <f t="shared" si="17"/>
        <v>33493.06</v>
      </c>
      <c r="H329" s="42">
        <f t="shared" si="17"/>
        <v>9895</v>
      </c>
      <c r="I329" s="42">
        <f t="shared" si="17"/>
        <v>41351.11</v>
      </c>
      <c r="J329" s="42">
        <f t="shared" si="17"/>
        <v>89766.98</v>
      </c>
      <c r="K329" s="42">
        <f t="shared" si="17"/>
        <v>1124.01</v>
      </c>
      <c r="L329" s="41">
        <f t="shared" si="17"/>
        <v>282224.82999999996</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v>2310</v>
      </c>
      <c r="G334" s="18">
        <v>585.96</v>
      </c>
      <c r="H334" s="18">
        <v>4619.43</v>
      </c>
      <c r="I334" s="18">
        <v>7699.66</v>
      </c>
      <c r="J334" s="18">
        <v>3557.17</v>
      </c>
      <c r="K334" s="18">
        <v>1004.97</v>
      </c>
      <c r="L334" s="19">
        <f t="shared" si="18"/>
        <v>19777.190000000002</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v>8036.2</v>
      </c>
      <c r="K337" s="18"/>
      <c r="L337" s="19">
        <f t="shared" si="18"/>
        <v>8036.2</v>
      </c>
      <c r="M337" s="8"/>
      <c r="N337" s="264"/>
    </row>
    <row r="338" spans="1:43" s="3" customFormat="1" ht="12.2" customHeight="1" thickTop="1" thickBot="1" x14ac:dyDescent="0.2">
      <c r="A338" s="50" t="s">
        <v>467</v>
      </c>
      <c r="B338" s="40">
        <v>14</v>
      </c>
      <c r="C338" s="51">
        <v>6</v>
      </c>
      <c r="D338" s="48" t="s">
        <v>431</v>
      </c>
      <c r="E338" s="51"/>
      <c r="F338" s="41">
        <f t="shared" ref="F338:K338" si="19">SUM(F333:F337)</f>
        <v>2310</v>
      </c>
      <c r="G338" s="41">
        <f t="shared" si="19"/>
        <v>585.96</v>
      </c>
      <c r="H338" s="41">
        <f t="shared" si="19"/>
        <v>4619.43</v>
      </c>
      <c r="I338" s="41">
        <f t="shared" si="19"/>
        <v>7699.66</v>
      </c>
      <c r="J338" s="41">
        <f t="shared" si="19"/>
        <v>11593.369999999999</v>
      </c>
      <c r="K338" s="41">
        <f t="shared" si="19"/>
        <v>1004.97</v>
      </c>
      <c r="L338" s="41">
        <f t="shared" si="18"/>
        <v>27813.39</v>
      </c>
      <c r="M338" s="8"/>
      <c r="N338" s="264"/>
    </row>
    <row r="339" spans="1:43" s="3" customFormat="1" ht="12.2" customHeight="1" thickTop="1" x14ac:dyDescent="0.15">
      <c r="A339" s="38" t="s">
        <v>468</v>
      </c>
      <c r="B339" s="40">
        <v>14</v>
      </c>
      <c r="C339" s="40">
        <v>7</v>
      </c>
      <c r="D339" s="39" t="s">
        <v>431</v>
      </c>
      <c r="E339" s="40"/>
      <c r="F339" s="41">
        <f t="shared" ref="F339:L339" si="20">F291+F310+F329+F338</f>
        <v>330007.38</v>
      </c>
      <c r="G339" s="41">
        <f t="shared" si="20"/>
        <v>112855.12</v>
      </c>
      <c r="H339" s="41">
        <f t="shared" si="20"/>
        <v>18754.23</v>
      </c>
      <c r="I339" s="41">
        <f t="shared" si="20"/>
        <v>59652.61</v>
      </c>
      <c r="J339" s="41">
        <f t="shared" si="20"/>
        <v>198901.4</v>
      </c>
      <c r="K339" s="41">
        <f t="shared" si="20"/>
        <v>2128.98</v>
      </c>
      <c r="L339" s="41">
        <f t="shared" si="20"/>
        <v>722299.71999999986</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6202.49</v>
      </c>
      <c r="L346" s="19">
        <f t="shared" si="21"/>
        <v>6202.49</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6202.49</v>
      </c>
      <c r="L352" s="41">
        <f>SUM(L342:L351)</f>
        <v>6202.49</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330007.38</v>
      </c>
      <c r="G353" s="41">
        <f>G339</f>
        <v>112855.12</v>
      </c>
      <c r="H353" s="41">
        <f>H339</f>
        <v>18754.23</v>
      </c>
      <c r="I353" s="41">
        <f>I339</f>
        <v>59652.61</v>
      </c>
      <c r="J353" s="41">
        <f>J339</f>
        <v>198901.4</v>
      </c>
      <c r="K353" s="47">
        <f>K339+K352</f>
        <v>8331.4699999999993</v>
      </c>
      <c r="L353" s="41">
        <f>L339+L352</f>
        <v>728502.20999999985</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f>68185.1+3281.62</f>
        <v>71466.720000000001</v>
      </c>
      <c r="I359" s="18"/>
      <c r="J359" s="18">
        <v>2463.54</v>
      </c>
      <c r="K359" s="18"/>
      <c r="L359" s="13">
        <f>SUM(F359:K359)</f>
        <v>73930.259999999995</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f>106648.5+5132.8</f>
        <v>111781.3</v>
      </c>
      <c r="I361" s="18">
        <v>6202.49</v>
      </c>
      <c r="J361" s="18">
        <v>3853.24</v>
      </c>
      <c r="K361" s="18"/>
      <c r="L361" s="19">
        <f>SUM(F361:K361)</f>
        <v>121837.03000000001</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183248.02000000002</v>
      </c>
      <c r="I363" s="47">
        <f t="shared" si="22"/>
        <v>6202.49</v>
      </c>
      <c r="J363" s="47">
        <f t="shared" si="22"/>
        <v>6316.78</v>
      </c>
      <c r="K363" s="47">
        <f t="shared" si="22"/>
        <v>0</v>
      </c>
      <c r="L363" s="47">
        <f t="shared" si="22"/>
        <v>195767.29</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c r="G369" s="63"/>
      <c r="H369" s="63">
        <v>6202.49</v>
      </c>
      <c r="I369" s="56">
        <f>SUM(F369:H369)</f>
        <v>6202.49</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6202.49</v>
      </c>
      <c r="I370" s="47">
        <f>SUM(I368:I369)</f>
        <v>6202.49</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200000</v>
      </c>
      <c r="H397" s="18">
        <v>145.19</v>
      </c>
      <c r="I397" s="18"/>
      <c r="J397" s="24" t="s">
        <v>288</v>
      </c>
      <c r="K397" s="24" t="s">
        <v>288</v>
      </c>
      <c r="L397" s="56">
        <f t="shared" si="26"/>
        <v>200145.19</v>
      </c>
      <c r="M397" s="8"/>
      <c r="N397" s="264"/>
    </row>
    <row r="398" spans="1:14" s="3" customFormat="1" ht="12.2" customHeight="1" x14ac:dyDescent="0.15">
      <c r="A398" s="79" t="s">
        <v>515</v>
      </c>
      <c r="B398" s="2" t="s">
        <v>381</v>
      </c>
      <c r="C398" s="6">
        <v>10</v>
      </c>
      <c r="D398" s="2" t="s">
        <v>432</v>
      </c>
      <c r="E398" s="6"/>
      <c r="F398" s="18"/>
      <c r="G398" s="18">
        <v>100000</v>
      </c>
      <c r="H398" s="18">
        <v>135.65</v>
      </c>
      <c r="I398" s="18"/>
      <c r="J398" s="24" t="s">
        <v>288</v>
      </c>
      <c r="K398" s="24" t="s">
        <v>288</v>
      </c>
      <c r="L398" s="56">
        <f t="shared" si="26"/>
        <v>100135.65</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v>50000</v>
      </c>
      <c r="H400" s="18">
        <v>6.11</v>
      </c>
      <c r="I400" s="18"/>
      <c r="J400" s="24" t="s">
        <v>288</v>
      </c>
      <c r="K400" s="24" t="s">
        <v>288</v>
      </c>
      <c r="L400" s="56">
        <f t="shared" si="26"/>
        <v>50006.11</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350000</v>
      </c>
      <c r="H402" s="47">
        <f>SUM(H396:H401)</f>
        <v>286.95000000000005</v>
      </c>
      <c r="I402" s="47">
        <f>SUM(I396:I401)</f>
        <v>0</v>
      </c>
      <c r="J402" s="45" t="s">
        <v>288</v>
      </c>
      <c r="K402" s="45" t="s">
        <v>288</v>
      </c>
      <c r="L402" s="47">
        <f>SUM(L396:L401)</f>
        <v>350286.94999999995</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350000</v>
      </c>
      <c r="H409" s="47">
        <f>H394+H402+H408</f>
        <v>286.95000000000005</v>
      </c>
      <c r="I409" s="47">
        <f>I394+I402+I408</f>
        <v>0</v>
      </c>
      <c r="J409" s="24" t="s">
        <v>288</v>
      </c>
      <c r="K409" s="24" t="s">
        <v>288</v>
      </c>
      <c r="L409" s="47">
        <f>L394+L402+L408</f>
        <v>350286.94999999995</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v>696044.2</v>
      </c>
      <c r="H440" s="18"/>
      <c r="I440" s="56">
        <f t="shared" ref="I440:I446" si="33">SUM(F440:H440)</f>
        <v>696044.2</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696044.2</v>
      </c>
      <c r="H447" s="13">
        <f>SUM(H440:H446)</f>
        <v>0</v>
      </c>
      <c r="I447" s="13">
        <f>SUM(I440:I446)</f>
        <v>696044.2</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v>696044.2</v>
      </c>
      <c r="H457" s="18"/>
      <c r="I457" s="56">
        <f t="shared" si="34"/>
        <v>696044.2</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696044.2</v>
      </c>
      <c r="H461" s="83">
        <f>SUM(H455:H460)</f>
        <v>0</v>
      </c>
      <c r="I461" s="83">
        <f>SUM(I455:I460)</f>
        <v>696044.2</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696044.2</v>
      </c>
      <c r="H462" s="42">
        <f>H453+H461</f>
        <v>0</v>
      </c>
      <c r="I462" s="42">
        <f>I453+I461</f>
        <v>696044.2</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369312.38</v>
      </c>
      <c r="G466" s="18"/>
      <c r="H466" s="18"/>
      <c r="I466" s="18"/>
      <c r="J466" s="18">
        <v>345757.25</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5789964.4299999997</v>
      </c>
      <c r="G469" s="18">
        <f>189564.8+6202.49</f>
        <v>195767.28999999998</v>
      </c>
      <c r="H469" s="18">
        <v>728502.21</v>
      </c>
      <c r="I469" s="18"/>
      <c r="J469" s="18">
        <v>350286.95</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5789964.4299999997</v>
      </c>
      <c r="G471" s="53">
        <f>SUM(G469:G470)</f>
        <v>195767.28999999998</v>
      </c>
      <c r="H471" s="53">
        <f>SUM(H469:H470)</f>
        <v>728502.21</v>
      </c>
      <c r="I471" s="53">
        <f>SUM(I469:I470)</f>
        <v>0</v>
      </c>
      <c r="J471" s="53">
        <f>SUM(J469:J470)</f>
        <v>350286.95</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6047941.7199999997</v>
      </c>
      <c r="G473" s="18">
        <f>189564.8+6202.49</f>
        <v>195767.28999999998</v>
      </c>
      <c r="H473" s="18">
        <v>728502.21</v>
      </c>
      <c r="I473" s="18"/>
      <c r="J473" s="18"/>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6047941.7199999997</v>
      </c>
      <c r="G475" s="53">
        <f>SUM(G473:G474)</f>
        <v>195767.28999999998</v>
      </c>
      <c r="H475" s="53">
        <f>SUM(H473:H474)</f>
        <v>728502.21</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111335.08999999985</v>
      </c>
      <c r="G477" s="53">
        <f>(G466+G471)- G475</f>
        <v>0</v>
      </c>
      <c r="H477" s="53">
        <f>(H466+H471)- H475</f>
        <v>0</v>
      </c>
      <c r="I477" s="53">
        <f>(I466+I471)- I475</f>
        <v>0</v>
      </c>
      <c r="J477" s="53">
        <f>(J466+J471)- J475</f>
        <v>696044.2</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107303.24+101035.24+12280+11496.25+55473.46+102417.59+5400+3166.25</f>
        <v>398572.03</v>
      </c>
      <c r="G522" s="18">
        <f>20424+618.48+18878.38+20758.39+748.8+5013.53+899.46+3022.86+326+12571.78+9874.25+279+658.76</f>
        <v>94073.69</v>
      </c>
      <c r="H522" s="18">
        <f>42147.25+476+16067.64+36300.6+7687.8</f>
        <v>102679.29</v>
      </c>
      <c r="I522" s="18">
        <f>769.61+355.27+129.5+299.03+365</f>
        <v>1918.41</v>
      </c>
      <c r="J522" s="18">
        <f>200</f>
        <v>200</v>
      </c>
      <c r="K522" s="18">
        <v>110</v>
      </c>
      <c r="L522" s="88">
        <f>SUM(F522:K522)</f>
        <v>597553.42000000004</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f>63898.54+42688.9+2103.75</f>
        <v>108691.19</v>
      </c>
      <c r="G524" s="18">
        <f>8017.14+365.04+8262.76+11373.78+270+168.65</f>
        <v>28457.370000000003</v>
      </c>
      <c r="H524" s="18"/>
      <c r="I524" s="18">
        <f>503.62+725.46</f>
        <v>1229.08</v>
      </c>
      <c r="J524" s="18"/>
      <c r="K524" s="18"/>
      <c r="L524" s="88">
        <f>SUM(F524:K524)</f>
        <v>138377.63999999998</v>
      </c>
      <c r="N524" s="263"/>
    </row>
    <row r="525" spans="1:14" s="52" customFormat="1" ht="12.2" customHeight="1" thickTop="1" x14ac:dyDescent="0.2">
      <c r="A525" s="139" t="s">
        <v>63</v>
      </c>
      <c r="B525" s="107">
        <v>21</v>
      </c>
      <c r="C525" s="195">
        <v>4</v>
      </c>
      <c r="D525" s="196" t="s">
        <v>432</v>
      </c>
      <c r="E525" s="195"/>
      <c r="F525" s="108">
        <f>SUM(F522:F524)</f>
        <v>507263.22000000003</v>
      </c>
      <c r="G525" s="108">
        <f t="shared" ref="G525:L525" si="36">SUM(G522:G524)</f>
        <v>122531.06</v>
      </c>
      <c r="H525" s="108">
        <f t="shared" si="36"/>
        <v>102679.29</v>
      </c>
      <c r="I525" s="108">
        <f t="shared" si="36"/>
        <v>3147.49</v>
      </c>
      <c r="J525" s="108">
        <f t="shared" si="36"/>
        <v>200</v>
      </c>
      <c r="K525" s="108">
        <f t="shared" si="36"/>
        <v>110</v>
      </c>
      <c r="L525" s="89">
        <f t="shared" si="36"/>
        <v>735931.06</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f>402.06+873.27-625.87-357.64+32884.46+7845.15+18688.49+1396.49+351.22+12326.06+8626.8</f>
        <v>82410.490000000005</v>
      </c>
      <c r="G527" s="18">
        <f>20154.84+6866.3</f>
        <v>27021.14</v>
      </c>
      <c r="H527" s="18">
        <f>160+100+255+173+279+199</f>
        <v>1166</v>
      </c>
      <c r="I527" s="18">
        <f>132.49+94.47+260.24+380.34+266+530.5</f>
        <v>1664.04</v>
      </c>
      <c r="J527" s="18">
        <f>19.85</f>
        <v>19.850000000000001</v>
      </c>
      <c r="K527" s="18"/>
      <c r="L527" s="88">
        <f>SUM(F527:K527)</f>
        <v>112281.52</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f>-267.86-506.65+154.23+6.9+990.52</f>
        <v>377.14</v>
      </c>
      <c r="G529" s="18">
        <v>178.9</v>
      </c>
      <c r="H529" s="18">
        <f>140+262.35+334</f>
        <v>736.35</v>
      </c>
      <c r="I529" s="18">
        <f>405+145.26+395.85</f>
        <v>946.11</v>
      </c>
      <c r="J529" s="18"/>
      <c r="K529" s="18"/>
      <c r="L529" s="88">
        <f>SUM(F529:K529)</f>
        <v>2238.5</v>
      </c>
      <c r="M529" s="8"/>
      <c r="N529" s="264"/>
    </row>
    <row r="530" spans="1:14" s="3" customFormat="1" ht="12.2" customHeight="1" thickTop="1" x14ac:dyDescent="0.15">
      <c r="A530" s="139" t="s">
        <v>65</v>
      </c>
      <c r="B530" s="107">
        <v>21</v>
      </c>
      <c r="C530" s="107">
        <v>8</v>
      </c>
      <c r="D530" s="158" t="s">
        <v>432</v>
      </c>
      <c r="E530" s="107"/>
      <c r="F530" s="89">
        <f>SUM(F527:F529)</f>
        <v>82787.63</v>
      </c>
      <c r="G530" s="89">
        <f t="shared" ref="G530:L530" si="37">SUM(G527:G529)</f>
        <v>27200.04</v>
      </c>
      <c r="H530" s="89">
        <f t="shared" si="37"/>
        <v>1902.35</v>
      </c>
      <c r="I530" s="89">
        <f t="shared" si="37"/>
        <v>2610.15</v>
      </c>
      <c r="J530" s="89">
        <f t="shared" si="37"/>
        <v>19.850000000000001</v>
      </c>
      <c r="K530" s="89">
        <f t="shared" si="37"/>
        <v>0</v>
      </c>
      <c r="L530" s="89">
        <f t="shared" si="37"/>
        <v>114520.02</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f>21020.98+12396.97+9676.5+5706.69</f>
        <v>48801.14</v>
      </c>
      <c r="G532" s="18">
        <f>7795.66+4597.29+155.25+91.67+2256.3+1330.73+1351.38+796.91+3471.26+2047.09+1521.9+897.56-36.75-21.68+63.9+39.68</f>
        <v>26358.150000000009</v>
      </c>
      <c r="H532" s="18">
        <f>140.08+88.48+298.3+110</f>
        <v>636.86</v>
      </c>
      <c r="I532" s="18">
        <f>426.91+289.07</f>
        <v>715.98</v>
      </c>
      <c r="J532" s="18"/>
      <c r="K532" s="18">
        <f>1236.5+413.81</f>
        <v>1650.31</v>
      </c>
      <c r="L532" s="88">
        <f>SUM(F532:K532)</f>
        <v>78162.44</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f>20482.05+9428.35</f>
        <v>29910.400000000001</v>
      </c>
      <c r="G534" s="18">
        <f>7596.02+151.55+2198.55+1316.7+3382.36+1487.88-35.81+67.24</f>
        <v>16164.490000000002</v>
      </c>
      <c r="H534" s="18">
        <f>140.05+300</f>
        <v>440.05</v>
      </c>
      <c r="I534" s="18">
        <v>288.73</v>
      </c>
      <c r="J534" s="18"/>
      <c r="K534" s="18">
        <v>636.26</v>
      </c>
      <c r="L534" s="88">
        <f>SUM(F534:K534)</f>
        <v>47439.930000000008</v>
      </c>
      <c r="M534" s="8"/>
      <c r="N534" s="264"/>
    </row>
    <row r="535" spans="1:14" s="3" customFormat="1" ht="12.2" customHeight="1" thickTop="1" x14ac:dyDescent="0.15">
      <c r="A535" s="139" t="s">
        <v>67</v>
      </c>
      <c r="B535" s="107">
        <v>21</v>
      </c>
      <c r="C535" s="107">
        <v>12</v>
      </c>
      <c r="D535" s="158" t="s">
        <v>432</v>
      </c>
      <c r="E535" s="107"/>
      <c r="F535" s="89">
        <f>SUM(F532:F534)</f>
        <v>78711.540000000008</v>
      </c>
      <c r="G535" s="89">
        <f t="shared" ref="G535:L535" si="38">SUM(G532:G534)</f>
        <v>42522.640000000014</v>
      </c>
      <c r="H535" s="89">
        <f t="shared" si="38"/>
        <v>1076.9100000000001</v>
      </c>
      <c r="I535" s="89">
        <f t="shared" si="38"/>
        <v>1004.71</v>
      </c>
      <c r="J535" s="89">
        <f t="shared" si="38"/>
        <v>0</v>
      </c>
      <c r="K535" s="89">
        <f t="shared" si="38"/>
        <v>2286.5699999999997</v>
      </c>
      <c r="L535" s="89">
        <f t="shared" si="38"/>
        <v>125602.37000000001</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7068.33</v>
      </c>
      <c r="I542" s="18"/>
      <c r="J542" s="18"/>
      <c r="K542" s="18"/>
      <c r="L542" s="88">
        <f>SUM(F542:K542)</f>
        <v>7068.33</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7068.33</v>
      </c>
      <c r="I545" s="193">
        <f t="shared" si="40"/>
        <v>0</v>
      </c>
      <c r="J545" s="193">
        <f t="shared" si="40"/>
        <v>0</v>
      </c>
      <c r="K545" s="193">
        <f t="shared" si="40"/>
        <v>0</v>
      </c>
      <c r="L545" s="193">
        <f t="shared" si="40"/>
        <v>7068.33</v>
      </c>
      <c r="M545" s="8"/>
      <c r="N545" s="264"/>
    </row>
    <row r="546" spans="1:14" s="3" customFormat="1" ht="12.2" customHeight="1" thickTop="1" x14ac:dyDescent="0.15">
      <c r="A546" s="98" t="s">
        <v>72</v>
      </c>
      <c r="B546" s="107">
        <v>21</v>
      </c>
      <c r="C546" s="107">
        <v>21</v>
      </c>
      <c r="D546" s="158" t="s">
        <v>432</v>
      </c>
      <c r="E546" s="107"/>
      <c r="F546" s="89">
        <f>F525+F530+F535+F540+F545</f>
        <v>668762.39000000013</v>
      </c>
      <c r="G546" s="89">
        <f t="shared" ref="G546:L546" si="41">G525+G530+G535+G540+G545</f>
        <v>192253.74000000002</v>
      </c>
      <c r="H546" s="89">
        <f t="shared" si="41"/>
        <v>112726.88</v>
      </c>
      <c r="I546" s="89">
        <f t="shared" si="41"/>
        <v>6762.3499999999995</v>
      </c>
      <c r="J546" s="89">
        <f t="shared" si="41"/>
        <v>219.85</v>
      </c>
      <c r="K546" s="89">
        <f t="shared" si="41"/>
        <v>2396.5699999999997</v>
      </c>
      <c r="L546" s="89">
        <f t="shared" si="41"/>
        <v>983121.78</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597553.42000000004</v>
      </c>
      <c r="G550" s="87">
        <f>L527</f>
        <v>112281.52</v>
      </c>
      <c r="H550" s="87">
        <f>L532</f>
        <v>78162.44</v>
      </c>
      <c r="I550" s="87">
        <f>L537</f>
        <v>0</v>
      </c>
      <c r="J550" s="87">
        <f>L542</f>
        <v>7068.33</v>
      </c>
      <c r="K550" s="87">
        <f>SUM(F550:J550)</f>
        <v>795065.71000000008</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138377.63999999998</v>
      </c>
      <c r="G552" s="87">
        <f>L529</f>
        <v>2238.5</v>
      </c>
      <c r="H552" s="87">
        <f>L534</f>
        <v>47439.930000000008</v>
      </c>
      <c r="I552" s="87">
        <f>L539</f>
        <v>0</v>
      </c>
      <c r="J552" s="87">
        <f>L544</f>
        <v>0</v>
      </c>
      <c r="K552" s="87">
        <f>SUM(F552:J552)</f>
        <v>188056.07</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735931.06</v>
      </c>
      <c r="G553" s="89">
        <f t="shared" si="42"/>
        <v>114520.02</v>
      </c>
      <c r="H553" s="89">
        <f t="shared" si="42"/>
        <v>125602.37000000001</v>
      </c>
      <c r="I553" s="89">
        <f t="shared" si="42"/>
        <v>0</v>
      </c>
      <c r="J553" s="89">
        <f t="shared" si="42"/>
        <v>7068.33</v>
      </c>
      <c r="K553" s="89">
        <f t="shared" si="42"/>
        <v>983121.78</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16067.64</v>
      </c>
      <c r="G580" s="18"/>
      <c r="H580" s="18"/>
      <c r="I580" s="87">
        <f t="shared" si="47"/>
        <v>16067.64</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f>36300.6+7687.8</f>
        <v>43988.4</v>
      </c>
      <c r="G583" s="18"/>
      <c r="H583" s="18">
        <v>0</v>
      </c>
      <c r="I583" s="87">
        <f t="shared" si="47"/>
        <v>43988.4</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22645.37</v>
      </c>
      <c r="I585" s="87">
        <f t="shared" si="47"/>
        <v>22645.37</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38444.01+26051.24</f>
        <v>64495.25</v>
      </c>
      <c r="I592" s="18"/>
      <c r="J592" s="18">
        <f>69752.75-22536</f>
        <v>47216.75</v>
      </c>
      <c r="K592" s="104">
        <f t="shared" ref="K592:K598" si="48">SUM(H592:J592)</f>
        <v>111712</v>
      </c>
      <c r="L592" s="24" t="s">
        <v>288</v>
      </c>
      <c r="M592" s="8"/>
      <c r="N592" s="264"/>
    </row>
    <row r="593" spans="1:14" s="3" customFormat="1" ht="12.2" customHeight="1" x14ac:dyDescent="0.15">
      <c r="A593" s="3" t="s">
        <v>638</v>
      </c>
      <c r="B593" s="75">
        <v>23</v>
      </c>
      <c r="C593" s="75">
        <v>2</v>
      </c>
      <c r="D593" s="2" t="s">
        <v>432</v>
      </c>
      <c r="E593" s="75"/>
      <c r="F593" s="102">
        <v>2722</v>
      </c>
      <c r="G593" s="103" t="s">
        <v>97</v>
      </c>
      <c r="H593" s="18">
        <v>7068.33</v>
      </c>
      <c r="I593" s="18"/>
      <c r="J593" s="18"/>
      <c r="K593" s="104">
        <f t="shared" si="48"/>
        <v>7068.33</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22536</v>
      </c>
      <c r="K594" s="104">
        <f t="shared" si="48"/>
        <v>22536</v>
      </c>
      <c r="L594" s="24" t="s">
        <v>288</v>
      </c>
      <c r="M594" s="8"/>
      <c r="N594" s="264"/>
    </row>
    <row r="595" spans="1:14" s="3" customFormat="1" ht="12.2" customHeight="1" x14ac:dyDescent="0.15">
      <c r="A595" s="22" t="s">
        <v>640</v>
      </c>
      <c r="B595" s="75">
        <v>23</v>
      </c>
      <c r="C595" s="75">
        <v>4</v>
      </c>
      <c r="D595" s="2" t="s">
        <v>432</v>
      </c>
      <c r="E595" s="75"/>
      <c r="F595" s="102">
        <v>2724</v>
      </c>
      <c r="G595" s="103" t="s">
        <v>97</v>
      </c>
      <c r="H595" s="18">
        <f>2918.8+5497.44</f>
        <v>8416.24</v>
      </c>
      <c r="I595" s="18"/>
      <c r="J595" s="18">
        <v>12519.95</v>
      </c>
      <c r="K595" s="104">
        <f t="shared" si="48"/>
        <v>20936.190000000002</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2317.9499999999998</v>
      </c>
      <c r="I596" s="18"/>
      <c r="J596" s="18">
        <v>616</v>
      </c>
      <c r="K596" s="104">
        <f t="shared" si="48"/>
        <v>2933.95</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82297.77</v>
      </c>
      <c r="I599" s="108">
        <f>SUM(I592:I598)</f>
        <v>0</v>
      </c>
      <c r="J599" s="108">
        <f>SUM(J592:J598)</f>
        <v>82888.7</v>
      </c>
      <c r="K599" s="108">
        <f>SUM(K592:K598)</f>
        <v>165186.47000000003</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72246.91+9121.26+10068.24+6104.64+7628.31</f>
        <v>105169.36</v>
      </c>
      <c r="I605" s="18"/>
      <c r="J605" s="18">
        <f>3557.17+3549.21+15747.76+70470.01+12412.53</f>
        <v>105736.68</v>
      </c>
      <c r="K605" s="104">
        <f>SUM(H605:J605)</f>
        <v>210906.03999999998</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105169.36</v>
      </c>
      <c r="I606" s="108">
        <f>SUM(I603:I605)</f>
        <v>0</v>
      </c>
      <c r="J606" s="108">
        <f>SUM(J603:J605)</f>
        <v>105736.68</v>
      </c>
      <c r="K606" s="108">
        <f>SUM(K603:K605)</f>
        <v>210906.03999999998</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f>327.6</f>
        <v>327.60000000000002</v>
      </c>
      <c r="G612" s="18">
        <f>25.06+58.31</f>
        <v>83.37</v>
      </c>
      <c r="H612" s="18"/>
      <c r="I612" s="18"/>
      <c r="J612" s="18"/>
      <c r="K612" s="18"/>
      <c r="L612" s="88">
        <f>SUM(F612:K612)</f>
        <v>410.97</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f>-12.6</f>
        <v>-12.6</v>
      </c>
      <c r="G614" s="18">
        <f>39.2+91.21</f>
        <v>130.41</v>
      </c>
      <c r="H614" s="18"/>
      <c r="I614" s="18"/>
      <c r="J614" s="18"/>
      <c r="K614" s="18"/>
      <c r="L614" s="88">
        <f>SUM(F614:K614)</f>
        <v>117.81</v>
      </c>
      <c r="M614" s="8"/>
      <c r="N614" s="264"/>
    </row>
    <row r="615" spans="1:14" s="3" customFormat="1" ht="12.2" customHeight="1" thickTop="1" x14ac:dyDescent="0.15">
      <c r="A615" s="98" t="s">
        <v>340</v>
      </c>
      <c r="B615" s="107">
        <v>23</v>
      </c>
      <c r="C615" s="107">
        <v>16</v>
      </c>
      <c r="D615" s="39" t="s">
        <v>432</v>
      </c>
      <c r="E615" s="107"/>
      <c r="F615" s="108">
        <f t="shared" ref="F615:L615" si="49">SUM(F612:F614)</f>
        <v>315</v>
      </c>
      <c r="G615" s="108">
        <f t="shared" si="49"/>
        <v>213.78</v>
      </c>
      <c r="H615" s="108">
        <f t="shared" si="49"/>
        <v>0</v>
      </c>
      <c r="I615" s="108">
        <f t="shared" si="49"/>
        <v>0</v>
      </c>
      <c r="J615" s="108">
        <f t="shared" si="49"/>
        <v>0</v>
      </c>
      <c r="K615" s="108">
        <f t="shared" si="49"/>
        <v>0</v>
      </c>
      <c r="L615" s="89">
        <f t="shared" si="49"/>
        <v>528.78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122680.43999999999</v>
      </c>
      <c r="H618" s="109">
        <f>SUM(F52)</f>
        <v>122680.44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9573.19</v>
      </c>
      <c r="H619" s="109">
        <f>SUM(G52)</f>
        <v>9573.19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215550.33</v>
      </c>
      <c r="H620" s="109">
        <f>SUM(H52)</f>
        <v>215550.33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696044.2</v>
      </c>
      <c r="H622" s="109">
        <f>SUM(J52)</f>
        <v>696044.2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111335.09</v>
      </c>
      <c r="H623" s="109">
        <f>F477</f>
        <v>111335.08999999985</v>
      </c>
      <c r="I623" s="121" t="s">
        <v>101</v>
      </c>
      <c r="J623" s="109">
        <f t="shared" ref="J623:J656" si="50">G623-H623</f>
        <v>1.4551915228366852E-10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696044.2</v>
      </c>
      <c r="H627" s="109">
        <f>J477</f>
        <v>696044.2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5789964.4299999997</v>
      </c>
      <c r="H628" s="104">
        <f>SUM(F469)</f>
        <v>5789964.4299999997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195767.28999999998</v>
      </c>
      <c r="H629" s="104">
        <f>SUM(G469)</f>
        <v>195767.28999999998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728502.21</v>
      </c>
      <c r="H630" s="104">
        <f>SUM(H469)</f>
        <v>728502.21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350286.95</v>
      </c>
      <c r="H632" s="104">
        <f>SUM(J469)</f>
        <v>350286.95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6047941.7200000016</v>
      </c>
      <c r="H633" s="104">
        <f>SUM(F473)</f>
        <v>6047941.7199999997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728502.20999999985</v>
      </c>
      <c r="H634" s="104">
        <f>SUM(H473)</f>
        <v>728502.21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6202.49</v>
      </c>
      <c r="H635" s="104">
        <f>I370</f>
        <v>6202.49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195767.29</v>
      </c>
      <c r="H636" s="104">
        <f>SUM(G473)</f>
        <v>195767.28999999998</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350286.94999999995</v>
      </c>
      <c r="H638" s="164">
        <f>SUM(J469)</f>
        <v>350286.95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696044.2</v>
      </c>
      <c r="H641" s="104">
        <f>SUM(G462)</f>
        <v>696044.2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696044.2</v>
      </c>
      <c r="H643" s="104">
        <f>SUM(I462)</f>
        <v>696044.2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286.95</v>
      </c>
      <c r="H645" s="104">
        <f>H409</f>
        <v>286.95000000000005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350000</v>
      </c>
      <c r="H646" s="104">
        <f>G409</f>
        <v>350000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350286.95</v>
      </c>
      <c r="H647" s="104">
        <f>L409</f>
        <v>350286.94999999995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165186.47000000003</v>
      </c>
      <c r="H648" s="104">
        <f>L209+L227+L245</f>
        <v>165186.47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210906.03999999998</v>
      </c>
      <c r="H649" s="104">
        <f>(J258+J339)-(J256+J337)</f>
        <v>210906.03999999998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82297.77</v>
      </c>
      <c r="H650" s="104">
        <f>H599</f>
        <v>82297.77</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82888.7</v>
      </c>
      <c r="H652" s="104">
        <f>J599</f>
        <v>82888.7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28270.17</v>
      </c>
      <c r="H653" s="104">
        <f>K264+K346</f>
        <v>28270.17</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350000</v>
      </c>
      <c r="H656" s="104">
        <f>K267+K348</f>
        <v>350000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3595663.6400000006</v>
      </c>
      <c r="G661" s="19">
        <f>(L230+L310+L360)</f>
        <v>0</v>
      </c>
      <c r="H661" s="19">
        <f>(L248+L329+L361)</f>
        <v>2490932.69</v>
      </c>
      <c r="I661" s="19">
        <f>SUM(F661:H661)</f>
        <v>6086596.3300000001</v>
      </c>
      <c r="J661" s="13"/>
      <c r="K661" s="13"/>
      <c r="L661" s="13"/>
      <c r="M661" s="9"/>
    </row>
    <row r="662" spans="1:13" s="3" customFormat="1" ht="12.2" customHeight="1" x14ac:dyDescent="0.2">
      <c r="A662" s="1" t="s">
        <v>127</v>
      </c>
      <c r="F662" s="19">
        <f>(L359/IF(SUM(L359:L361)=0,1,SUM(L359:L361))*(SUM(G97:G110)))</f>
        <v>1191.1822583078101</v>
      </c>
      <c r="G662" s="19">
        <f>(L360/IF(SUM(L359:L361)=0,1,SUM(L359:L361))*(SUM(G97:G110)))</f>
        <v>0</v>
      </c>
      <c r="H662" s="19">
        <f>(L361/IF(SUM(L359:L361)=0,1,SUM(L359:L361))*(SUM(G97:G110)))</f>
        <v>1963.0677416921899</v>
      </c>
      <c r="I662" s="19">
        <f>SUM(F662:H662)</f>
        <v>3154.25</v>
      </c>
      <c r="J662"/>
      <c r="K662" s="13"/>
      <c r="L662" s="13"/>
      <c r="M662" s="8"/>
    </row>
    <row r="663" spans="1:13" s="3" customFormat="1" ht="12.2" customHeight="1" x14ac:dyDescent="0.2">
      <c r="A663" s="1" t="s">
        <v>128</v>
      </c>
      <c r="F663" s="19">
        <f>(L209+L288)-(J209+J288)</f>
        <v>82837.77</v>
      </c>
      <c r="G663" s="19">
        <f>(L227+L307)-(J227+J307)</f>
        <v>0</v>
      </c>
      <c r="H663" s="19">
        <f>(L245+L326)-(J245+J326)</f>
        <v>82888.7</v>
      </c>
      <c r="I663" s="19">
        <f>SUM(F663:H663)</f>
        <v>165726.47</v>
      </c>
      <c r="J663"/>
      <c r="K663" s="13"/>
      <c r="L663" s="13"/>
      <c r="M663" s="9"/>
    </row>
    <row r="664" spans="1:13" s="3" customFormat="1" ht="12.2" customHeight="1" x14ac:dyDescent="0.15">
      <c r="A664" s="198" t="s">
        <v>129</v>
      </c>
      <c r="B664" s="169"/>
      <c r="C664" s="169"/>
      <c r="D664" s="169"/>
      <c r="E664" s="169"/>
      <c r="F664" s="199">
        <f>SUM(F576:F588)+SUM(H603:H605)+SUM(L612)</f>
        <v>165636.37</v>
      </c>
      <c r="G664" s="199">
        <f>SUM(G576:G588)+SUM(I603:I605)+L613</f>
        <v>0</v>
      </c>
      <c r="H664" s="199">
        <f>SUM(H576:H588)+SUM(J603:J605)+L614</f>
        <v>128499.85999999999</v>
      </c>
      <c r="I664" s="19">
        <f>SUM(F664:H664)</f>
        <v>294136.23</v>
      </c>
      <c r="J664" s="13"/>
      <c r="K664" s="13"/>
      <c r="L664" s="13"/>
      <c r="M664" s="9"/>
    </row>
    <row r="665" spans="1:13" s="3" customFormat="1" ht="12.2" customHeight="1" x14ac:dyDescent="0.15">
      <c r="A665" s="1" t="s">
        <v>130</v>
      </c>
      <c r="F665" s="19">
        <f>F661-SUM(F662:F664)</f>
        <v>3345998.317741693</v>
      </c>
      <c r="G665" s="19">
        <f>G661-SUM(G662:G664)</f>
        <v>0</v>
      </c>
      <c r="H665" s="19">
        <f>H661-SUM(H662:H664)</f>
        <v>2277581.0622583078</v>
      </c>
      <c r="I665" s="19">
        <f>I661-SUM(I662:I664)</f>
        <v>5623579.3799999999</v>
      </c>
      <c r="J665" s="13"/>
      <c r="K665" s="13"/>
      <c r="L665" s="13"/>
      <c r="M665" s="8"/>
    </row>
    <row r="666" spans="1:13" s="3" customFormat="1" ht="12.2" customHeight="1" x14ac:dyDescent="0.25">
      <c r="A666" s="1" t="s">
        <v>131</v>
      </c>
      <c r="F666" s="361">
        <v>207.34</v>
      </c>
      <c r="G666" s="361">
        <v>0</v>
      </c>
      <c r="H666" s="361">
        <v>117.42</v>
      </c>
      <c r="I666" s="19">
        <f>SUM(F666:H666)</f>
        <v>324.76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16137.74</v>
      </c>
      <c r="G668" s="19" t="e">
        <f>ROUND(G665/G666,2)</f>
        <v>#DIV/0!</v>
      </c>
      <c r="H668" s="19">
        <f>ROUND(H665/H666,2)</f>
        <v>19396.87</v>
      </c>
      <c r="I668" s="19">
        <f>ROUND(I665/I666,2)</f>
        <v>17316.11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-4.67</v>
      </c>
      <c r="I671" s="19">
        <f>SUM(F671:H671)</f>
        <v>-4.67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16137.74</v>
      </c>
      <c r="G673" s="19" t="e">
        <f>ROUND((G665+G670)/(G666+G671),2)</f>
        <v>#DIV/0!</v>
      </c>
      <c r="H673" s="19">
        <f>ROUND((H665+H670)/(H666+H671),2)</f>
        <v>20200.28</v>
      </c>
      <c r="I673" s="19">
        <f>ROUND((I665+I670)/(I666+I671),2)</f>
        <v>17568.740000000002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7" zoomScaleNormal="100" workbookViewId="0">
      <selection activeCell="E22" sqref="E22"/>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2" t="s">
        <v>1669</v>
      </c>
      <c r="D2" s="362"/>
      <c r="E2" s="362"/>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'DOE25'!F162+'DOE25'!G162+'DOE25'!H162</f>
        <v>182308.22999999998</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141893.43</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6353.19+122321.75+19848.37+376.4+1830.9+187.67+20822.42+25816</f>
        <v>197556.7</v>
      </c>
      <c r="F22" s="346"/>
    </row>
    <row r="23" spans="2:8" x14ac:dyDescent="0.25">
      <c r="B23" s="346"/>
      <c r="C23" s="346"/>
      <c r="D23" s="346"/>
      <c r="E23" s="346"/>
      <c r="F23" s="346"/>
    </row>
    <row r="24" spans="2:8" ht="26.25" customHeight="1" x14ac:dyDescent="0.25">
      <c r="B24" s="346"/>
      <c r="C24" s="348" t="s">
        <v>1661</v>
      </c>
      <c r="D24" s="346"/>
      <c r="E24" s="341">
        <f>16468.21+19848.37+122321.75+65010.8</f>
        <v>223649.13</v>
      </c>
      <c r="F24" s="346"/>
    </row>
    <row r="25" spans="2:8" ht="18" x14ac:dyDescent="0.25">
      <c r="B25" s="346"/>
      <c r="C25" s="349"/>
      <c r="D25" s="346"/>
      <c r="E25" s="346"/>
      <c r="F25" s="346"/>
    </row>
    <row r="26" spans="2:8" ht="27.75" customHeight="1" x14ac:dyDescent="0.25">
      <c r="B26" s="346"/>
      <c r="C26" s="348" t="s">
        <v>1662</v>
      </c>
      <c r="D26" s="346"/>
      <c r="E26" s="360">
        <f>376.4+1830.9+22235.87+187.67+2643.6+25816+4024.53+5629.32</f>
        <v>62744.289999999994</v>
      </c>
      <c r="F26" s="346"/>
    </row>
    <row r="27" spans="2:8" x14ac:dyDescent="0.25">
      <c r="B27" s="346"/>
      <c r="C27" s="348"/>
      <c r="D27" s="346"/>
      <c r="E27" s="346"/>
      <c r="F27" s="346"/>
    </row>
    <row r="28" spans="2:8" ht="15.75" customHeight="1" x14ac:dyDescent="0.25">
      <c r="B28" s="346"/>
      <c r="C28" s="348" t="s">
        <v>1663</v>
      </c>
      <c r="D28" s="346"/>
      <c r="E28" s="342">
        <v>8036.2</v>
      </c>
      <c r="F28" s="346"/>
    </row>
    <row r="29" spans="2:8" x14ac:dyDescent="0.25">
      <c r="B29" s="346"/>
      <c r="C29" s="346"/>
      <c r="D29" s="346"/>
      <c r="E29" s="346"/>
      <c r="F29" s="346"/>
    </row>
    <row r="30" spans="2:8" ht="16.5" customHeight="1" x14ac:dyDescent="0.25">
      <c r="B30" s="346"/>
      <c r="C30" s="348" t="s">
        <v>1664</v>
      </c>
      <c r="D30" s="346"/>
      <c r="E30" s="359">
        <f>122321.75+25816+19848.37</f>
        <v>167986.12</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7"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3" t="s">
        <v>1575</v>
      </c>
      <c r="B1" s="363"/>
      <c r="C1" s="363"/>
      <c r="D1" s="363"/>
      <c r="E1" s="363"/>
      <c r="F1" s="363"/>
      <c r="G1" s="363"/>
      <c r="H1" s="363"/>
    </row>
    <row r="2" spans="1:9" ht="15" x14ac:dyDescent="0.2">
      <c r="A2" s="363" t="s">
        <v>1627</v>
      </c>
      <c r="B2" s="363"/>
      <c r="C2" s="363"/>
      <c r="D2" s="363"/>
      <c r="E2" s="363"/>
      <c r="F2" s="363"/>
      <c r="G2" s="363"/>
      <c r="H2" s="363"/>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4" t="str">
        <f>'DOE25'!A2</f>
        <v>Northumberland SD</v>
      </c>
      <c r="C5" s="365"/>
      <c r="D5" s="365"/>
      <c r="E5" s="365"/>
      <c r="F5" s="365"/>
    </row>
    <row r="8" spans="1:9" ht="18" x14ac:dyDescent="0.25">
      <c r="A8" s="317" t="s">
        <v>1576</v>
      </c>
      <c r="F8" s="324" t="s">
        <v>1594</v>
      </c>
    </row>
    <row r="9" spans="1:9" ht="15" x14ac:dyDescent="0.2">
      <c r="A9" s="315" t="s">
        <v>1577</v>
      </c>
      <c r="B9" s="318">
        <f>'DOE25'!G97</f>
        <v>3154.25</v>
      </c>
      <c r="F9" s="315" t="s">
        <v>1590</v>
      </c>
    </row>
    <row r="10" spans="1:9" ht="15" x14ac:dyDescent="0.2">
      <c r="A10" s="315" t="s">
        <v>1578</v>
      </c>
      <c r="B10" s="318">
        <f>'DOE25'!G112-'DOE25'!G97</f>
        <v>0</v>
      </c>
      <c r="F10" s="315" t="s">
        <v>1591</v>
      </c>
    </row>
    <row r="11" spans="1:9" ht="15" x14ac:dyDescent="0.2">
      <c r="A11" s="315" t="s">
        <v>1579</v>
      </c>
      <c r="B11" s="318">
        <f>'DOE25'!G140</f>
        <v>3359.65</v>
      </c>
      <c r="F11" s="315" t="s">
        <v>1592</v>
      </c>
    </row>
    <row r="12" spans="1:9" ht="15" x14ac:dyDescent="0.2">
      <c r="A12" s="315" t="s">
        <v>1580</v>
      </c>
      <c r="B12" s="318">
        <f>'DOE25'!G170</f>
        <v>160983.22</v>
      </c>
      <c r="F12" s="315" t="s">
        <v>1593</v>
      </c>
    </row>
    <row r="13" spans="1:9" ht="15" x14ac:dyDescent="0.2">
      <c r="A13" s="315" t="s">
        <v>1581</v>
      </c>
      <c r="B13" s="318">
        <f>'DOE25'!G193-'DOE25'!G180</f>
        <v>6202.489999999998</v>
      </c>
      <c r="F13" s="315" t="s">
        <v>1603</v>
      </c>
    </row>
    <row r="14" spans="1:9" ht="18" x14ac:dyDescent="0.25">
      <c r="A14" s="317" t="s">
        <v>732</v>
      </c>
      <c r="B14" s="319">
        <f>SUM(B9:B13)</f>
        <v>173699.61</v>
      </c>
    </row>
    <row r="16" spans="1:9" ht="18" x14ac:dyDescent="0.25">
      <c r="A16" s="317" t="s">
        <v>786</v>
      </c>
      <c r="F16" s="324" t="s">
        <v>1595</v>
      </c>
    </row>
    <row r="17" spans="1:6" ht="15" x14ac:dyDescent="0.2">
      <c r="A17" s="315" t="s">
        <v>1582</v>
      </c>
      <c r="B17" s="318">
        <f>'DOE25'!L363-'DOE25'!L362</f>
        <v>195767.29</v>
      </c>
      <c r="F17" s="315" t="s">
        <v>1596</v>
      </c>
    </row>
    <row r="18" spans="1:6" ht="15" x14ac:dyDescent="0.2">
      <c r="A18" s="315" t="s">
        <v>1583</v>
      </c>
      <c r="B18" s="328"/>
      <c r="F18" s="324" t="s">
        <v>1620</v>
      </c>
    </row>
    <row r="19" spans="1:6" ht="18" x14ac:dyDescent="0.25">
      <c r="A19" s="317" t="s">
        <v>725</v>
      </c>
      <c r="B19" s="319">
        <f>SUM(B17:B18)</f>
        <v>195767.29</v>
      </c>
    </row>
    <row r="21" spans="1:6" ht="18.75" thickBot="1" x14ac:dyDescent="0.3">
      <c r="A21" s="317" t="s">
        <v>1584</v>
      </c>
    </row>
    <row r="22" spans="1:6" ht="18.75" thickTop="1" x14ac:dyDescent="0.25">
      <c r="A22" s="317" t="s">
        <v>1585</v>
      </c>
      <c r="B22" s="323">
        <f>B14-B19</f>
        <v>-22067.680000000022</v>
      </c>
      <c r="F22" s="315" t="s">
        <v>1597</v>
      </c>
    </row>
    <row r="26" spans="1:6" ht="18" x14ac:dyDescent="0.25">
      <c r="A26" s="317" t="s">
        <v>186</v>
      </c>
    </row>
    <row r="27" spans="1:6" ht="15" x14ac:dyDescent="0.2">
      <c r="A27" s="315" t="s">
        <v>1586</v>
      </c>
      <c r="B27" s="318">
        <f>'DOE25'!G180</f>
        <v>22067.68</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29">
        <f>6875.54+6407.67</f>
        <v>13283.21</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Northumberland SD</v>
      </c>
      <c r="C1" s="238" t="s">
        <v>824</v>
      </c>
    </row>
    <row r="2" spans="1:3" x14ac:dyDescent="0.2">
      <c r="A2" s="233"/>
      <c r="B2" s="232"/>
    </row>
    <row r="3" spans="1:3" x14ac:dyDescent="0.2">
      <c r="A3" s="362" t="s">
        <v>780</v>
      </c>
      <c r="B3" s="362"/>
      <c r="C3" s="362"/>
    </row>
    <row r="4" spans="1:3" x14ac:dyDescent="0.2">
      <c r="A4" s="236"/>
      <c r="B4" s="237" t="str">
        <f>'DOE25'!H1</f>
        <v>DOE 25  2020-2021</v>
      </c>
      <c r="C4" s="236"/>
    </row>
    <row r="5" spans="1:3" x14ac:dyDescent="0.2">
      <c r="A5" s="233"/>
      <c r="B5" s="232"/>
    </row>
    <row r="6" spans="1:3" x14ac:dyDescent="0.2">
      <c r="A6" s="227"/>
      <c r="B6" s="368" t="s">
        <v>779</v>
      </c>
      <c r="C6" s="368"/>
    </row>
    <row r="7" spans="1:3" x14ac:dyDescent="0.2">
      <c r="A7" s="239" t="s">
        <v>782</v>
      </c>
      <c r="B7" s="366" t="s">
        <v>778</v>
      </c>
      <c r="C7" s="367"/>
    </row>
    <row r="8" spans="1:3" x14ac:dyDescent="0.2">
      <c r="B8" s="228" t="s">
        <v>54</v>
      </c>
      <c r="C8" s="228" t="s">
        <v>772</v>
      </c>
    </row>
    <row r="9" spans="1:3" x14ac:dyDescent="0.2">
      <c r="A9" s="33" t="s">
        <v>773</v>
      </c>
      <c r="B9" s="229">
        <f>'DOE25'!F198+'DOE25'!F216+'DOE25'!F234+'DOE25'!F277+'DOE25'!F296+'DOE25'!F315</f>
        <v>1715671.0299999998</v>
      </c>
      <c r="C9" s="229">
        <f>'DOE25'!G198+'DOE25'!G216+'DOE25'!G234+'DOE25'!G277+'DOE25'!G296+'DOE25'!G315</f>
        <v>678135.03999999992</v>
      </c>
    </row>
    <row r="10" spans="1:3" x14ac:dyDescent="0.2">
      <c r="A10" t="s">
        <v>775</v>
      </c>
      <c r="B10" s="240">
        <f>1430055.54+51218.83+172332.92+12100-16966.25</f>
        <v>1648741.04</v>
      </c>
      <c r="C10" s="240">
        <f>162859.53+447855.67+65791.87+1627.97-3822.23-1297.92</f>
        <v>673014.8899999999</v>
      </c>
    </row>
    <row r="11" spans="1:3" x14ac:dyDescent="0.2">
      <c r="A11" t="s">
        <v>776</v>
      </c>
      <c r="B11" s="240">
        <v>49963.74</v>
      </c>
      <c r="C11" s="240">
        <v>3822.23</v>
      </c>
    </row>
    <row r="12" spans="1:3" x14ac:dyDescent="0.2">
      <c r="A12" t="s">
        <v>777</v>
      </c>
      <c r="B12" s="240">
        <f>4377.5+3272.5+9316.25</f>
        <v>16966.25</v>
      </c>
      <c r="C12" s="240">
        <v>1297.92</v>
      </c>
    </row>
    <row r="13" spans="1:3" x14ac:dyDescent="0.2">
      <c r="A13" t="str">
        <f>IF(B9=B13,IF(C9=C13,"Check Total OK","Check Total Error"),"Check Total Error")</f>
        <v>Check Total OK</v>
      </c>
      <c r="B13" s="231">
        <f>SUM(B10:B12)</f>
        <v>1715671.03</v>
      </c>
      <c r="C13" s="231">
        <f>SUM(C10:C12)</f>
        <v>678135.03999999992</v>
      </c>
    </row>
    <row r="14" spans="1:3" x14ac:dyDescent="0.2">
      <c r="B14" s="230"/>
      <c r="C14" s="230"/>
    </row>
    <row r="15" spans="1:3" x14ac:dyDescent="0.2">
      <c r="B15" s="368" t="s">
        <v>779</v>
      </c>
      <c r="C15" s="368"/>
    </row>
    <row r="16" spans="1:3" x14ac:dyDescent="0.2">
      <c r="A16" s="239" t="s">
        <v>783</v>
      </c>
      <c r="B16" s="366" t="s">
        <v>703</v>
      </c>
      <c r="C16" s="367"/>
    </row>
    <row r="17" spans="1:3" x14ac:dyDescent="0.2">
      <c r="B17" s="228" t="s">
        <v>54</v>
      </c>
      <c r="C17" s="228" t="s">
        <v>772</v>
      </c>
    </row>
    <row r="18" spans="1:3" x14ac:dyDescent="0.2">
      <c r="A18" s="33" t="s">
        <v>773</v>
      </c>
      <c r="B18" s="229">
        <f>'DOE25'!F199+'DOE25'!F217+'DOE25'!F235+'DOE25'!F278+'DOE25'!F297+'DOE25'!F316</f>
        <v>507263.22000000003</v>
      </c>
      <c r="C18" s="229">
        <f>'DOE25'!G199+'DOE25'!G217+'DOE25'!G235+'DOE25'!G278+'DOE25'!G297+'DOE25'!G316</f>
        <v>122531.06</v>
      </c>
    </row>
    <row r="19" spans="1:3" x14ac:dyDescent="0.2">
      <c r="A19" t="s">
        <v>775</v>
      </c>
      <c r="B19" s="240">
        <f>131079.49+64039.71+66002.29-16766.25</f>
        <v>244355.24</v>
      </c>
      <c r="C19" s="240">
        <f>67341.04+26732.65+28457.37-18829.85-1282.62</f>
        <v>102418.59</v>
      </c>
    </row>
    <row r="20" spans="1:3" x14ac:dyDescent="0.2">
      <c r="A20" t="s">
        <v>776</v>
      </c>
      <c r="B20" s="240">
        <f>101035.24+102417.59+42688.9</f>
        <v>246141.73</v>
      </c>
      <c r="C20" s="240">
        <v>18829.849999999999</v>
      </c>
    </row>
    <row r="21" spans="1:3" x14ac:dyDescent="0.2">
      <c r="A21" t="s">
        <v>777</v>
      </c>
      <c r="B21" s="240">
        <f>2103.75+3166.25+11496.25</f>
        <v>16766.25</v>
      </c>
      <c r="C21" s="240">
        <v>1282.6199999999999</v>
      </c>
    </row>
    <row r="22" spans="1:3" x14ac:dyDescent="0.2">
      <c r="A22" t="str">
        <f>IF(B18=B22,IF(C18=C22,"Check Total OK","Check Total Error"),"Check Total Error")</f>
        <v>Check Total OK</v>
      </c>
      <c r="B22" s="231">
        <f>SUM(B19:B21)</f>
        <v>507263.22</v>
      </c>
      <c r="C22" s="231">
        <f>SUM(C19:C21)</f>
        <v>122531.06</v>
      </c>
    </row>
    <row r="23" spans="1:3" x14ac:dyDescent="0.2">
      <c r="B23" s="230"/>
      <c r="C23" s="230"/>
    </row>
    <row r="24" spans="1:3" x14ac:dyDescent="0.2">
      <c r="B24" s="368" t="s">
        <v>779</v>
      </c>
      <c r="C24" s="368"/>
    </row>
    <row r="25" spans="1:3" x14ac:dyDescent="0.2">
      <c r="A25" s="239" t="s">
        <v>784</v>
      </c>
      <c r="B25" s="366" t="s">
        <v>704</v>
      </c>
      <c r="C25" s="367"/>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8" t="s">
        <v>779</v>
      </c>
      <c r="C33" s="368"/>
    </row>
    <row r="34" spans="1:3" x14ac:dyDescent="0.2">
      <c r="A34" s="239" t="s">
        <v>785</v>
      </c>
      <c r="B34" s="366" t="s">
        <v>705</v>
      </c>
      <c r="C34" s="367"/>
    </row>
    <row r="35" spans="1:3" x14ac:dyDescent="0.2">
      <c r="B35" s="228" t="s">
        <v>54</v>
      </c>
      <c r="C35" s="228" t="s">
        <v>772</v>
      </c>
    </row>
    <row r="36" spans="1:3" x14ac:dyDescent="0.2">
      <c r="A36" s="33" t="s">
        <v>773</v>
      </c>
      <c r="B36" s="235">
        <f>'DOE25'!F201+'DOE25'!F219+'DOE25'!F237+'DOE25'!F280+'DOE25'!F299+'DOE25'!F318</f>
        <v>65079</v>
      </c>
      <c r="C36" s="235">
        <f>'DOE25'!G201+'DOE25'!G219+'DOE25'!G237+'DOE25'!G280+'DOE25'!G299+'DOE25'!G318</f>
        <v>12195.74</v>
      </c>
    </row>
    <row r="37" spans="1:3" x14ac:dyDescent="0.2">
      <c r="A37" t="s">
        <v>775</v>
      </c>
      <c r="B37" s="240">
        <f>1905.33+3384.92+18936.87+327.6-12.6+3456+1300</f>
        <v>29298.12</v>
      </c>
      <c r="C37" s="240">
        <v>8399.7800000000007</v>
      </c>
    </row>
    <row r="38" spans="1:3" x14ac:dyDescent="0.2">
      <c r="A38" t="s">
        <v>776</v>
      </c>
      <c r="B38" s="240">
        <v>884</v>
      </c>
      <c r="C38" s="240">
        <v>67.63</v>
      </c>
    </row>
    <row r="39" spans="1:3" x14ac:dyDescent="0.2">
      <c r="A39" t="s">
        <v>777</v>
      </c>
      <c r="B39" s="240">
        <f>9744.67+4145.88+21006.33</f>
        <v>34896.880000000005</v>
      </c>
      <c r="C39" s="240">
        <f>2669.62+1058.71</f>
        <v>3728.33</v>
      </c>
    </row>
    <row r="40" spans="1:3" x14ac:dyDescent="0.2">
      <c r="A40" t="str">
        <f>IF(B36=B40,IF(C36=C40,"Check Total OK","Check Total Error"),"Check Total Error")</f>
        <v>Check Total OK</v>
      </c>
      <c r="B40" s="231">
        <f>SUM(B37:B39)</f>
        <v>65079</v>
      </c>
      <c r="C40" s="231">
        <f>SUM(C37:C39)</f>
        <v>12195.74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8" t="s">
        <v>892</v>
      </c>
      <c r="B1" s="371"/>
      <c r="C1" s="371"/>
      <c r="D1" s="371"/>
      <c r="E1" s="371"/>
      <c r="F1" s="371"/>
      <c r="G1" s="371"/>
      <c r="H1" s="371"/>
      <c r="I1" s="181"/>
    </row>
    <row r="2" spans="1:9" x14ac:dyDescent="0.2">
      <c r="A2" s="33" t="s">
        <v>713</v>
      </c>
      <c r="B2" s="258" t="str">
        <f>'DOE25'!A2</f>
        <v>Northumberland SD</v>
      </c>
      <c r="C2" s="275"/>
      <c r="D2" s="181" t="s">
        <v>787</v>
      </c>
      <c r="E2" s="181" t="s">
        <v>789</v>
      </c>
      <c r="F2" s="369" t="s">
        <v>891</v>
      </c>
      <c r="G2" s="370"/>
      <c r="H2" s="370"/>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3089314.2700000005</v>
      </c>
      <c r="D5" s="20">
        <f>SUM('DOE25'!L198:L201)+SUM('DOE25'!L216:L219)+SUM('DOE25'!L234:L237)-F5-G5-H5</f>
        <v>3069411.2700000005</v>
      </c>
      <c r="E5" s="243"/>
      <c r="F5" s="244"/>
      <c r="G5" s="53">
        <f>SUM('DOE25'!J198:J201)+SUM('DOE25'!J216:J219)+SUM('DOE25'!J234:J237)</f>
        <v>16569.099999999999</v>
      </c>
      <c r="H5" s="53">
        <f>SUM('DOE25'!K198:K201)+SUM('DOE25'!K216:K219)+SUM('DOE25'!K234:K237)</f>
        <v>3333.9</v>
      </c>
      <c r="I5" s="254"/>
    </row>
    <row r="6" spans="1:9" x14ac:dyDescent="0.2">
      <c r="A6" s="32">
        <v>2100</v>
      </c>
      <c r="B6" t="s">
        <v>796</v>
      </c>
      <c r="C6" s="273">
        <f t="shared" si="0"/>
        <v>386946.06</v>
      </c>
      <c r="D6" s="20">
        <f>'DOE25'!L203+'DOE25'!L221+'DOE25'!L239-F6-G6-H6</f>
        <v>385308.05</v>
      </c>
      <c r="E6" s="243"/>
      <c r="F6" s="244"/>
      <c r="G6" s="53">
        <f>'DOE25'!J203+'DOE25'!J221+'DOE25'!J239</f>
        <v>356.61</v>
      </c>
      <c r="H6" s="53">
        <f>'DOE25'!K203+'DOE25'!K221+'DOE25'!K239</f>
        <v>1281.4000000000001</v>
      </c>
      <c r="I6" s="254"/>
    </row>
    <row r="7" spans="1:9" x14ac:dyDescent="0.2">
      <c r="A7" s="32">
        <v>2200</v>
      </c>
      <c r="B7" t="s">
        <v>821</v>
      </c>
      <c r="C7" s="273">
        <f t="shared" si="0"/>
        <v>99339.099999999991</v>
      </c>
      <c r="D7" s="20">
        <f>'DOE25'!L204+'DOE25'!L222+'DOE25'!L240-F7-G7-H7</f>
        <v>99339.099999999991</v>
      </c>
      <c r="E7" s="243"/>
      <c r="F7" s="244"/>
      <c r="G7" s="53">
        <f>'DOE25'!J204+'DOE25'!J222+'DOE25'!J240</f>
        <v>0</v>
      </c>
      <c r="H7" s="53">
        <f>'DOE25'!K204+'DOE25'!K222+'DOE25'!K240</f>
        <v>0</v>
      </c>
      <c r="I7" s="254"/>
    </row>
    <row r="8" spans="1:9" x14ac:dyDescent="0.2">
      <c r="A8" s="32">
        <v>2300</v>
      </c>
      <c r="B8" t="s">
        <v>797</v>
      </c>
      <c r="C8" s="273">
        <f t="shared" si="0"/>
        <v>278426.42999999993</v>
      </c>
      <c r="D8" s="243"/>
      <c r="E8" s="20">
        <f>'DOE25'!L205+'DOE25'!L223+'DOE25'!L241-F8-G8-H8-D9-D11</f>
        <v>274225.17999999993</v>
      </c>
      <c r="F8" s="244"/>
      <c r="G8" s="53">
        <f>'DOE25'!J205+'DOE25'!J223+'DOE25'!J241</f>
        <v>0</v>
      </c>
      <c r="H8" s="53">
        <f>'DOE25'!K205+'DOE25'!K223+'DOE25'!K241</f>
        <v>4201.25</v>
      </c>
      <c r="I8" s="254"/>
    </row>
    <row r="9" spans="1:9" ht="14.25" x14ac:dyDescent="0.2">
      <c r="A9" s="32">
        <v>2310</v>
      </c>
      <c r="B9" s="185" t="s">
        <v>888</v>
      </c>
      <c r="C9" s="273">
        <f t="shared" si="0"/>
        <v>50499.32</v>
      </c>
      <c r="D9" s="244">
        <v>50499.32</v>
      </c>
      <c r="E9" s="243"/>
      <c r="F9" s="251"/>
      <c r="G9" s="251"/>
      <c r="H9" s="251"/>
      <c r="I9" s="254"/>
    </row>
    <row r="10" spans="1:9" ht="14.25" x14ac:dyDescent="0.2">
      <c r="A10" s="32">
        <v>2317</v>
      </c>
      <c r="B10" s="185" t="s">
        <v>889</v>
      </c>
      <c r="C10" s="273">
        <f t="shared" si="0"/>
        <v>10700</v>
      </c>
      <c r="D10" s="243"/>
      <c r="E10" s="244">
        <v>10700</v>
      </c>
      <c r="F10" s="251"/>
      <c r="G10" s="251"/>
      <c r="H10" s="251"/>
      <c r="I10" s="254"/>
    </row>
    <row r="11" spans="1:9" ht="14.25" x14ac:dyDescent="0.2">
      <c r="A11" s="32">
        <v>2321</v>
      </c>
      <c r="B11" s="185" t="s">
        <v>890</v>
      </c>
      <c r="C11" s="273">
        <f t="shared" si="0"/>
        <v>126229.96</v>
      </c>
      <c r="D11" s="244">
        <v>126229.96</v>
      </c>
      <c r="E11" s="243"/>
      <c r="F11" s="251"/>
      <c r="G11" s="251"/>
      <c r="H11" s="251"/>
      <c r="I11" s="254"/>
    </row>
    <row r="12" spans="1:9" x14ac:dyDescent="0.2">
      <c r="A12" s="32">
        <v>2400</v>
      </c>
      <c r="B12" t="s">
        <v>711</v>
      </c>
      <c r="C12" s="273">
        <f t="shared" si="0"/>
        <v>593455.64</v>
      </c>
      <c r="D12" s="20">
        <f>'DOE25'!L206+'DOE25'!L224+'DOE25'!L242-F12-G12-H12</f>
        <v>580012.19000000006</v>
      </c>
      <c r="E12" s="243"/>
      <c r="F12" s="244"/>
      <c r="G12" s="53">
        <f>'DOE25'!J206+'DOE25'!J224+'DOE25'!J242</f>
        <v>3115.13</v>
      </c>
      <c r="H12" s="53">
        <f>'DOE25'!K206+'DOE25'!K224+'DOE25'!K242</f>
        <v>10328.32</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406945.46</v>
      </c>
      <c r="D14" s="20">
        <f>'DOE25'!L208+'DOE25'!L226+'DOE25'!L244-F14-G14-H14</f>
        <v>406945.46</v>
      </c>
      <c r="E14" s="243"/>
      <c r="F14" s="244"/>
      <c r="G14" s="53">
        <f>'DOE25'!J208+'DOE25'!J226+'DOE25'!J244</f>
        <v>0</v>
      </c>
      <c r="H14" s="53">
        <f>'DOE25'!K208+'DOE25'!K226+'DOE25'!K244</f>
        <v>0</v>
      </c>
      <c r="I14" s="254"/>
    </row>
    <row r="15" spans="1:9" x14ac:dyDescent="0.2">
      <c r="A15" s="32">
        <v>2700</v>
      </c>
      <c r="B15" t="s">
        <v>799</v>
      </c>
      <c r="C15" s="273">
        <f t="shared" si="0"/>
        <v>165186.47</v>
      </c>
      <c r="D15" s="20">
        <f>'DOE25'!L209+'DOE25'!L227+'DOE25'!L245-F15-G15-H15</f>
        <v>55938.47</v>
      </c>
      <c r="E15" s="243"/>
      <c r="F15" s="244">
        <f>134248-25000</f>
        <v>109248</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21049.39</v>
      </c>
      <c r="D17" s="20">
        <f>'DOE25'!L252-F17-G17-H17</f>
        <v>21049.39</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426654.29000000004</v>
      </c>
      <c r="D22" s="243"/>
      <c r="E22" s="243"/>
      <c r="F22" s="243"/>
      <c r="G22" s="53">
        <f>'DOE25'!L256+'DOE25'!L337</f>
        <v>426654.29000000004</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15404.25</v>
      </c>
      <c r="D25" s="243"/>
      <c r="E25" s="243"/>
      <c r="F25" s="253"/>
      <c r="G25" s="251"/>
      <c r="H25" s="251"/>
      <c r="I25" s="252">
        <f>'DOE25'!L261+'DOE25'!L262+'DOE25'!L342+'DOE25'!L343</f>
        <v>15404.25</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195767.29</v>
      </c>
      <c r="D29" s="281">
        <f>'DOE25'!L359+'DOE25'!L360+'DOE25'!L361-'DOE25'!I368-F29-G29-H29</f>
        <v>39616.910000000003</v>
      </c>
      <c r="E29" s="243"/>
      <c r="F29" s="244">
        <f>174833.6-25000</f>
        <v>149833.60000000001</v>
      </c>
      <c r="G29" s="53">
        <f>'DOE25'!J359+'DOE25'!J360+'DOE25'!J361</f>
        <v>6316.78</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714263.51999999979</v>
      </c>
      <c r="D31" s="20">
        <f>'DOE25'!L291+'DOE25'!L310+'DOE25'!L329+'DOE25'!L334+'DOE25'!L335+'DOE25'!L336-F31-G31-H31</f>
        <v>521269.33999999979</v>
      </c>
      <c r="E31" s="243"/>
      <c r="F31" s="244"/>
      <c r="G31" s="53">
        <f>'DOE25'!J291+'DOE25'!J310+'DOE25'!J329+'DOE25'!J334+'DOE25'!J335+'DOE25'!J336</f>
        <v>190865.2</v>
      </c>
      <c r="H31" s="53">
        <f>'DOE25'!K291+'DOE25'!K310+'DOE25'!K329+'DOE25'!K334+'DOE25'!K335+'DOE25'!K336</f>
        <v>2128.98</v>
      </c>
      <c r="I31" s="254"/>
    </row>
    <row r="32" spans="1:9" ht="12" thickBot="1" x14ac:dyDescent="0.25">
      <c r="C32" s="274"/>
      <c r="G32" s="249"/>
      <c r="H32" s="249"/>
      <c r="I32" s="256"/>
    </row>
    <row r="33" spans="1:9" ht="12" thickTop="1" x14ac:dyDescent="0.2">
      <c r="B33" t="s">
        <v>809</v>
      </c>
      <c r="D33" s="245">
        <f t="shared" ref="D33:I33" si="1">SUM(D5:D31)</f>
        <v>5355619.46</v>
      </c>
      <c r="E33" s="245">
        <f t="shared" si="1"/>
        <v>284925.17999999993</v>
      </c>
      <c r="F33" s="245">
        <f t="shared" si="1"/>
        <v>259081.60000000001</v>
      </c>
      <c r="G33" s="245">
        <f t="shared" si="1"/>
        <v>643877.1100000001</v>
      </c>
      <c r="H33" s="245">
        <f t="shared" si="1"/>
        <v>21273.85</v>
      </c>
      <c r="I33" s="245">
        <f t="shared" si="1"/>
        <v>15404.25</v>
      </c>
    </row>
    <row r="35" spans="1:9" ht="12" thickBot="1" x14ac:dyDescent="0.25">
      <c r="B35" s="249" t="s">
        <v>831</v>
      </c>
      <c r="D35" s="250">
        <f>E33</f>
        <v>284925.17999999993</v>
      </c>
      <c r="E35" s="246"/>
      <c r="F35" s="333" t="s">
        <v>1632</v>
      </c>
      <c r="G35" s="334"/>
      <c r="H35" s="334"/>
      <c r="I35" s="334"/>
    </row>
    <row r="36" spans="1:9" ht="12" thickTop="1" x14ac:dyDescent="0.2">
      <c r="B36" t="s">
        <v>810</v>
      </c>
      <c r="D36" s="20">
        <f>D33</f>
        <v>5355619.46</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2" t="s">
        <v>900</v>
      </c>
      <c r="C53" s="372"/>
      <c r="D53" s="372"/>
      <c r="E53" s="372"/>
      <c r="F53" s="372"/>
      <c r="G53" s="372"/>
      <c r="H53" s="372"/>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28" zoomScaleNormal="100" workbookViewId="0">
      <selection activeCell="D59" sqref="D5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Northumberland SD</v>
      </c>
      <c r="B2" s="126">
        <f>'DOE25'!B2</f>
        <v>407</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3521733.38</v>
      </c>
      <c r="G4" s="300">
        <f>'DOE25'!L212+'DOE25'!L291</f>
        <v>3521733.3800000008</v>
      </c>
      <c r="H4" s="353">
        <f>F4-G4</f>
        <v>0</v>
      </c>
      <c r="I4" s="373" t="str">
        <f>IF(H4=0,"","ISSUES!! Please review page 7 and 11 totals in comparison with total on this page")</f>
        <v/>
      </c>
      <c r="N4"/>
    </row>
    <row r="5" spans="1:18" x14ac:dyDescent="0.2">
      <c r="A5" s="21" t="s">
        <v>1332</v>
      </c>
      <c r="B5" s="301">
        <f>IFERROR(VLOOKUP(A5,'School Tables'!$C$3:$D$365,2,FALSE),"")</f>
        <v>22905</v>
      </c>
      <c r="C5" s="294" t="str">
        <f>IFERROR(INDEX('School Tables'!$B$3:$B$365,MATCH('School Level Expenditures'!B5,'School Tables'!$D$3:$D$365,0)),"")</f>
        <v>Northumberland</v>
      </c>
      <c r="D5" s="291">
        <f>3109471.88-7687.8</f>
        <v>3101784.08</v>
      </c>
      <c r="E5" s="291">
        <v>412261.5</v>
      </c>
      <c r="F5" s="304">
        <f>D5+E5</f>
        <v>3514045.58</v>
      </c>
      <c r="G5" s="294"/>
      <c r="H5" s="294"/>
      <c r="I5" s="374"/>
      <c r="N5"/>
    </row>
    <row r="6" spans="1:18" x14ac:dyDescent="0.2">
      <c r="A6" s="21" t="s">
        <v>1555</v>
      </c>
      <c r="B6" s="301">
        <f>IFERROR(VLOOKUP(A6,'School Tables'!$C$3:$D$365,2,FALSE),"")</f>
        <v>99999</v>
      </c>
      <c r="C6" s="294" t="str">
        <f>IFERROR(INDEX('School Tables'!$B$3:$B$365,MATCH('School Level Expenditures'!B6,'School Tables'!$D$3:$D$365,0)),"")</f>
        <v>Other District Expenditures</v>
      </c>
      <c r="D6" s="291">
        <v>7687.8</v>
      </c>
      <c r="E6" s="291"/>
      <c r="F6" s="304">
        <f t="shared" ref="F6:F20" si="0">D6+E6</f>
        <v>7687.8</v>
      </c>
      <c r="G6" s="294"/>
      <c r="H6" s="294"/>
      <c r="I6" s="374"/>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3109471.88</v>
      </c>
      <c r="E21" s="351">
        <f>SUM(E5:E20)</f>
        <v>412261.5</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3"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4"/>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4"/>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2393555.2600000002</v>
      </c>
      <c r="G36" s="300">
        <f>'DOE25'!L248+'DOE25'!L329</f>
        <v>2369095.66</v>
      </c>
      <c r="H36" s="353">
        <f>F36-G36</f>
        <v>24459.600000000093</v>
      </c>
      <c r="I36" s="373" t="str">
        <f>IF(H36=0,"","ISSUES!! Please review page 9 and 13 totals in comparison with total on this page")</f>
        <v>ISSUES!! Please review page 9 and 13 totals in comparison with total on this page</v>
      </c>
      <c r="N36"/>
    </row>
    <row r="37" spans="1:14" x14ac:dyDescent="0.2">
      <c r="A37" s="21" t="s">
        <v>1331</v>
      </c>
      <c r="B37" s="301">
        <f>IFERROR(VLOOKUP(A37,'School Tables'!$O$3:$P$118,2,FALSE),"")</f>
        <v>22900</v>
      </c>
      <c r="C37" s="294" t="str">
        <f t="array" ref="C37">IFERROR(INDEX('School Tables'!$N$3:$N$118,MATCH('School Level Expenditures'!B37,'School Tables'!$P$3:$P$118,0)),"")</f>
        <v>Northumberland</v>
      </c>
      <c r="D37" s="291">
        <f>2111330.43</f>
        <v>2111330.4300000002</v>
      </c>
      <c r="E37" s="291">
        <v>282224.83</v>
      </c>
      <c r="F37" s="304">
        <f t="shared" ref="F37:F42" si="2">D37+E37</f>
        <v>2393555.2600000002</v>
      </c>
      <c r="G37" s="294"/>
      <c r="H37" s="294"/>
      <c r="I37" s="374"/>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4"/>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2111330.4300000002</v>
      </c>
      <c r="E43" s="352">
        <f>SUM(E37:E42)</f>
        <v>282224.83</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2"/>
      <c r="B58" s="372"/>
      <c r="C58" s="372"/>
      <c r="D58" s="372"/>
      <c r="E58" s="372"/>
      <c r="F58" s="372"/>
      <c r="G58" s="372"/>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69"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Northumberland SD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-103035.92</v>
      </c>
      <c r="D8" s="95">
        <f>'DOE25'!G9</f>
        <v>0</v>
      </c>
      <c r="E8" s="95">
        <f>'DOE25'!H9</f>
        <v>0</v>
      </c>
      <c r="F8" s="95">
        <f>'DOE25'!I9</f>
        <v>0</v>
      </c>
      <c r="G8" s="95">
        <f>'DOE25'!J9</f>
        <v>696044.2</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225123.52</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592.84</v>
      </c>
      <c r="D13" s="95">
        <f>'DOE25'!G14</f>
        <v>9573.19</v>
      </c>
      <c r="E13" s="95">
        <f>'DOE25'!H14</f>
        <v>215550.33</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122680.43999999999</v>
      </c>
      <c r="D18" s="41">
        <f>SUM(D8:D17)</f>
        <v>9573.19</v>
      </c>
      <c r="E18" s="41">
        <f>SUM(E8:E17)</f>
        <v>215550.33</v>
      </c>
      <c r="F18" s="41">
        <f>SUM(F8:F17)</f>
        <v>0</v>
      </c>
      <c r="G18" s="41">
        <f>SUM(G8:G17)</f>
        <v>696044.2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9573.19</v>
      </c>
      <c r="E21" s="95">
        <f>'DOE25'!H22</f>
        <v>215550.33</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11345.35</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11345.35</v>
      </c>
      <c r="D31" s="41">
        <f>SUM(D21:D30)</f>
        <v>9573.19</v>
      </c>
      <c r="E31" s="41">
        <f>SUM(E21:E30)</f>
        <v>215550.33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696044.2</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111335.09</v>
      </c>
      <c r="D49" s="24" t="s">
        <v>288</v>
      </c>
      <c r="E49" s="24" t="s">
        <v>288</v>
      </c>
      <c r="F49" s="24" t="s">
        <v>288</v>
      </c>
      <c r="G49" s="24" t="s">
        <v>288</v>
      </c>
      <c r="H49" s="124"/>
      <c r="I49" s="124"/>
    </row>
    <row r="50" spans="1:9" ht="12.75" thickTop="1" thickBot="1" x14ac:dyDescent="0.25">
      <c r="A50" s="38" t="s">
        <v>884</v>
      </c>
      <c r="B50" s="48"/>
      <c r="C50" s="41">
        <f>SUM(C34:C49)</f>
        <v>111335.09</v>
      </c>
      <c r="D50" s="41">
        <f>SUM(D34:D49)</f>
        <v>0</v>
      </c>
      <c r="E50" s="41">
        <f>SUM(E34:E49)</f>
        <v>0</v>
      </c>
      <c r="F50" s="41">
        <f>SUM(F34:F49)</f>
        <v>0</v>
      </c>
      <c r="G50" s="41">
        <f>SUM(G34:G49)</f>
        <v>696044.2</v>
      </c>
      <c r="H50" s="124"/>
      <c r="I50" s="124"/>
    </row>
    <row r="51" spans="1:9" ht="12" thickTop="1" x14ac:dyDescent="0.2">
      <c r="A51" s="38" t="s">
        <v>885</v>
      </c>
      <c r="B51" s="2"/>
      <c r="C51" s="41">
        <f>C50+C31</f>
        <v>122680.44</v>
      </c>
      <c r="D51" s="41">
        <f>D50+D31</f>
        <v>9573.19</v>
      </c>
      <c r="E51" s="41">
        <f>E50+E31</f>
        <v>215550.33</v>
      </c>
      <c r="F51" s="41">
        <f>F50+F31</f>
        <v>0</v>
      </c>
      <c r="G51" s="41">
        <f>G50+G31</f>
        <v>696044.2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1507905</v>
      </c>
      <c r="D56" s="95">
        <f>'DOE25'!G60</f>
        <v>0</v>
      </c>
      <c r="E56" s="95">
        <f>'DOE25'!H60</f>
        <v>0</v>
      </c>
      <c r="F56" s="95">
        <f>'DOE25'!I60</f>
        <v>0</v>
      </c>
      <c r="G56" s="95">
        <f>'DOE25'!J60</f>
        <v>0</v>
      </c>
      <c r="H56"/>
      <c r="I56"/>
    </row>
    <row r="57" spans="1:9" x14ac:dyDescent="0.2">
      <c r="A57" s="1" t="s">
        <v>164</v>
      </c>
      <c r="B57" s="6" t="s">
        <v>165</v>
      </c>
      <c r="C57" s="95">
        <f>'DOE25'!F79</f>
        <v>850563.78</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1537.4</v>
      </c>
      <c r="D59" s="95">
        <f>'DOE25'!G96</f>
        <v>0</v>
      </c>
      <c r="E59" s="95">
        <f>'DOE25'!H96</f>
        <v>0</v>
      </c>
      <c r="F59" s="95">
        <f>'DOE25'!I96</f>
        <v>0</v>
      </c>
      <c r="G59" s="95">
        <f>'DOE25'!J96</f>
        <v>286.95</v>
      </c>
      <c r="H59"/>
      <c r="I59"/>
    </row>
    <row r="60" spans="1:9" x14ac:dyDescent="0.2">
      <c r="A60" s="1" t="s">
        <v>170</v>
      </c>
      <c r="B60" s="118" t="s">
        <v>171</v>
      </c>
      <c r="C60" s="24" t="s">
        <v>288</v>
      </c>
      <c r="D60" s="95">
        <f>'DOE25'!G97</f>
        <v>3154.25</v>
      </c>
      <c r="E60" s="24" t="s">
        <v>288</v>
      </c>
      <c r="F60" s="24" t="s">
        <v>288</v>
      </c>
      <c r="G60" s="24" t="s">
        <v>288</v>
      </c>
      <c r="H60"/>
      <c r="I60"/>
    </row>
    <row r="61" spans="1:9" ht="12" thickBot="1" x14ac:dyDescent="0.25">
      <c r="A61" s="1" t="s">
        <v>172</v>
      </c>
      <c r="B61" s="118" t="s">
        <v>173</v>
      </c>
      <c r="C61" s="95">
        <f>SUM('DOE25'!F98:F110)</f>
        <v>10799.45</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862900.63</v>
      </c>
      <c r="D62" s="130">
        <f>SUM(D57:D61)</f>
        <v>3154.25</v>
      </c>
      <c r="E62" s="130">
        <f>SUM(E57:E61)</f>
        <v>0</v>
      </c>
      <c r="F62" s="130">
        <f>SUM(F57:F61)</f>
        <v>0</v>
      </c>
      <c r="G62" s="130">
        <f>SUM(G57:G61)</f>
        <v>286.95</v>
      </c>
      <c r="H62"/>
      <c r="I62"/>
    </row>
    <row r="63" spans="1:9" ht="12" thickTop="1" x14ac:dyDescent="0.2">
      <c r="A63" s="29" t="s">
        <v>175</v>
      </c>
      <c r="B63" s="6"/>
      <c r="C63" s="22">
        <f>C56+C62</f>
        <v>2370805.63</v>
      </c>
      <c r="D63" s="22">
        <f>D56+D62</f>
        <v>3154.25</v>
      </c>
      <c r="E63" s="22">
        <f>E56+E62</f>
        <v>0</v>
      </c>
      <c r="F63" s="22">
        <f>F56+F62</f>
        <v>0</v>
      </c>
      <c r="G63" s="22">
        <f>G56+G62</f>
        <v>286.95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3229378.22</v>
      </c>
      <c r="D66" s="24" t="s">
        <v>288</v>
      </c>
      <c r="E66" s="24" t="s">
        <v>288</v>
      </c>
      <c r="F66" s="24" t="s">
        <v>288</v>
      </c>
      <c r="G66" s="24" t="s">
        <v>288</v>
      </c>
      <c r="H66"/>
      <c r="I66"/>
    </row>
    <row r="67" spans="1:9" x14ac:dyDescent="0.2">
      <c r="A67" s="1" t="s">
        <v>770</v>
      </c>
      <c r="B67" s="6">
        <v>3112</v>
      </c>
      <c r="C67" s="95">
        <f>'DOE25'!F118</f>
        <v>160032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3990.42</v>
      </c>
      <c r="D69" s="95">
        <f>'DOE25'!G120</f>
        <v>0</v>
      </c>
      <c r="E69" s="95">
        <f>'DOE25'!H120</f>
        <v>0</v>
      </c>
      <c r="F69" s="95">
        <f>'DOE25'!I120</f>
        <v>0</v>
      </c>
      <c r="G69" s="95">
        <f>'DOE25'!J120</f>
        <v>0</v>
      </c>
      <c r="H69"/>
      <c r="I69"/>
    </row>
    <row r="70" spans="1:9" ht="12" thickTop="1" x14ac:dyDescent="0.2">
      <c r="A70" s="29" t="s">
        <v>252</v>
      </c>
      <c r="B70" s="2"/>
      <c r="C70" s="139">
        <f>SUM(C66:C69)</f>
        <v>3393400.64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9000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5814.15</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3359.65</v>
      </c>
      <c r="E77" s="95">
        <f>SUM('DOE25'!H131:H135)</f>
        <v>0</v>
      </c>
      <c r="F77" s="95">
        <f>SUM('DOE25'!I131:I135)</f>
        <v>0</v>
      </c>
      <c r="G77" s="95">
        <f>SUM('DOE25'!J131:J135)</f>
        <v>0</v>
      </c>
      <c r="H77"/>
      <c r="I77"/>
    </row>
    <row r="78" spans="1:9" ht="12.75" thickTop="1" thickBot="1" x14ac:dyDescent="0.25">
      <c r="A78" s="29" t="s">
        <v>259</v>
      </c>
      <c r="B78" s="6"/>
      <c r="C78" s="130">
        <f>SUM(C72:C77)</f>
        <v>14814.15</v>
      </c>
      <c r="D78" s="130">
        <f>SUM(D72:D77)</f>
        <v>3359.65</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3408214.79</v>
      </c>
      <c r="D81" s="130">
        <f>SUM(D79:D80)+D78+D70</f>
        <v>3359.65</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10069.58</v>
      </c>
      <c r="D88" s="331">
        <f>SUM('DOE25'!G153:G162)</f>
        <v>160983.22</v>
      </c>
      <c r="E88" s="331">
        <f>SUM('DOE25'!H153:H162)</f>
        <v>728502.21</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483.84</v>
      </c>
      <c r="D90" s="24" t="s">
        <v>288</v>
      </c>
      <c r="E90" s="24" t="s">
        <v>288</v>
      </c>
      <c r="F90" s="24" t="s">
        <v>288</v>
      </c>
      <c r="G90" s="24" t="s">
        <v>288</v>
      </c>
    </row>
    <row r="91" spans="1:9" ht="12.75" thickTop="1" thickBot="1" x14ac:dyDescent="0.25">
      <c r="A91" s="33" t="s">
        <v>750</v>
      </c>
      <c r="C91" s="131">
        <f>SUM(C85:C90)</f>
        <v>10553.42</v>
      </c>
      <c r="D91" s="131">
        <f>SUM(D85:D90)</f>
        <v>160983.22</v>
      </c>
      <c r="E91" s="131">
        <f>SUM(E85:E90)</f>
        <v>728502.21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390.59</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22067.68</v>
      </c>
      <c r="E96" s="95">
        <f>'DOE25'!H180</f>
        <v>0</v>
      </c>
      <c r="F96" s="95">
        <f>'DOE25'!I180</f>
        <v>0</v>
      </c>
      <c r="G96" s="95">
        <f>'DOE25'!J180</f>
        <v>350000</v>
      </c>
    </row>
    <row r="97" spans="1:7" x14ac:dyDescent="0.2">
      <c r="A97" t="s">
        <v>754</v>
      </c>
      <c r="B97" s="32" t="s">
        <v>188</v>
      </c>
      <c r="C97" s="95">
        <f>SUM('DOE25'!F181:F182)</f>
        <v>0</v>
      </c>
      <c r="D97" s="95">
        <f>SUM('DOE25'!G181:G182)</f>
        <v>6202.49</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390.59</v>
      </c>
      <c r="D103" s="86">
        <f>SUM(D93:D102)</f>
        <v>28270.17</v>
      </c>
      <c r="E103" s="86">
        <f>SUM(E93:E102)</f>
        <v>0</v>
      </c>
      <c r="F103" s="86">
        <f>SUM(F93:F102)</f>
        <v>0</v>
      </c>
      <c r="G103" s="86">
        <f>SUM(G93:G102)</f>
        <v>350000</v>
      </c>
    </row>
    <row r="104" spans="1:7" ht="12.75" thickTop="1" thickBot="1" x14ac:dyDescent="0.25">
      <c r="A104" s="33" t="s">
        <v>761</v>
      </c>
      <c r="C104" s="86">
        <f>C63+C81+C91+C103</f>
        <v>5789964.4299999997</v>
      </c>
      <c r="D104" s="86">
        <f>D63+D81+D91+D103</f>
        <v>195767.28999999998</v>
      </c>
      <c r="E104" s="86">
        <f>E63+E81+E91+E103</f>
        <v>728502.21</v>
      </c>
      <c r="F104" s="86">
        <f>F63+F81+F91+F103</f>
        <v>0</v>
      </c>
      <c r="G104" s="86">
        <f>G63+G81+G103</f>
        <v>350286.95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2226846.89</v>
      </c>
      <c r="D109" s="24" t="s">
        <v>288</v>
      </c>
      <c r="E109" s="95">
        <f>('DOE25'!L277)+('DOE25'!L296)+('DOE25'!L315)</f>
        <v>409111.91999999993</v>
      </c>
      <c r="F109" s="24" t="s">
        <v>288</v>
      </c>
      <c r="G109" s="24" t="s">
        <v>288</v>
      </c>
    </row>
    <row r="110" spans="1:7" x14ac:dyDescent="0.2">
      <c r="A110" t="s">
        <v>198</v>
      </c>
      <c r="B110" s="32" t="s">
        <v>199</v>
      </c>
      <c r="C110" s="95">
        <f>('DOE25'!L199)+('DOE25'!L217)+('DOE25'!L235)</f>
        <v>735931.06</v>
      </c>
      <c r="D110" s="24" t="s">
        <v>288</v>
      </c>
      <c r="E110" s="95">
        <f>('DOE25'!L278)+('DOE25'!L297)+('DOE25'!L316)</f>
        <v>932.95</v>
      </c>
      <c r="F110" s="24" t="s">
        <v>288</v>
      </c>
      <c r="G110" s="24" t="s">
        <v>288</v>
      </c>
    </row>
    <row r="111" spans="1:7" x14ac:dyDescent="0.2">
      <c r="A111" t="s">
        <v>200</v>
      </c>
      <c r="B111" s="32" t="s">
        <v>165</v>
      </c>
      <c r="C111" s="95">
        <f>('DOE25'!L200)+('DOE25'!L218)+('DOE25'!L236)</f>
        <v>22645.37</v>
      </c>
      <c r="D111" s="24" t="s">
        <v>288</v>
      </c>
      <c r="E111" s="95">
        <f>('DOE25'!L279)+('DOE25'!L298)+('DOE25'!L317)</f>
        <v>0</v>
      </c>
      <c r="F111" s="24" t="s">
        <v>288</v>
      </c>
      <c r="G111" s="24" t="s">
        <v>288</v>
      </c>
    </row>
    <row r="112" spans="1:7" x14ac:dyDescent="0.2">
      <c r="A112" t="s">
        <v>201</v>
      </c>
      <c r="B112" s="32" t="s">
        <v>167</v>
      </c>
      <c r="C112" s="95">
        <f>('DOE25'!L201)+('DOE25'!L219)+('DOE25'!L237)</f>
        <v>103890.95</v>
      </c>
      <c r="D112" s="24" t="s">
        <v>288</v>
      </c>
      <c r="E112" s="95">
        <f>+('DOE25'!L280)+('DOE25'!L299)+('DOE25'!L318)</f>
        <v>20378.09</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21049.39</v>
      </c>
      <c r="D114" s="24" t="s">
        <v>288</v>
      </c>
      <c r="E114" s="95">
        <f>+ SUM('DOE25'!L334:L336)</f>
        <v>19777.190000000002</v>
      </c>
      <c r="F114" s="24" t="s">
        <v>288</v>
      </c>
      <c r="G114" s="24" t="s">
        <v>288</v>
      </c>
    </row>
    <row r="115" spans="1:7" ht="12.75" thickTop="1" thickBot="1" x14ac:dyDescent="0.25">
      <c r="A115" s="33" t="s">
        <v>205</v>
      </c>
      <c r="C115" s="86">
        <f>SUM(C109:C114)</f>
        <v>3110363.6600000006</v>
      </c>
      <c r="D115" s="86">
        <f>SUM(D109:D114)</f>
        <v>0</v>
      </c>
      <c r="E115" s="86">
        <f>SUM(E109:E114)</f>
        <v>450200.14999999997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386946.06</v>
      </c>
      <c r="D118" s="24" t="s">
        <v>288</v>
      </c>
      <c r="E118" s="95">
        <f>+('DOE25'!L282)+('DOE25'!L301)+('DOE25'!L320)</f>
        <v>157083.65999999997</v>
      </c>
      <c r="F118" s="24" t="s">
        <v>288</v>
      </c>
      <c r="G118" s="24" t="s">
        <v>288</v>
      </c>
    </row>
    <row r="119" spans="1:7" x14ac:dyDescent="0.2">
      <c r="A119" t="s">
        <v>208</v>
      </c>
      <c r="B119" s="32" t="s">
        <v>209</v>
      </c>
      <c r="C119" s="95">
        <f>('DOE25'!L204)+('DOE25'!L222)+('DOE25'!L240)</f>
        <v>99339.099999999991</v>
      </c>
      <c r="D119" s="24" t="s">
        <v>288</v>
      </c>
      <c r="E119" s="95">
        <f>+('DOE25'!L283)+('DOE25'!L302)+('DOE25'!L321)</f>
        <v>36657.94</v>
      </c>
      <c r="F119" s="24" t="s">
        <v>288</v>
      </c>
      <c r="G119" s="24" t="s">
        <v>288</v>
      </c>
    </row>
    <row r="120" spans="1:7" x14ac:dyDescent="0.2">
      <c r="A120" t="s">
        <v>210</v>
      </c>
      <c r="B120" s="32" t="s">
        <v>211</v>
      </c>
      <c r="C120" s="95">
        <f>('DOE25'!L205)+('DOE25'!L223)+('DOE25'!L241)</f>
        <v>455155.70999999996</v>
      </c>
      <c r="D120" s="24" t="s">
        <v>288</v>
      </c>
      <c r="E120" s="95">
        <f>+('DOE25'!L284)+('DOE25'!L303)+('DOE25'!L322)</f>
        <v>0</v>
      </c>
      <c r="F120" s="24" t="s">
        <v>288</v>
      </c>
      <c r="G120" s="24" t="s">
        <v>288</v>
      </c>
    </row>
    <row r="121" spans="1:7" x14ac:dyDescent="0.2">
      <c r="A121" t="s">
        <v>212</v>
      </c>
      <c r="B121" s="32" t="s">
        <v>213</v>
      </c>
      <c r="C121" s="95">
        <f>('DOE25'!L206)+('DOE25'!L224)+('DOE25'!L242)</f>
        <v>593455.64</v>
      </c>
      <c r="D121" s="24" t="s">
        <v>288</v>
      </c>
      <c r="E121" s="95">
        <f>+('DOE25'!L285)+('DOE25'!L304)+('DOE25'!L323)</f>
        <v>12604.09</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406945.46</v>
      </c>
      <c r="D123" s="24" t="s">
        <v>288</v>
      </c>
      <c r="E123" s="95">
        <f>+('DOE25'!L287)+('DOE25'!L306)+('DOE25'!L325)</f>
        <v>57177.68</v>
      </c>
      <c r="F123" s="24" t="s">
        <v>288</v>
      </c>
      <c r="G123" s="24" t="s">
        <v>288</v>
      </c>
    </row>
    <row r="124" spans="1:7" x14ac:dyDescent="0.2">
      <c r="A124" t="s">
        <v>218</v>
      </c>
      <c r="B124" s="32" t="s">
        <v>219</v>
      </c>
      <c r="C124" s="95">
        <f>('DOE25'!L209)+('DOE25'!L227)+('DOE25'!L245+'DOE25'!L255)</f>
        <v>165186.47</v>
      </c>
      <c r="D124" s="24" t="s">
        <v>288</v>
      </c>
      <c r="E124" s="95">
        <f>+('DOE25'!L288)+('DOE25'!L307)+('DOE25'!L326)</f>
        <v>540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195767.29</v>
      </c>
      <c r="E127" s="24" t="s">
        <v>288</v>
      </c>
      <c r="F127" s="24" t="s">
        <v>288</v>
      </c>
      <c r="G127" s="24" t="s">
        <v>288</v>
      </c>
    </row>
    <row r="128" spans="1:7" ht="12.75" thickTop="1" thickBot="1" x14ac:dyDescent="0.25">
      <c r="A128" s="33" t="s">
        <v>226</v>
      </c>
      <c r="C128" s="86">
        <f>SUM(C118:C127)</f>
        <v>2107028.44</v>
      </c>
      <c r="D128" s="86">
        <f>SUM(D118:D127)</f>
        <v>195767.29</v>
      </c>
      <c r="E128" s="86">
        <f>SUM(E118:E127)</f>
        <v>264063.37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418618.09</v>
      </c>
      <c r="D130" s="24" t="s">
        <v>288</v>
      </c>
      <c r="E130" s="129">
        <f>'DOE25'!L337</f>
        <v>8036.2</v>
      </c>
      <c r="F130" s="129">
        <f>SUM('DOE25'!L375:'DOE25'!L381)</f>
        <v>0</v>
      </c>
      <c r="G130" s="24" t="s">
        <v>288</v>
      </c>
    </row>
    <row r="131" spans="1:7" x14ac:dyDescent="0.2">
      <c r="A131" t="s">
        <v>229</v>
      </c>
      <c r="B131" s="32">
        <v>5110</v>
      </c>
      <c r="C131" s="95">
        <f>'DOE25'!L261</f>
        <v>15404.25</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22067.68</v>
      </c>
      <c r="D135" s="24" t="s">
        <v>288</v>
      </c>
      <c r="E135" s="129">
        <f>'DOE25'!L346</f>
        <v>6202.49</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350286.94999999995</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-286.94999999995343</v>
      </c>
      <c r="D141" s="24" t="s">
        <v>288</v>
      </c>
      <c r="E141" s="24" t="s">
        <v>288</v>
      </c>
      <c r="F141" s="24" t="s">
        <v>288</v>
      </c>
      <c r="G141" s="24" t="s">
        <v>288</v>
      </c>
    </row>
    <row r="142" spans="1:7" x14ac:dyDescent="0.2">
      <c r="A142" t="s">
        <v>241</v>
      </c>
      <c r="B142" s="32">
        <v>5310</v>
      </c>
      <c r="C142" s="129">
        <f>'DOE25'!L269</f>
        <v>24459.599999999999</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830549.62</v>
      </c>
      <c r="D144" s="141">
        <f>SUM(D130:D143)</f>
        <v>0</v>
      </c>
      <c r="E144" s="141">
        <f>SUM(E130:E143)</f>
        <v>14238.689999999999</v>
      </c>
      <c r="F144" s="141">
        <f>SUM(F130:F143)</f>
        <v>0</v>
      </c>
      <c r="G144" s="141">
        <f>SUM(G130:G143)</f>
        <v>0</v>
      </c>
    </row>
    <row r="145" spans="1:9" ht="12.75" thickTop="1" thickBot="1" x14ac:dyDescent="0.25">
      <c r="A145" s="33" t="s">
        <v>244</v>
      </c>
      <c r="C145" s="86">
        <f>(C115+C128+C144)</f>
        <v>6047941.7200000007</v>
      </c>
      <c r="D145" s="86">
        <f>(D115+D128+D144)</f>
        <v>195767.29</v>
      </c>
      <c r="E145" s="86">
        <f>(E115+E128+E144)</f>
        <v>728502.21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31"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5" t="s">
        <v>736</v>
      </c>
      <c r="B1" s="375"/>
      <c r="C1" s="375"/>
      <c r="D1" s="375"/>
    </row>
    <row r="2" spans="1:4" x14ac:dyDescent="0.2">
      <c r="A2" s="187" t="s">
        <v>713</v>
      </c>
      <c r="B2" s="186" t="str">
        <f>'DOE25'!A2</f>
        <v>Northumberland SD</v>
      </c>
    </row>
    <row r="3" spans="1:4" x14ac:dyDescent="0.2">
      <c r="B3" s="188" t="s">
        <v>1666</v>
      </c>
    </row>
    <row r="4" spans="1:4" x14ac:dyDescent="0.2">
      <c r="B4" t="s">
        <v>61</v>
      </c>
      <c r="C4" s="179">
        <f>IF('DOE25'!F666+'DOE25'!F671=0,0,ROUND('DOE25'!F673,0))</f>
        <v>16138</v>
      </c>
    </row>
    <row r="5" spans="1:4" x14ac:dyDescent="0.2">
      <c r="B5" t="s">
        <v>700</v>
      </c>
      <c r="C5" s="179">
        <f>IF('DOE25'!G666+'DOE25'!G671=0,0,ROUND('DOE25'!G673,0))</f>
        <v>0</v>
      </c>
    </row>
    <row r="6" spans="1:4" x14ac:dyDescent="0.2">
      <c r="B6" t="s">
        <v>62</v>
      </c>
      <c r="C6" s="179">
        <f>IF('DOE25'!H666+'DOE25'!H671=0,0,ROUND('DOE25'!H673,0))</f>
        <v>20200</v>
      </c>
    </row>
    <row r="7" spans="1:4" x14ac:dyDescent="0.2">
      <c r="B7" t="s">
        <v>701</v>
      </c>
      <c r="C7" s="179">
        <f>IF('DOE25'!I666+'DOE25'!I671=0,0,ROUND('DOE25'!I673,0))</f>
        <v>17569</v>
      </c>
    </row>
    <row r="9" spans="1:4" x14ac:dyDescent="0.2">
      <c r="A9" s="187" t="s">
        <v>94</v>
      </c>
      <c r="B9" s="188" t="s">
        <v>1671</v>
      </c>
      <c r="C9" s="181" t="s">
        <v>720</v>
      </c>
      <c r="D9" s="181" t="s">
        <v>721</v>
      </c>
    </row>
    <row r="10" spans="1:4" x14ac:dyDescent="0.2">
      <c r="A10">
        <v>1100</v>
      </c>
      <c r="B10" t="s">
        <v>702</v>
      </c>
      <c r="C10" s="179">
        <f>ROUND('DOE25'!L198+'DOE25'!L216+'DOE25'!L234+'DOE25'!L277+'DOE25'!L296+'DOE25'!L315,0)</f>
        <v>2635959</v>
      </c>
      <c r="D10" s="182">
        <f>ROUND((C10/$C$28)*100,1)</f>
        <v>42.9</v>
      </c>
    </row>
    <row r="11" spans="1:4" x14ac:dyDescent="0.2">
      <c r="A11">
        <v>1200</v>
      </c>
      <c r="B11" t="s">
        <v>703</v>
      </c>
      <c r="C11" s="179">
        <f>ROUND('DOE25'!L199+'DOE25'!L217+'DOE25'!L235+'DOE25'!L278+'DOE25'!L297+'DOE25'!L316,0)</f>
        <v>736864</v>
      </c>
      <c r="D11" s="182">
        <f>ROUND((C11/$C$28)*100,1)</f>
        <v>12</v>
      </c>
    </row>
    <row r="12" spans="1:4" x14ac:dyDescent="0.2">
      <c r="A12">
        <v>1300</v>
      </c>
      <c r="B12" t="s">
        <v>704</v>
      </c>
      <c r="C12" s="179">
        <f>ROUND('DOE25'!L200+'DOE25'!L218+'DOE25'!L236+'DOE25'!L279+'DOE25'!L298+'DOE25'!L317,0)</f>
        <v>22645</v>
      </c>
      <c r="D12" s="182">
        <f>ROUND((C12/$C$28)*100,1)</f>
        <v>0.4</v>
      </c>
    </row>
    <row r="13" spans="1:4" x14ac:dyDescent="0.2">
      <c r="A13">
        <v>1400</v>
      </c>
      <c r="B13" t="s">
        <v>705</v>
      </c>
      <c r="C13" s="179">
        <f>ROUND('DOE25'!L201+'DOE25'!L219+'DOE25'!L237+'DOE25'!L280+'DOE25'!L299+'DOE25'!L318,0)</f>
        <v>124269</v>
      </c>
      <c r="D13" s="182">
        <f>ROUND((C13/$C$28)*100,1)</f>
        <v>2</v>
      </c>
    </row>
    <row r="14" spans="1:4" x14ac:dyDescent="0.2">
      <c r="D14" s="182"/>
    </row>
    <row r="15" spans="1:4" x14ac:dyDescent="0.2">
      <c r="A15">
        <v>2100</v>
      </c>
      <c r="B15" t="s">
        <v>706</v>
      </c>
      <c r="C15" s="179">
        <f>ROUND('DOE25'!L203+'DOE25'!L221+'DOE25'!L239+'DOE25'!L282+'DOE25'!L301+'DOE25'!L320,0)</f>
        <v>544030</v>
      </c>
      <c r="D15" s="182">
        <f t="shared" ref="D15:D27" si="0">ROUND((C15/$C$28)*100,1)</f>
        <v>8.8000000000000007</v>
      </c>
    </row>
    <row r="16" spans="1:4" x14ac:dyDescent="0.2">
      <c r="A16">
        <v>2200</v>
      </c>
      <c r="B16" t="s">
        <v>707</v>
      </c>
      <c r="C16" s="179">
        <f>ROUND('DOE25'!L204+'DOE25'!L222+'DOE25'!L240+'DOE25'!L283+'DOE25'!L302+'DOE25'!L321,0)</f>
        <v>135997</v>
      </c>
      <c r="D16" s="182">
        <f t="shared" si="0"/>
        <v>2.2000000000000002</v>
      </c>
    </row>
    <row r="17" spans="1:4" x14ac:dyDescent="0.2">
      <c r="A17" s="183" t="s">
        <v>723</v>
      </c>
      <c r="B17" t="s">
        <v>738</v>
      </c>
      <c r="C17" s="179">
        <f>ROUND('DOE25'!L205+'DOE25'!L210+'DOE25'!L223+'DOE25'!L228+'DOE25'!L241+'DOE25'!L246+'DOE25'!L284+'DOE25'!L289+'DOE25'!L303+'DOE25'!L308+'DOE25'!L322+'DOE25'!L327,0)</f>
        <v>455156</v>
      </c>
      <c r="D17" s="182">
        <f t="shared" si="0"/>
        <v>7.4</v>
      </c>
    </row>
    <row r="18" spans="1:4" x14ac:dyDescent="0.2">
      <c r="A18">
        <v>2400</v>
      </c>
      <c r="B18" t="s">
        <v>711</v>
      </c>
      <c r="C18" s="179">
        <f>ROUND('DOE25'!L206+'DOE25'!L224+'DOE25'!L242+'DOE25'!L285+'DOE25'!L304+'DOE25'!L323,0)</f>
        <v>606060</v>
      </c>
      <c r="D18" s="182">
        <f t="shared" si="0"/>
        <v>9.9</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464123</v>
      </c>
      <c r="D20" s="182">
        <f t="shared" si="0"/>
        <v>7.5</v>
      </c>
    </row>
    <row r="21" spans="1:4" x14ac:dyDescent="0.2">
      <c r="A21">
        <v>2700</v>
      </c>
      <c r="B21" t="s">
        <v>710</v>
      </c>
      <c r="C21" s="179">
        <f>ROUND('DOE25'!L209+'DOE25'!L227+'DOE25'!L245+'DOE25'!L288+'DOE25'!L307+'DOE25'!L326,0)</f>
        <v>165726</v>
      </c>
      <c r="D21" s="182">
        <f t="shared" si="0"/>
        <v>2.7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40827</v>
      </c>
      <c r="D24" s="182">
        <f t="shared" si="0"/>
        <v>0.7</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24459.599999999999</v>
      </c>
      <c r="D26" s="182">
        <f t="shared" si="0"/>
        <v>0.4</v>
      </c>
    </row>
    <row r="27" spans="1:4" x14ac:dyDescent="0.2">
      <c r="A27">
        <v>3100</v>
      </c>
      <c r="B27" t="s">
        <v>11</v>
      </c>
      <c r="C27" s="179">
        <f>ROUND('DOE25'!L363-'DOE25'!L362,0)-SUM('DOE25'!G97:G110)</f>
        <v>192612.75</v>
      </c>
      <c r="D27" s="182">
        <f t="shared" si="0"/>
        <v>3.1</v>
      </c>
    </row>
    <row r="28" spans="1:4" x14ac:dyDescent="0.2">
      <c r="B28" s="187" t="s">
        <v>719</v>
      </c>
      <c r="C28" s="180">
        <f>SUM(C10:C27)</f>
        <v>6148728.3499999996</v>
      </c>
      <c r="D28" s="184">
        <f>ROUND(SUM(D10:D27),0)</f>
        <v>100</v>
      </c>
    </row>
    <row r="29" spans="1:4" x14ac:dyDescent="0.2">
      <c r="A29">
        <v>4000</v>
      </c>
      <c r="B29" t="s">
        <v>724</v>
      </c>
      <c r="C29" s="179">
        <f>ROUND('DOE25'!L256+'DOE25'!L337+'DOE25'!L375+'DOE25'!L376+'DOE25'!L377+'DOE25'!L378+'DOE25'!L379+'DOE25'!L380+'DOE25'!L381,0)</f>
        <v>426654</v>
      </c>
    </row>
    <row r="30" spans="1:4" x14ac:dyDescent="0.2">
      <c r="B30" s="187" t="s">
        <v>725</v>
      </c>
      <c r="C30" s="180">
        <f>SUM(C28:C29)</f>
        <v>6575382.3499999996</v>
      </c>
    </row>
    <row r="31" spans="1:4" x14ac:dyDescent="0.2">
      <c r="B31" s="33"/>
      <c r="C31" s="180"/>
    </row>
    <row r="32" spans="1:4" x14ac:dyDescent="0.2">
      <c r="A32">
        <v>5100</v>
      </c>
      <c r="B32" s="33" t="s">
        <v>726</v>
      </c>
      <c r="C32" s="180">
        <f>ROUND('DOE25'!L261+'DOE25'!L342,0)</f>
        <v>15404</v>
      </c>
    </row>
    <row r="34" spans="1:4" x14ac:dyDescent="0.2">
      <c r="A34" s="187" t="s">
        <v>94</v>
      </c>
      <c r="B34" s="188" t="s">
        <v>1667</v>
      </c>
      <c r="C34" s="181" t="s">
        <v>720</v>
      </c>
      <c r="D34" s="181" t="s">
        <v>721</v>
      </c>
    </row>
    <row r="35" spans="1:4" x14ac:dyDescent="0.2">
      <c r="A35">
        <v>1100</v>
      </c>
      <c r="B35" s="185" t="s">
        <v>727</v>
      </c>
      <c r="C35" s="179">
        <f>ROUND('DOE25'!F60+'DOE25'!G60+'DOE25'!H60+'DOE25'!I60+'DOE25'!J60,0)</f>
        <v>1507905</v>
      </c>
      <c r="D35" s="182">
        <f t="shared" ref="D35:D40" si="1">ROUND((C35/$C$41)*100,1)</f>
        <v>22.6</v>
      </c>
    </row>
    <row r="36" spans="1:4" x14ac:dyDescent="0.2">
      <c r="B36" s="185" t="s">
        <v>739</v>
      </c>
      <c r="C36" s="179">
        <f>SUM('DOE25'!F112:J112)-SUM('DOE25'!G97:G110)+('DOE25'!F175+'DOE25'!F176+'DOE25'!I175+'DOE25'!I176)-C35</f>
        <v>863578.17000000039</v>
      </c>
      <c r="D36" s="182">
        <f t="shared" si="1"/>
        <v>12.9</v>
      </c>
    </row>
    <row r="37" spans="1:4" x14ac:dyDescent="0.2">
      <c r="A37" s="183" t="s">
        <v>835</v>
      </c>
      <c r="B37" s="185" t="s">
        <v>728</v>
      </c>
      <c r="C37" s="179">
        <f>ROUND('DOE25'!F117+'DOE25'!F118,0)</f>
        <v>3389410</v>
      </c>
      <c r="D37" s="182">
        <f t="shared" si="1"/>
        <v>50.7</v>
      </c>
    </row>
    <row r="38" spans="1:4" x14ac:dyDescent="0.2">
      <c r="A38" s="183" t="s">
        <v>734</v>
      </c>
      <c r="B38" s="185" t="s">
        <v>729</v>
      </c>
      <c r="C38" s="179">
        <f>ROUND(SUM('DOE25'!F140:J140)-SUM('DOE25'!F117:F119),0)</f>
        <v>22164</v>
      </c>
      <c r="D38" s="182">
        <f t="shared" si="1"/>
        <v>0.3</v>
      </c>
    </row>
    <row r="39" spans="1:4" x14ac:dyDescent="0.2">
      <c r="A39">
        <v>4000</v>
      </c>
      <c r="B39" s="185" t="s">
        <v>730</v>
      </c>
      <c r="C39" s="179">
        <f>ROUND('DOE25'!F170+'DOE25'!G170+'DOE25'!H170+'DOE25'!I170,0)</f>
        <v>900039</v>
      </c>
      <c r="D39" s="182">
        <f t="shared" si="1"/>
        <v>13.5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6683096.1699999999</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7" activePane="bottomLeft" state="frozen"/>
      <selection activeCell="F46" sqref="F46"/>
      <selection pane="bottomLeft" activeCell="C10" sqref="C10:M10"/>
    </sheetView>
  </sheetViews>
  <sheetFormatPr defaultRowHeight="11.25" x14ac:dyDescent="0.2"/>
  <cols>
    <col min="1" max="1" width="10.33203125" customWidth="1"/>
    <col min="14" max="14" width="6.1640625" customWidth="1"/>
  </cols>
  <sheetData>
    <row r="1" spans="1:26" ht="16.5" thickTop="1" x14ac:dyDescent="0.25">
      <c r="A1" s="386" t="s">
        <v>766</v>
      </c>
      <c r="B1" s="387"/>
      <c r="C1" s="387"/>
      <c r="D1" s="387"/>
      <c r="E1" s="387"/>
      <c r="F1" s="387"/>
      <c r="G1" s="387"/>
      <c r="H1" s="387"/>
      <c r="I1" s="387"/>
      <c r="J1" s="213"/>
      <c r="K1" s="213"/>
      <c r="L1" s="213"/>
      <c r="M1" s="214"/>
    </row>
    <row r="2" spans="1:26" ht="12.75" x14ac:dyDescent="0.2">
      <c r="A2" s="392" t="s">
        <v>763</v>
      </c>
      <c r="B2" s="393"/>
      <c r="C2" s="393"/>
      <c r="D2" s="393"/>
      <c r="E2" s="393"/>
      <c r="F2" s="390" t="str">
        <f>'DOE25'!A2</f>
        <v>Northumberland SD</v>
      </c>
      <c r="G2" s="391"/>
      <c r="H2" s="391"/>
      <c r="I2" s="391"/>
      <c r="J2" s="52"/>
      <c r="K2" s="52"/>
      <c r="L2" s="52"/>
      <c r="M2" s="215"/>
    </row>
    <row r="3" spans="1:26" x14ac:dyDescent="0.2">
      <c r="A3" s="216" t="s">
        <v>764</v>
      </c>
      <c r="B3" s="217" t="s">
        <v>765</v>
      </c>
      <c r="C3" s="388" t="s">
        <v>767</v>
      </c>
      <c r="D3" s="388"/>
      <c r="E3" s="388"/>
      <c r="F3" s="388"/>
      <c r="G3" s="388"/>
      <c r="H3" s="388"/>
      <c r="I3" s="388"/>
      <c r="J3" s="388"/>
      <c r="K3" s="388"/>
      <c r="L3" s="388"/>
      <c r="M3" s="389"/>
    </row>
    <row r="4" spans="1:26" x14ac:dyDescent="0.2">
      <c r="A4" s="218"/>
      <c r="B4" s="219"/>
      <c r="C4" s="377"/>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t="s">
        <v>1673</v>
      </c>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t="s">
        <v>1675</v>
      </c>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t="s">
        <v>1674</v>
      </c>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t="s">
        <v>1676</v>
      </c>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83"/>
      <c r="Q29" s="383"/>
      <c r="R29" s="383"/>
      <c r="S29" s="383"/>
      <c r="T29" s="383"/>
      <c r="U29" s="383"/>
      <c r="V29" s="383"/>
      <c r="W29" s="383"/>
      <c r="X29" s="383"/>
      <c r="Y29" s="383"/>
      <c r="Z29" s="383"/>
      <c r="AA29" s="207"/>
      <c r="AB29" s="207"/>
      <c r="AC29" s="382"/>
      <c r="AD29" s="382"/>
      <c r="AE29" s="382"/>
      <c r="AF29" s="382"/>
      <c r="AG29" s="382"/>
      <c r="AH29" s="382"/>
      <c r="AI29" s="382"/>
      <c r="AJ29" s="382"/>
      <c r="AK29" s="382"/>
      <c r="AL29" s="382"/>
      <c r="AM29" s="382"/>
      <c r="AN29" s="207"/>
      <c r="AO29" s="207"/>
      <c r="AP29" s="382"/>
      <c r="AQ29" s="382"/>
      <c r="AR29" s="382"/>
      <c r="AS29" s="382"/>
      <c r="AT29" s="382"/>
      <c r="AU29" s="382"/>
      <c r="AV29" s="382"/>
      <c r="AW29" s="382"/>
      <c r="AX29" s="382"/>
      <c r="AY29" s="382"/>
      <c r="AZ29" s="382"/>
      <c r="BA29" s="207"/>
      <c r="BB29" s="207"/>
      <c r="BC29" s="382"/>
      <c r="BD29" s="382"/>
      <c r="BE29" s="382"/>
      <c r="BF29" s="382"/>
      <c r="BG29" s="382"/>
      <c r="BH29" s="382"/>
      <c r="BI29" s="382"/>
      <c r="BJ29" s="382"/>
      <c r="BK29" s="382"/>
      <c r="BL29" s="382"/>
      <c r="BM29" s="382"/>
      <c r="BN29" s="207"/>
      <c r="BO29" s="207"/>
      <c r="BP29" s="382"/>
      <c r="BQ29" s="382"/>
      <c r="BR29" s="382"/>
      <c r="BS29" s="382"/>
      <c r="BT29" s="382"/>
      <c r="BU29" s="382"/>
      <c r="BV29" s="382"/>
      <c r="BW29" s="382"/>
      <c r="BX29" s="382"/>
      <c r="BY29" s="382"/>
      <c r="BZ29" s="382"/>
      <c r="CA29" s="207"/>
      <c r="CB29" s="207"/>
      <c r="CC29" s="382"/>
      <c r="CD29" s="382"/>
      <c r="CE29" s="382"/>
      <c r="CF29" s="382"/>
      <c r="CG29" s="382"/>
      <c r="CH29" s="382"/>
      <c r="CI29" s="382"/>
      <c r="CJ29" s="382"/>
      <c r="CK29" s="382"/>
      <c r="CL29" s="382"/>
      <c r="CM29" s="382"/>
      <c r="CN29" s="207"/>
      <c r="CO29" s="207"/>
      <c r="CP29" s="382"/>
      <c r="CQ29" s="382"/>
      <c r="CR29" s="382"/>
      <c r="CS29" s="382"/>
      <c r="CT29" s="382"/>
      <c r="CU29" s="382"/>
      <c r="CV29" s="382"/>
      <c r="CW29" s="382"/>
      <c r="CX29" s="382"/>
      <c r="CY29" s="382"/>
      <c r="CZ29" s="382"/>
      <c r="DA29" s="207"/>
      <c r="DB29" s="207"/>
      <c r="DC29" s="382"/>
      <c r="DD29" s="382"/>
      <c r="DE29" s="382"/>
      <c r="DF29" s="382"/>
      <c r="DG29" s="382"/>
      <c r="DH29" s="382"/>
      <c r="DI29" s="382"/>
      <c r="DJ29" s="382"/>
      <c r="DK29" s="382"/>
      <c r="DL29" s="382"/>
      <c r="DM29" s="382"/>
      <c r="DN29" s="207"/>
      <c r="DO29" s="207"/>
      <c r="DP29" s="382"/>
      <c r="DQ29" s="382"/>
      <c r="DR29" s="382"/>
      <c r="DS29" s="382"/>
      <c r="DT29" s="382"/>
      <c r="DU29" s="382"/>
      <c r="DV29" s="382"/>
      <c r="DW29" s="382"/>
      <c r="DX29" s="382"/>
      <c r="DY29" s="382"/>
      <c r="DZ29" s="382"/>
      <c r="EA29" s="207"/>
      <c r="EB29" s="207"/>
      <c r="EC29" s="382"/>
      <c r="ED29" s="382"/>
      <c r="EE29" s="382"/>
      <c r="EF29" s="382"/>
      <c r="EG29" s="382"/>
      <c r="EH29" s="382"/>
      <c r="EI29" s="382"/>
      <c r="EJ29" s="382"/>
      <c r="EK29" s="382"/>
      <c r="EL29" s="382"/>
      <c r="EM29" s="382"/>
      <c r="EN29" s="207"/>
      <c r="EO29" s="207"/>
      <c r="EP29" s="382"/>
      <c r="EQ29" s="382"/>
      <c r="ER29" s="382"/>
      <c r="ES29" s="382"/>
      <c r="ET29" s="382"/>
      <c r="EU29" s="382"/>
      <c r="EV29" s="382"/>
      <c r="EW29" s="382"/>
      <c r="EX29" s="382"/>
      <c r="EY29" s="382"/>
      <c r="EZ29" s="382"/>
      <c r="FA29" s="207"/>
      <c r="FB29" s="207"/>
      <c r="FC29" s="382"/>
      <c r="FD29" s="382"/>
      <c r="FE29" s="382"/>
      <c r="FF29" s="382"/>
      <c r="FG29" s="382"/>
      <c r="FH29" s="382"/>
      <c r="FI29" s="382"/>
      <c r="FJ29" s="382"/>
      <c r="FK29" s="382"/>
      <c r="FL29" s="382"/>
      <c r="FM29" s="382"/>
      <c r="FN29" s="207"/>
      <c r="FO29" s="207"/>
      <c r="FP29" s="382"/>
      <c r="FQ29" s="382"/>
      <c r="FR29" s="382"/>
      <c r="FS29" s="382"/>
      <c r="FT29" s="382"/>
      <c r="FU29" s="382"/>
      <c r="FV29" s="382"/>
      <c r="FW29" s="382"/>
      <c r="FX29" s="382"/>
      <c r="FY29" s="382"/>
      <c r="FZ29" s="382"/>
      <c r="GA29" s="207"/>
      <c r="GB29" s="207"/>
      <c r="GC29" s="382"/>
      <c r="GD29" s="382"/>
      <c r="GE29" s="382"/>
      <c r="GF29" s="382"/>
      <c r="GG29" s="382"/>
      <c r="GH29" s="382"/>
      <c r="GI29" s="382"/>
      <c r="GJ29" s="382"/>
      <c r="GK29" s="382"/>
      <c r="GL29" s="382"/>
      <c r="GM29" s="382"/>
      <c r="GN29" s="207"/>
      <c r="GO29" s="207"/>
      <c r="GP29" s="382"/>
      <c r="GQ29" s="382"/>
      <c r="GR29" s="382"/>
      <c r="GS29" s="382"/>
      <c r="GT29" s="382"/>
      <c r="GU29" s="382"/>
      <c r="GV29" s="382"/>
      <c r="GW29" s="382"/>
      <c r="GX29" s="382"/>
      <c r="GY29" s="382"/>
      <c r="GZ29" s="382"/>
      <c r="HA29" s="207"/>
      <c r="HB29" s="207"/>
      <c r="HC29" s="382"/>
      <c r="HD29" s="382"/>
      <c r="HE29" s="382"/>
      <c r="HF29" s="382"/>
      <c r="HG29" s="382"/>
      <c r="HH29" s="382"/>
      <c r="HI29" s="382"/>
      <c r="HJ29" s="382"/>
      <c r="HK29" s="382"/>
      <c r="HL29" s="382"/>
      <c r="HM29" s="382"/>
      <c r="HN29" s="207"/>
      <c r="HO29" s="207"/>
      <c r="HP29" s="382"/>
      <c r="HQ29" s="382"/>
      <c r="HR29" s="382"/>
      <c r="HS29" s="382"/>
      <c r="HT29" s="382"/>
      <c r="HU29" s="382"/>
      <c r="HV29" s="382"/>
      <c r="HW29" s="382"/>
      <c r="HX29" s="382"/>
      <c r="HY29" s="382"/>
      <c r="HZ29" s="382"/>
      <c r="IA29" s="207"/>
      <c r="IB29" s="207"/>
      <c r="IC29" s="382"/>
      <c r="ID29" s="382"/>
      <c r="IE29" s="382"/>
      <c r="IF29" s="382"/>
      <c r="IG29" s="382"/>
      <c r="IH29" s="382"/>
      <c r="II29" s="382"/>
      <c r="IJ29" s="382"/>
      <c r="IK29" s="382"/>
      <c r="IL29" s="382"/>
      <c r="IM29" s="382"/>
      <c r="IN29" s="207"/>
      <c r="IO29" s="207"/>
      <c r="IP29" s="382"/>
      <c r="IQ29" s="382"/>
      <c r="IR29" s="382"/>
      <c r="IS29" s="382"/>
      <c r="IT29" s="382"/>
      <c r="IU29" s="382"/>
      <c r="IV29" s="382"/>
    </row>
    <row r="30" spans="1:256" x14ac:dyDescent="0.2">
      <c r="A30" s="218"/>
      <c r="B30" s="219"/>
      <c r="C30" s="377"/>
      <c r="D30" s="377"/>
      <c r="E30" s="377"/>
      <c r="F30" s="377"/>
      <c r="G30" s="377"/>
      <c r="H30" s="377"/>
      <c r="I30" s="377"/>
      <c r="J30" s="377"/>
      <c r="K30" s="377"/>
      <c r="L30" s="377"/>
      <c r="M30" s="378"/>
      <c r="N30" s="211"/>
      <c r="O30" s="211"/>
      <c r="P30" s="383"/>
      <c r="Q30" s="383"/>
      <c r="R30" s="383"/>
      <c r="S30" s="383"/>
      <c r="T30" s="383"/>
      <c r="U30" s="383"/>
      <c r="V30" s="383"/>
      <c r="W30" s="383"/>
      <c r="X30" s="383"/>
      <c r="Y30" s="383"/>
      <c r="Z30" s="383"/>
      <c r="AA30" s="207"/>
      <c r="AB30" s="207"/>
      <c r="AC30" s="382"/>
      <c r="AD30" s="382"/>
      <c r="AE30" s="382"/>
      <c r="AF30" s="382"/>
      <c r="AG30" s="382"/>
      <c r="AH30" s="382"/>
      <c r="AI30" s="382"/>
      <c r="AJ30" s="382"/>
      <c r="AK30" s="382"/>
      <c r="AL30" s="382"/>
      <c r="AM30" s="382"/>
      <c r="AN30" s="207"/>
      <c r="AO30" s="207"/>
      <c r="AP30" s="382"/>
      <c r="AQ30" s="382"/>
      <c r="AR30" s="382"/>
      <c r="AS30" s="382"/>
      <c r="AT30" s="382"/>
      <c r="AU30" s="382"/>
      <c r="AV30" s="382"/>
      <c r="AW30" s="382"/>
      <c r="AX30" s="382"/>
      <c r="AY30" s="382"/>
      <c r="AZ30" s="382"/>
      <c r="BA30" s="207"/>
      <c r="BB30" s="207"/>
      <c r="BC30" s="382"/>
      <c r="BD30" s="382"/>
      <c r="BE30" s="382"/>
      <c r="BF30" s="382"/>
      <c r="BG30" s="382"/>
      <c r="BH30" s="382"/>
      <c r="BI30" s="382"/>
      <c r="BJ30" s="382"/>
      <c r="BK30" s="382"/>
      <c r="BL30" s="382"/>
      <c r="BM30" s="382"/>
      <c r="BN30" s="207"/>
      <c r="BO30" s="207"/>
      <c r="BP30" s="382"/>
      <c r="BQ30" s="382"/>
      <c r="BR30" s="382"/>
      <c r="BS30" s="382"/>
      <c r="BT30" s="382"/>
      <c r="BU30" s="382"/>
      <c r="BV30" s="382"/>
      <c r="BW30" s="382"/>
      <c r="BX30" s="382"/>
      <c r="BY30" s="382"/>
      <c r="BZ30" s="382"/>
      <c r="CA30" s="207"/>
      <c r="CB30" s="207"/>
      <c r="CC30" s="382"/>
      <c r="CD30" s="382"/>
      <c r="CE30" s="382"/>
      <c r="CF30" s="382"/>
      <c r="CG30" s="382"/>
      <c r="CH30" s="382"/>
      <c r="CI30" s="382"/>
      <c r="CJ30" s="382"/>
      <c r="CK30" s="382"/>
      <c r="CL30" s="382"/>
      <c r="CM30" s="382"/>
      <c r="CN30" s="207"/>
      <c r="CO30" s="207"/>
      <c r="CP30" s="382"/>
      <c r="CQ30" s="382"/>
      <c r="CR30" s="382"/>
      <c r="CS30" s="382"/>
      <c r="CT30" s="382"/>
      <c r="CU30" s="382"/>
      <c r="CV30" s="382"/>
      <c r="CW30" s="382"/>
      <c r="CX30" s="382"/>
      <c r="CY30" s="382"/>
      <c r="CZ30" s="382"/>
      <c r="DA30" s="207"/>
      <c r="DB30" s="207"/>
      <c r="DC30" s="382"/>
      <c r="DD30" s="382"/>
      <c r="DE30" s="382"/>
      <c r="DF30" s="382"/>
      <c r="DG30" s="382"/>
      <c r="DH30" s="382"/>
      <c r="DI30" s="382"/>
      <c r="DJ30" s="382"/>
      <c r="DK30" s="382"/>
      <c r="DL30" s="382"/>
      <c r="DM30" s="382"/>
      <c r="DN30" s="207"/>
      <c r="DO30" s="207"/>
      <c r="DP30" s="382"/>
      <c r="DQ30" s="382"/>
      <c r="DR30" s="382"/>
      <c r="DS30" s="382"/>
      <c r="DT30" s="382"/>
      <c r="DU30" s="382"/>
      <c r="DV30" s="382"/>
      <c r="DW30" s="382"/>
      <c r="DX30" s="382"/>
      <c r="DY30" s="382"/>
      <c r="DZ30" s="382"/>
      <c r="EA30" s="207"/>
      <c r="EB30" s="207"/>
      <c r="EC30" s="382"/>
      <c r="ED30" s="382"/>
      <c r="EE30" s="382"/>
      <c r="EF30" s="382"/>
      <c r="EG30" s="382"/>
      <c r="EH30" s="382"/>
      <c r="EI30" s="382"/>
      <c r="EJ30" s="382"/>
      <c r="EK30" s="382"/>
      <c r="EL30" s="382"/>
      <c r="EM30" s="382"/>
      <c r="EN30" s="207"/>
      <c r="EO30" s="207"/>
      <c r="EP30" s="382"/>
      <c r="EQ30" s="382"/>
      <c r="ER30" s="382"/>
      <c r="ES30" s="382"/>
      <c r="ET30" s="382"/>
      <c r="EU30" s="382"/>
      <c r="EV30" s="382"/>
      <c r="EW30" s="382"/>
      <c r="EX30" s="382"/>
      <c r="EY30" s="382"/>
      <c r="EZ30" s="382"/>
      <c r="FA30" s="207"/>
      <c r="FB30" s="207"/>
      <c r="FC30" s="382"/>
      <c r="FD30" s="382"/>
      <c r="FE30" s="382"/>
      <c r="FF30" s="382"/>
      <c r="FG30" s="382"/>
      <c r="FH30" s="382"/>
      <c r="FI30" s="382"/>
      <c r="FJ30" s="382"/>
      <c r="FK30" s="382"/>
      <c r="FL30" s="382"/>
      <c r="FM30" s="382"/>
      <c r="FN30" s="207"/>
      <c r="FO30" s="207"/>
      <c r="FP30" s="382"/>
      <c r="FQ30" s="382"/>
      <c r="FR30" s="382"/>
      <c r="FS30" s="382"/>
      <c r="FT30" s="382"/>
      <c r="FU30" s="382"/>
      <c r="FV30" s="382"/>
      <c r="FW30" s="382"/>
      <c r="FX30" s="382"/>
      <c r="FY30" s="382"/>
      <c r="FZ30" s="382"/>
      <c r="GA30" s="207"/>
      <c r="GB30" s="207"/>
      <c r="GC30" s="382"/>
      <c r="GD30" s="382"/>
      <c r="GE30" s="382"/>
      <c r="GF30" s="382"/>
      <c r="GG30" s="382"/>
      <c r="GH30" s="382"/>
      <c r="GI30" s="382"/>
      <c r="GJ30" s="382"/>
      <c r="GK30" s="382"/>
      <c r="GL30" s="382"/>
      <c r="GM30" s="382"/>
      <c r="GN30" s="207"/>
      <c r="GO30" s="207"/>
      <c r="GP30" s="382"/>
      <c r="GQ30" s="382"/>
      <c r="GR30" s="382"/>
      <c r="GS30" s="382"/>
      <c r="GT30" s="382"/>
      <c r="GU30" s="382"/>
      <c r="GV30" s="382"/>
      <c r="GW30" s="382"/>
      <c r="GX30" s="382"/>
      <c r="GY30" s="382"/>
      <c r="GZ30" s="382"/>
      <c r="HA30" s="207"/>
      <c r="HB30" s="207"/>
      <c r="HC30" s="382"/>
      <c r="HD30" s="382"/>
      <c r="HE30" s="382"/>
      <c r="HF30" s="382"/>
      <c r="HG30" s="382"/>
      <c r="HH30" s="382"/>
      <c r="HI30" s="382"/>
      <c r="HJ30" s="382"/>
      <c r="HK30" s="382"/>
      <c r="HL30" s="382"/>
      <c r="HM30" s="382"/>
      <c r="HN30" s="207"/>
      <c r="HO30" s="207"/>
      <c r="HP30" s="382"/>
      <c r="HQ30" s="382"/>
      <c r="HR30" s="382"/>
      <c r="HS30" s="382"/>
      <c r="HT30" s="382"/>
      <c r="HU30" s="382"/>
      <c r="HV30" s="382"/>
      <c r="HW30" s="382"/>
      <c r="HX30" s="382"/>
      <c r="HY30" s="382"/>
      <c r="HZ30" s="382"/>
      <c r="IA30" s="207"/>
      <c r="IB30" s="207"/>
      <c r="IC30" s="382"/>
      <c r="ID30" s="382"/>
      <c r="IE30" s="382"/>
      <c r="IF30" s="382"/>
      <c r="IG30" s="382"/>
      <c r="IH30" s="382"/>
      <c r="II30" s="382"/>
      <c r="IJ30" s="382"/>
      <c r="IK30" s="382"/>
      <c r="IL30" s="382"/>
      <c r="IM30" s="382"/>
      <c r="IN30" s="207"/>
      <c r="IO30" s="207"/>
      <c r="IP30" s="382"/>
      <c r="IQ30" s="382"/>
      <c r="IR30" s="382"/>
      <c r="IS30" s="382"/>
      <c r="IT30" s="382"/>
      <c r="IU30" s="382"/>
      <c r="IV30" s="382"/>
    </row>
    <row r="31" spans="1:256" x14ac:dyDescent="0.2">
      <c r="A31" s="218"/>
      <c r="B31" s="219"/>
      <c r="C31" s="377"/>
      <c r="D31" s="377"/>
      <c r="E31" s="377"/>
      <c r="F31" s="377"/>
      <c r="G31" s="377"/>
      <c r="H31" s="377"/>
      <c r="I31" s="377"/>
      <c r="J31" s="377"/>
      <c r="K31" s="377"/>
      <c r="L31" s="377"/>
      <c r="M31" s="378"/>
      <c r="N31" s="211"/>
      <c r="O31" s="211"/>
      <c r="P31" s="383"/>
      <c r="Q31" s="383"/>
      <c r="R31" s="383"/>
      <c r="S31" s="383"/>
      <c r="T31" s="383"/>
      <c r="U31" s="383"/>
      <c r="V31" s="383"/>
      <c r="W31" s="383"/>
      <c r="X31" s="383"/>
      <c r="Y31" s="383"/>
      <c r="Z31" s="383"/>
      <c r="AA31" s="207"/>
      <c r="AB31" s="207"/>
      <c r="AC31" s="382"/>
      <c r="AD31" s="382"/>
      <c r="AE31" s="382"/>
      <c r="AF31" s="382"/>
      <c r="AG31" s="382"/>
      <c r="AH31" s="382"/>
      <c r="AI31" s="382"/>
      <c r="AJ31" s="382"/>
      <c r="AK31" s="382"/>
      <c r="AL31" s="382"/>
      <c r="AM31" s="382"/>
      <c r="AN31" s="207"/>
      <c r="AO31" s="207"/>
      <c r="AP31" s="382"/>
      <c r="AQ31" s="382"/>
      <c r="AR31" s="382"/>
      <c r="AS31" s="382"/>
      <c r="AT31" s="382"/>
      <c r="AU31" s="382"/>
      <c r="AV31" s="382"/>
      <c r="AW31" s="382"/>
      <c r="AX31" s="382"/>
      <c r="AY31" s="382"/>
      <c r="AZ31" s="382"/>
      <c r="BA31" s="207"/>
      <c r="BB31" s="207"/>
      <c r="BC31" s="382"/>
      <c r="BD31" s="382"/>
      <c r="BE31" s="382"/>
      <c r="BF31" s="382"/>
      <c r="BG31" s="382"/>
      <c r="BH31" s="382"/>
      <c r="BI31" s="382"/>
      <c r="BJ31" s="382"/>
      <c r="BK31" s="382"/>
      <c r="BL31" s="382"/>
      <c r="BM31" s="382"/>
      <c r="BN31" s="207"/>
      <c r="BO31" s="207"/>
      <c r="BP31" s="382"/>
      <c r="BQ31" s="382"/>
      <c r="BR31" s="382"/>
      <c r="BS31" s="382"/>
      <c r="BT31" s="382"/>
      <c r="BU31" s="382"/>
      <c r="BV31" s="382"/>
      <c r="BW31" s="382"/>
      <c r="BX31" s="382"/>
      <c r="BY31" s="382"/>
      <c r="BZ31" s="382"/>
      <c r="CA31" s="207"/>
      <c r="CB31" s="207"/>
      <c r="CC31" s="382"/>
      <c r="CD31" s="382"/>
      <c r="CE31" s="382"/>
      <c r="CF31" s="382"/>
      <c r="CG31" s="382"/>
      <c r="CH31" s="382"/>
      <c r="CI31" s="382"/>
      <c r="CJ31" s="382"/>
      <c r="CK31" s="382"/>
      <c r="CL31" s="382"/>
      <c r="CM31" s="382"/>
      <c r="CN31" s="207"/>
      <c r="CO31" s="207"/>
      <c r="CP31" s="382"/>
      <c r="CQ31" s="382"/>
      <c r="CR31" s="382"/>
      <c r="CS31" s="382"/>
      <c r="CT31" s="382"/>
      <c r="CU31" s="382"/>
      <c r="CV31" s="382"/>
      <c r="CW31" s="382"/>
      <c r="CX31" s="382"/>
      <c r="CY31" s="382"/>
      <c r="CZ31" s="382"/>
      <c r="DA31" s="207"/>
      <c r="DB31" s="207"/>
      <c r="DC31" s="382"/>
      <c r="DD31" s="382"/>
      <c r="DE31" s="382"/>
      <c r="DF31" s="382"/>
      <c r="DG31" s="382"/>
      <c r="DH31" s="382"/>
      <c r="DI31" s="382"/>
      <c r="DJ31" s="382"/>
      <c r="DK31" s="382"/>
      <c r="DL31" s="382"/>
      <c r="DM31" s="382"/>
      <c r="DN31" s="207"/>
      <c r="DO31" s="207"/>
      <c r="DP31" s="382"/>
      <c r="DQ31" s="382"/>
      <c r="DR31" s="382"/>
      <c r="DS31" s="382"/>
      <c r="DT31" s="382"/>
      <c r="DU31" s="382"/>
      <c r="DV31" s="382"/>
      <c r="DW31" s="382"/>
      <c r="DX31" s="382"/>
      <c r="DY31" s="382"/>
      <c r="DZ31" s="382"/>
      <c r="EA31" s="207"/>
      <c r="EB31" s="207"/>
      <c r="EC31" s="382"/>
      <c r="ED31" s="382"/>
      <c r="EE31" s="382"/>
      <c r="EF31" s="382"/>
      <c r="EG31" s="382"/>
      <c r="EH31" s="382"/>
      <c r="EI31" s="382"/>
      <c r="EJ31" s="382"/>
      <c r="EK31" s="382"/>
      <c r="EL31" s="382"/>
      <c r="EM31" s="382"/>
      <c r="EN31" s="207"/>
      <c r="EO31" s="207"/>
      <c r="EP31" s="382"/>
      <c r="EQ31" s="382"/>
      <c r="ER31" s="382"/>
      <c r="ES31" s="382"/>
      <c r="ET31" s="382"/>
      <c r="EU31" s="382"/>
      <c r="EV31" s="382"/>
      <c r="EW31" s="382"/>
      <c r="EX31" s="382"/>
      <c r="EY31" s="382"/>
      <c r="EZ31" s="382"/>
      <c r="FA31" s="207"/>
      <c r="FB31" s="207"/>
      <c r="FC31" s="382"/>
      <c r="FD31" s="382"/>
      <c r="FE31" s="382"/>
      <c r="FF31" s="382"/>
      <c r="FG31" s="382"/>
      <c r="FH31" s="382"/>
      <c r="FI31" s="382"/>
      <c r="FJ31" s="382"/>
      <c r="FK31" s="382"/>
      <c r="FL31" s="382"/>
      <c r="FM31" s="382"/>
      <c r="FN31" s="207"/>
      <c r="FO31" s="207"/>
      <c r="FP31" s="382"/>
      <c r="FQ31" s="382"/>
      <c r="FR31" s="382"/>
      <c r="FS31" s="382"/>
      <c r="FT31" s="382"/>
      <c r="FU31" s="382"/>
      <c r="FV31" s="382"/>
      <c r="FW31" s="382"/>
      <c r="FX31" s="382"/>
      <c r="FY31" s="382"/>
      <c r="FZ31" s="382"/>
      <c r="GA31" s="207"/>
      <c r="GB31" s="207"/>
      <c r="GC31" s="382"/>
      <c r="GD31" s="382"/>
      <c r="GE31" s="382"/>
      <c r="GF31" s="382"/>
      <c r="GG31" s="382"/>
      <c r="GH31" s="382"/>
      <c r="GI31" s="382"/>
      <c r="GJ31" s="382"/>
      <c r="GK31" s="382"/>
      <c r="GL31" s="382"/>
      <c r="GM31" s="382"/>
      <c r="GN31" s="207"/>
      <c r="GO31" s="207"/>
      <c r="GP31" s="382"/>
      <c r="GQ31" s="382"/>
      <c r="GR31" s="382"/>
      <c r="GS31" s="382"/>
      <c r="GT31" s="382"/>
      <c r="GU31" s="382"/>
      <c r="GV31" s="382"/>
      <c r="GW31" s="382"/>
      <c r="GX31" s="382"/>
      <c r="GY31" s="382"/>
      <c r="GZ31" s="382"/>
      <c r="HA31" s="207"/>
      <c r="HB31" s="207"/>
      <c r="HC31" s="382"/>
      <c r="HD31" s="382"/>
      <c r="HE31" s="382"/>
      <c r="HF31" s="382"/>
      <c r="HG31" s="382"/>
      <c r="HH31" s="382"/>
      <c r="HI31" s="382"/>
      <c r="HJ31" s="382"/>
      <c r="HK31" s="382"/>
      <c r="HL31" s="382"/>
      <c r="HM31" s="382"/>
      <c r="HN31" s="207"/>
      <c r="HO31" s="207"/>
      <c r="HP31" s="382"/>
      <c r="HQ31" s="382"/>
      <c r="HR31" s="382"/>
      <c r="HS31" s="382"/>
      <c r="HT31" s="382"/>
      <c r="HU31" s="382"/>
      <c r="HV31" s="382"/>
      <c r="HW31" s="382"/>
      <c r="HX31" s="382"/>
      <c r="HY31" s="382"/>
      <c r="HZ31" s="382"/>
      <c r="IA31" s="207"/>
      <c r="IB31" s="207"/>
      <c r="IC31" s="382"/>
      <c r="ID31" s="382"/>
      <c r="IE31" s="382"/>
      <c r="IF31" s="382"/>
      <c r="IG31" s="382"/>
      <c r="IH31" s="382"/>
      <c r="II31" s="382"/>
      <c r="IJ31" s="382"/>
      <c r="IK31" s="382"/>
      <c r="IL31" s="382"/>
      <c r="IM31" s="382"/>
      <c r="IN31" s="207"/>
      <c r="IO31" s="207"/>
      <c r="IP31" s="382"/>
      <c r="IQ31" s="382"/>
      <c r="IR31" s="382"/>
      <c r="IS31" s="382"/>
      <c r="IT31" s="382"/>
      <c r="IU31" s="382"/>
      <c r="IV31" s="382"/>
    </row>
    <row r="32" spans="1:256" x14ac:dyDescent="0.2">
      <c r="A32" s="218"/>
      <c r="B32" s="219"/>
      <c r="C32" s="377"/>
      <c r="D32" s="377"/>
      <c r="E32" s="377"/>
      <c r="F32" s="377"/>
      <c r="G32" s="377"/>
      <c r="H32" s="377"/>
      <c r="I32" s="377"/>
      <c r="J32" s="377"/>
      <c r="K32" s="377"/>
      <c r="L32" s="377"/>
      <c r="M32" s="378"/>
      <c r="N32" s="223"/>
      <c r="O32" s="223"/>
      <c r="P32" s="384"/>
      <c r="Q32" s="384"/>
      <c r="R32" s="384"/>
      <c r="S32" s="384"/>
      <c r="T32" s="384"/>
      <c r="U32" s="384"/>
      <c r="V32" s="384"/>
      <c r="W32" s="384"/>
      <c r="X32" s="384"/>
      <c r="Y32" s="384"/>
      <c r="Z32" s="385"/>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83"/>
      <c r="Q38" s="383"/>
      <c r="R38" s="383"/>
      <c r="S38" s="383"/>
      <c r="T38" s="383"/>
      <c r="U38" s="383"/>
      <c r="V38" s="383"/>
      <c r="W38" s="383"/>
      <c r="X38" s="383"/>
      <c r="Y38" s="383"/>
      <c r="Z38" s="383"/>
      <c r="AA38" s="207"/>
      <c r="AB38" s="207"/>
      <c r="AC38" s="382"/>
      <c r="AD38" s="382"/>
      <c r="AE38" s="382"/>
      <c r="AF38" s="382"/>
      <c r="AG38" s="382"/>
      <c r="AH38" s="382"/>
      <c r="AI38" s="382"/>
      <c r="AJ38" s="382"/>
      <c r="AK38" s="382"/>
      <c r="AL38" s="382"/>
      <c r="AM38" s="382"/>
      <c r="AN38" s="207"/>
      <c r="AO38" s="207"/>
      <c r="AP38" s="382"/>
      <c r="AQ38" s="382"/>
      <c r="AR38" s="382"/>
      <c r="AS38" s="382"/>
      <c r="AT38" s="382"/>
      <c r="AU38" s="382"/>
      <c r="AV38" s="382"/>
      <c r="AW38" s="382"/>
      <c r="AX38" s="382"/>
      <c r="AY38" s="382"/>
      <c r="AZ38" s="382"/>
      <c r="BA38" s="207"/>
      <c r="BB38" s="207"/>
      <c r="BC38" s="382"/>
      <c r="BD38" s="382"/>
      <c r="BE38" s="382"/>
      <c r="BF38" s="382"/>
      <c r="BG38" s="382"/>
      <c r="BH38" s="382"/>
      <c r="BI38" s="382"/>
      <c r="BJ38" s="382"/>
      <c r="BK38" s="382"/>
      <c r="BL38" s="382"/>
      <c r="BM38" s="382"/>
      <c r="BN38" s="207"/>
      <c r="BO38" s="207"/>
      <c r="BP38" s="382"/>
      <c r="BQ38" s="382"/>
      <c r="BR38" s="382"/>
      <c r="BS38" s="382"/>
      <c r="BT38" s="382"/>
      <c r="BU38" s="382"/>
      <c r="BV38" s="382"/>
      <c r="BW38" s="382"/>
      <c r="BX38" s="382"/>
      <c r="BY38" s="382"/>
      <c r="BZ38" s="382"/>
      <c r="CA38" s="207"/>
      <c r="CB38" s="207"/>
      <c r="CC38" s="382"/>
      <c r="CD38" s="382"/>
      <c r="CE38" s="382"/>
      <c r="CF38" s="382"/>
      <c r="CG38" s="382"/>
      <c r="CH38" s="382"/>
      <c r="CI38" s="382"/>
      <c r="CJ38" s="382"/>
      <c r="CK38" s="382"/>
      <c r="CL38" s="382"/>
      <c r="CM38" s="382"/>
      <c r="CN38" s="207"/>
      <c r="CO38" s="207"/>
      <c r="CP38" s="382"/>
      <c r="CQ38" s="382"/>
      <c r="CR38" s="382"/>
      <c r="CS38" s="382"/>
      <c r="CT38" s="382"/>
      <c r="CU38" s="382"/>
      <c r="CV38" s="382"/>
      <c r="CW38" s="382"/>
      <c r="CX38" s="382"/>
      <c r="CY38" s="382"/>
      <c r="CZ38" s="382"/>
      <c r="DA38" s="207"/>
      <c r="DB38" s="207"/>
      <c r="DC38" s="382"/>
      <c r="DD38" s="382"/>
      <c r="DE38" s="382"/>
      <c r="DF38" s="382"/>
      <c r="DG38" s="382"/>
      <c r="DH38" s="382"/>
      <c r="DI38" s="382"/>
      <c r="DJ38" s="382"/>
      <c r="DK38" s="382"/>
      <c r="DL38" s="382"/>
      <c r="DM38" s="382"/>
      <c r="DN38" s="207"/>
      <c r="DO38" s="207"/>
      <c r="DP38" s="382"/>
      <c r="DQ38" s="382"/>
      <c r="DR38" s="382"/>
      <c r="DS38" s="382"/>
      <c r="DT38" s="382"/>
      <c r="DU38" s="382"/>
      <c r="DV38" s="382"/>
      <c r="DW38" s="382"/>
      <c r="DX38" s="382"/>
      <c r="DY38" s="382"/>
      <c r="DZ38" s="382"/>
      <c r="EA38" s="207"/>
      <c r="EB38" s="207"/>
      <c r="EC38" s="382"/>
      <c r="ED38" s="382"/>
      <c r="EE38" s="382"/>
      <c r="EF38" s="382"/>
      <c r="EG38" s="382"/>
      <c r="EH38" s="382"/>
      <c r="EI38" s="382"/>
      <c r="EJ38" s="382"/>
      <c r="EK38" s="382"/>
      <c r="EL38" s="382"/>
      <c r="EM38" s="382"/>
      <c r="EN38" s="207"/>
      <c r="EO38" s="207"/>
      <c r="EP38" s="382"/>
      <c r="EQ38" s="382"/>
      <c r="ER38" s="382"/>
      <c r="ES38" s="382"/>
      <c r="ET38" s="382"/>
      <c r="EU38" s="382"/>
      <c r="EV38" s="382"/>
      <c r="EW38" s="382"/>
      <c r="EX38" s="382"/>
      <c r="EY38" s="382"/>
      <c r="EZ38" s="382"/>
      <c r="FA38" s="207"/>
      <c r="FB38" s="207"/>
      <c r="FC38" s="382"/>
      <c r="FD38" s="382"/>
      <c r="FE38" s="382"/>
      <c r="FF38" s="382"/>
      <c r="FG38" s="382"/>
      <c r="FH38" s="382"/>
      <c r="FI38" s="382"/>
      <c r="FJ38" s="382"/>
      <c r="FK38" s="382"/>
      <c r="FL38" s="382"/>
      <c r="FM38" s="382"/>
      <c r="FN38" s="207"/>
      <c r="FO38" s="207"/>
      <c r="FP38" s="382"/>
      <c r="FQ38" s="382"/>
      <c r="FR38" s="382"/>
      <c r="FS38" s="382"/>
      <c r="FT38" s="382"/>
      <c r="FU38" s="382"/>
      <c r="FV38" s="382"/>
      <c r="FW38" s="382"/>
      <c r="FX38" s="382"/>
      <c r="FY38" s="382"/>
      <c r="FZ38" s="382"/>
      <c r="GA38" s="207"/>
      <c r="GB38" s="207"/>
      <c r="GC38" s="382"/>
      <c r="GD38" s="382"/>
      <c r="GE38" s="382"/>
      <c r="GF38" s="382"/>
      <c r="GG38" s="382"/>
      <c r="GH38" s="382"/>
      <c r="GI38" s="382"/>
      <c r="GJ38" s="382"/>
      <c r="GK38" s="382"/>
      <c r="GL38" s="382"/>
      <c r="GM38" s="382"/>
      <c r="GN38" s="207"/>
      <c r="GO38" s="207"/>
      <c r="GP38" s="382"/>
      <c r="GQ38" s="382"/>
      <c r="GR38" s="382"/>
      <c r="GS38" s="382"/>
      <c r="GT38" s="382"/>
      <c r="GU38" s="382"/>
      <c r="GV38" s="382"/>
      <c r="GW38" s="382"/>
      <c r="GX38" s="382"/>
      <c r="GY38" s="382"/>
      <c r="GZ38" s="382"/>
      <c r="HA38" s="207"/>
      <c r="HB38" s="207"/>
      <c r="HC38" s="382"/>
      <c r="HD38" s="382"/>
      <c r="HE38" s="382"/>
      <c r="HF38" s="382"/>
      <c r="HG38" s="382"/>
      <c r="HH38" s="382"/>
      <c r="HI38" s="382"/>
      <c r="HJ38" s="382"/>
      <c r="HK38" s="382"/>
      <c r="HL38" s="382"/>
      <c r="HM38" s="382"/>
      <c r="HN38" s="207"/>
      <c r="HO38" s="207"/>
      <c r="HP38" s="382"/>
      <c r="HQ38" s="382"/>
      <c r="HR38" s="382"/>
      <c r="HS38" s="382"/>
      <c r="HT38" s="382"/>
      <c r="HU38" s="382"/>
      <c r="HV38" s="382"/>
      <c r="HW38" s="382"/>
      <c r="HX38" s="382"/>
      <c r="HY38" s="382"/>
      <c r="HZ38" s="382"/>
      <c r="IA38" s="207"/>
      <c r="IB38" s="207"/>
      <c r="IC38" s="382"/>
      <c r="ID38" s="382"/>
      <c r="IE38" s="382"/>
      <c r="IF38" s="382"/>
      <c r="IG38" s="382"/>
      <c r="IH38" s="382"/>
      <c r="II38" s="382"/>
      <c r="IJ38" s="382"/>
      <c r="IK38" s="382"/>
      <c r="IL38" s="382"/>
      <c r="IM38" s="382"/>
      <c r="IN38" s="207"/>
      <c r="IO38" s="207"/>
      <c r="IP38" s="382"/>
      <c r="IQ38" s="382"/>
      <c r="IR38" s="382"/>
      <c r="IS38" s="382"/>
      <c r="IT38" s="382"/>
      <c r="IU38" s="382"/>
      <c r="IV38" s="382"/>
    </row>
    <row r="39" spans="1:256" x14ac:dyDescent="0.2">
      <c r="A39" s="218"/>
      <c r="B39" s="219"/>
      <c r="C39" s="377"/>
      <c r="D39" s="377"/>
      <c r="E39" s="377"/>
      <c r="F39" s="377"/>
      <c r="G39" s="377"/>
      <c r="H39" s="377"/>
      <c r="I39" s="377"/>
      <c r="J39" s="377"/>
      <c r="K39" s="377"/>
      <c r="L39" s="377"/>
      <c r="M39" s="378"/>
      <c r="N39" s="211"/>
      <c r="O39" s="211"/>
      <c r="P39" s="383"/>
      <c r="Q39" s="383"/>
      <c r="R39" s="383"/>
      <c r="S39" s="383"/>
      <c r="T39" s="383"/>
      <c r="U39" s="383"/>
      <c r="V39" s="383"/>
      <c r="W39" s="383"/>
      <c r="X39" s="383"/>
      <c r="Y39" s="383"/>
      <c r="Z39" s="383"/>
      <c r="AA39" s="207"/>
      <c r="AB39" s="207"/>
      <c r="AC39" s="382"/>
      <c r="AD39" s="382"/>
      <c r="AE39" s="382"/>
      <c r="AF39" s="382"/>
      <c r="AG39" s="382"/>
      <c r="AH39" s="382"/>
      <c r="AI39" s="382"/>
      <c r="AJ39" s="382"/>
      <c r="AK39" s="382"/>
      <c r="AL39" s="382"/>
      <c r="AM39" s="382"/>
      <c r="AN39" s="207"/>
      <c r="AO39" s="207"/>
      <c r="AP39" s="382"/>
      <c r="AQ39" s="382"/>
      <c r="AR39" s="382"/>
      <c r="AS39" s="382"/>
      <c r="AT39" s="382"/>
      <c r="AU39" s="382"/>
      <c r="AV39" s="382"/>
      <c r="AW39" s="382"/>
      <c r="AX39" s="382"/>
      <c r="AY39" s="382"/>
      <c r="AZ39" s="382"/>
      <c r="BA39" s="207"/>
      <c r="BB39" s="207"/>
      <c r="BC39" s="382"/>
      <c r="BD39" s="382"/>
      <c r="BE39" s="382"/>
      <c r="BF39" s="382"/>
      <c r="BG39" s="382"/>
      <c r="BH39" s="382"/>
      <c r="BI39" s="382"/>
      <c r="BJ39" s="382"/>
      <c r="BK39" s="382"/>
      <c r="BL39" s="382"/>
      <c r="BM39" s="382"/>
      <c r="BN39" s="207"/>
      <c r="BO39" s="207"/>
      <c r="BP39" s="382"/>
      <c r="BQ39" s="382"/>
      <c r="BR39" s="382"/>
      <c r="BS39" s="382"/>
      <c r="BT39" s="382"/>
      <c r="BU39" s="382"/>
      <c r="BV39" s="382"/>
      <c r="BW39" s="382"/>
      <c r="BX39" s="382"/>
      <c r="BY39" s="382"/>
      <c r="BZ39" s="382"/>
      <c r="CA39" s="207"/>
      <c r="CB39" s="207"/>
      <c r="CC39" s="382"/>
      <c r="CD39" s="382"/>
      <c r="CE39" s="382"/>
      <c r="CF39" s="382"/>
      <c r="CG39" s="382"/>
      <c r="CH39" s="382"/>
      <c r="CI39" s="382"/>
      <c r="CJ39" s="382"/>
      <c r="CK39" s="382"/>
      <c r="CL39" s="382"/>
      <c r="CM39" s="382"/>
      <c r="CN39" s="207"/>
      <c r="CO39" s="207"/>
      <c r="CP39" s="382"/>
      <c r="CQ39" s="382"/>
      <c r="CR39" s="382"/>
      <c r="CS39" s="382"/>
      <c r="CT39" s="382"/>
      <c r="CU39" s="382"/>
      <c r="CV39" s="382"/>
      <c r="CW39" s="382"/>
      <c r="CX39" s="382"/>
      <c r="CY39" s="382"/>
      <c r="CZ39" s="382"/>
      <c r="DA39" s="207"/>
      <c r="DB39" s="207"/>
      <c r="DC39" s="382"/>
      <c r="DD39" s="382"/>
      <c r="DE39" s="382"/>
      <c r="DF39" s="382"/>
      <c r="DG39" s="382"/>
      <c r="DH39" s="382"/>
      <c r="DI39" s="382"/>
      <c r="DJ39" s="382"/>
      <c r="DK39" s="382"/>
      <c r="DL39" s="382"/>
      <c r="DM39" s="382"/>
      <c r="DN39" s="207"/>
      <c r="DO39" s="207"/>
      <c r="DP39" s="382"/>
      <c r="DQ39" s="382"/>
      <c r="DR39" s="382"/>
      <c r="DS39" s="382"/>
      <c r="DT39" s="382"/>
      <c r="DU39" s="382"/>
      <c r="DV39" s="382"/>
      <c r="DW39" s="382"/>
      <c r="DX39" s="382"/>
      <c r="DY39" s="382"/>
      <c r="DZ39" s="382"/>
      <c r="EA39" s="207"/>
      <c r="EB39" s="207"/>
      <c r="EC39" s="382"/>
      <c r="ED39" s="382"/>
      <c r="EE39" s="382"/>
      <c r="EF39" s="382"/>
      <c r="EG39" s="382"/>
      <c r="EH39" s="382"/>
      <c r="EI39" s="382"/>
      <c r="EJ39" s="382"/>
      <c r="EK39" s="382"/>
      <c r="EL39" s="382"/>
      <c r="EM39" s="382"/>
      <c r="EN39" s="207"/>
      <c r="EO39" s="207"/>
      <c r="EP39" s="382"/>
      <c r="EQ39" s="382"/>
      <c r="ER39" s="382"/>
      <c r="ES39" s="382"/>
      <c r="ET39" s="382"/>
      <c r="EU39" s="382"/>
      <c r="EV39" s="382"/>
      <c r="EW39" s="382"/>
      <c r="EX39" s="382"/>
      <c r="EY39" s="382"/>
      <c r="EZ39" s="382"/>
      <c r="FA39" s="207"/>
      <c r="FB39" s="207"/>
      <c r="FC39" s="382"/>
      <c r="FD39" s="382"/>
      <c r="FE39" s="382"/>
      <c r="FF39" s="382"/>
      <c r="FG39" s="382"/>
      <c r="FH39" s="382"/>
      <c r="FI39" s="382"/>
      <c r="FJ39" s="382"/>
      <c r="FK39" s="382"/>
      <c r="FL39" s="382"/>
      <c r="FM39" s="382"/>
      <c r="FN39" s="207"/>
      <c r="FO39" s="207"/>
      <c r="FP39" s="382"/>
      <c r="FQ39" s="382"/>
      <c r="FR39" s="382"/>
      <c r="FS39" s="382"/>
      <c r="FT39" s="382"/>
      <c r="FU39" s="382"/>
      <c r="FV39" s="382"/>
      <c r="FW39" s="382"/>
      <c r="FX39" s="382"/>
      <c r="FY39" s="382"/>
      <c r="FZ39" s="382"/>
      <c r="GA39" s="207"/>
      <c r="GB39" s="207"/>
      <c r="GC39" s="382"/>
      <c r="GD39" s="382"/>
      <c r="GE39" s="382"/>
      <c r="GF39" s="382"/>
      <c r="GG39" s="382"/>
      <c r="GH39" s="382"/>
      <c r="GI39" s="382"/>
      <c r="GJ39" s="382"/>
      <c r="GK39" s="382"/>
      <c r="GL39" s="382"/>
      <c r="GM39" s="382"/>
      <c r="GN39" s="207"/>
      <c r="GO39" s="207"/>
      <c r="GP39" s="382"/>
      <c r="GQ39" s="382"/>
      <c r="GR39" s="382"/>
      <c r="GS39" s="382"/>
      <c r="GT39" s="382"/>
      <c r="GU39" s="382"/>
      <c r="GV39" s="382"/>
      <c r="GW39" s="382"/>
      <c r="GX39" s="382"/>
      <c r="GY39" s="382"/>
      <c r="GZ39" s="382"/>
      <c r="HA39" s="207"/>
      <c r="HB39" s="207"/>
      <c r="HC39" s="382"/>
      <c r="HD39" s="382"/>
      <c r="HE39" s="382"/>
      <c r="HF39" s="382"/>
      <c r="HG39" s="382"/>
      <c r="HH39" s="382"/>
      <c r="HI39" s="382"/>
      <c r="HJ39" s="382"/>
      <c r="HK39" s="382"/>
      <c r="HL39" s="382"/>
      <c r="HM39" s="382"/>
      <c r="HN39" s="207"/>
      <c r="HO39" s="207"/>
      <c r="HP39" s="382"/>
      <c r="HQ39" s="382"/>
      <c r="HR39" s="382"/>
      <c r="HS39" s="382"/>
      <c r="HT39" s="382"/>
      <c r="HU39" s="382"/>
      <c r="HV39" s="382"/>
      <c r="HW39" s="382"/>
      <c r="HX39" s="382"/>
      <c r="HY39" s="382"/>
      <c r="HZ39" s="382"/>
      <c r="IA39" s="207"/>
      <c r="IB39" s="207"/>
      <c r="IC39" s="382"/>
      <c r="ID39" s="382"/>
      <c r="IE39" s="382"/>
      <c r="IF39" s="382"/>
      <c r="IG39" s="382"/>
      <c r="IH39" s="382"/>
      <c r="II39" s="382"/>
      <c r="IJ39" s="382"/>
      <c r="IK39" s="382"/>
      <c r="IL39" s="382"/>
      <c r="IM39" s="382"/>
      <c r="IN39" s="207"/>
      <c r="IO39" s="207"/>
      <c r="IP39" s="382"/>
      <c r="IQ39" s="382"/>
      <c r="IR39" s="382"/>
      <c r="IS39" s="382"/>
      <c r="IT39" s="382"/>
      <c r="IU39" s="382"/>
      <c r="IV39" s="382"/>
    </row>
    <row r="40" spans="1:256" x14ac:dyDescent="0.2">
      <c r="A40" s="218"/>
      <c r="B40" s="219"/>
      <c r="C40" s="377"/>
      <c r="D40" s="377"/>
      <c r="E40" s="377"/>
      <c r="F40" s="377"/>
      <c r="G40" s="377"/>
      <c r="H40" s="377"/>
      <c r="I40" s="377"/>
      <c r="J40" s="377"/>
      <c r="K40" s="377"/>
      <c r="L40" s="377"/>
      <c r="M40" s="378"/>
      <c r="N40" s="211"/>
      <c r="O40" s="211"/>
      <c r="P40" s="383"/>
      <c r="Q40" s="383"/>
      <c r="R40" s="383"/>
      <c r="S40" s="383"/>
      <c r="T40" s="383"/>
      <c r="U40" s="383"/>
      <c r="V40" s="383"/>
      <c r="W40" s="383"/>
      <c r="X40" s="383"/>
      <c r="Y40" s="383"/>
      <c r="Z40" s="383"/>
      <c r="AA40" s="207"/>
      <c r="AB40" s="207"/>
      <c r="AC40" s="382"/>
      <c r="AD40" s="382"/>
      <c r="AE40" s="382"/>
      <c r="AF40" s="382"/>
      <c r="AG40" s="382"/>
      <c r="AH40" s="382"/>
      <c r="AI40" s="382"/>
      <c r="AJ40" s="382"/>
      <c r="AK40" s="382"/>
      <c r="AL40" s="382"/>
      <c r="AM40" s="382"/>
      <c r="AN40" s="207"/>
      <c r="AO40" s="207"/>
      <c r="AP40" s="382"/>
      <c r="AQ40" s="382"/>
      <c r="AR40" s="382"/>
      <c r="AS40" s="382"/>
      <c r="AT40" s="382"/>
      <c r="AU40" s="382"/>
      <c r="AV40" s="382"/>
      <c r="AW40" s="382"/>
      <c r="AX40" s="382"/>
      <c r="AY40" s="382"/>
      <c r="AZ40" s="382"/>
      <c r="BA40" s="207"/>
      <c r="BB40" s="207"/>
      <c r="BC40" s="382"/>
      <c r="BD40" s="382"/>
      <c r="BE40" s="382"/>
      <c r="BF40" s="382"/>
      <c r="BG40" s="382"/>
      <c r="BH40" s="382"/>
      <c r="BI40" s="382"/>
      <c r="BJ40" s="382"/>
      <c r="BK40" s="382"/>
      <c r="BL40" s="382"/>
      <c r="BM40" s="382"/>
      <c r="BN40" s="207"/>
      <c r="BO40" s="207"/>
      <c r="BP40" s="382"/>
      <c r="BQ40" s="382"/>
      <c r="BR40" s="382"/>
      <c r="BS40" s="382"/>
      <c r="BT40" s="382"/>
      <c r="BU40" s="382"/>
      <c r="BV40" s="382"/>
      <c r="BW40" s="382"/>
      <c r="BX40" s="382"/>
      <c r="BY40" s="382"/>
      <c r="BZ40" s="382"/>
      <c r="CA40" s="207"/>
      <c r="CB40" s="207"/>
      <c r="CC40" s="382"/>
      <c r="CD40" s="382"/>
      <c r="CE40" s="382"/>
      <c r="CF40" s="382"/>
      <c r="CG40" s="382"/>
      <c r="CH40" s="382"/>
      <c r="CI40" s="382"/>
      <c r="CJ40" s="382"/>
      <c r="CK40" s="382"/>
      <c r="CL40" s="382"/>
      <c r="CM40" s="382"/>
      <c r="CN40" s="207"/>
      <c r="CO40" s="207"/>
      <c r="CP40" s="382"/>
      <c r="CQ40" s="382"/>
      <c r="CR40" s="382"/>
      <c r="CS40" s="382"/>
      <c r="CT40" s="382"/>
      <c r="CU40" s="382"/>
      <c r="CV40" s="382"/>
      <c r="CW40" s="382"/>
      <c r="CX40" s="382"/>
      <c r="CY40" s="382"/>
      <c r="CZ40" s="382"/>
      <c r="DA40" s="207"/>
      <c r="DB40" s="207"/>
      <c r="DC40" s="382"/>
      <c r="DD40" s="382"/>
      <c r="DE40" s="382"/>
      <c r="DF40" s="382"/>
      <c r="DG40" s="382"/>
      <c r="DH40" s="382"/>
      <c r="DI40" s="382"/>
      <c r="DJ40" s="382"/>
      <c r="DK40" s="382"/>
      <c r="DL40" s="382"/>
      <c r="DM40" s="382"/>
      <c r="DN40" s="207"/>
      <c r="DO40" s="207"/>
      <c r="DP40" s="382"/>
      <c r="DQ40" s="382"/>
      <c r="DR40" s="382"/>
      <c r="DS40" s="382"/>
      <c r="DT40" s="382"/>
      <c r="DU40" s="382"/>
      <c r="DV40" s="382"/>
      <c r="DW40" s="382"/>
      <c r="DX40" s="382"/>
      <c r="DY40" s="382"/>
      <c r="DZ40" s="382"/>
      <c r="EA40" s="207"/>
      <c r="EB40" s="207"/>
      <c r="EC40" s="382"/>
      <c r="ED40" s="382"/>
      <c r="EE40" s="382"/>
      <c r="EF40" s="382"/>
      <c r="EG40" s="382"/>
      <c r="EH40" s="382"/>
      <c r="EI40" s="382"/>
      <c r="EJ40" s="382"/>
      <c r="EK40" s="382"/>
      <c r="EL40" s="382"/>
      <c r="EM40" s="382"/>
      <c r="EN40" s="207"/>
      <c r="EO40" s="207"/>
      <c r="EP40" s="382"/>
      <c r="EQ40" s="382"/>
      <c r="ER40" s="382"/>
      <c r="ES40" s="382"/>
      <c r="ET40" s="382"/>
      <c r="EU40" s="382"/>
      <c r="EV40" s="382"/>
      <c r="EW40" s="382"/>
      <c r="EX40" s="382"/>
      <c r="EY40" s="382"/>
      <c r="EZ40" s="382"/>
      <c r="FA40" s="207"/>
      <c r="FB40" s="207"/>
      <c r="FC40" s="382"/>
      <c r="FD40" s="382"/>
      <c r="FE40" s="382"/>
      <c r="FF40" s="382"/>
      <c r="FG40" s="382"/>
      <c r="FH40" s="382"/>
      <c r="FI40" s="382"/>
      <c r="FJ40" s="382"/>
      <c r="FK40" s="382"/>
      <c r="FL40" s="382"/>
      <c r="FM40" s="382"/>
      <c r="FN40" s="207"/>
      <c r="FO40" s="207"/>
      <c r="FP40" s="382"/>
      <c r="FQ40" s="382"/>
      <c r="FR40" s="382"/>
      <c r="FS40" s="382"/>
      <c r="FT40" s="382"/>
      <c r="FU40" s="382"/>
      <c r="FV40" s="382"/>
      <c r="FW40" s="382"/>
      <c r="FX40" s="382"/>
      <c r="FY40" s="382"/>
      <c r="FZ40" s="382"/>
      <c r="GA40" s="207"/>
      <c r="GB40" s="207"/>
      <c r="GC40" s="382"/>
      <c r="GD40" s="382"/>
      <c r="GE40" s="382"/>
      <c r="GF40" s="382"/>
      <c r="GG40" s="382"/>
      <c r="GH40" s="382"/>
      <c r="GI40" s="382"/>
      <c r="GJ40" s="382"/>
      <c r="GK40" s="382"/>
      <c r="GL40" s="382"/>
      <c r="GM40" s="382"/>
      <c r="GN40" s="207"/>
      <c r="GO40" s="207"/>
      <c r="GP40" s="382"/>
      <c r="GQ40" s="382"/>
      <c r="GR40" s="382"/>
      <c r="GS40" s="382"/>
      <c r="GT40" s="382"/>
      <c r="GU40" s="382"/>
      <c r="GV40" s="382"/>
      <c r="GW40" s="382"/>
      <c r="GX40" s="382"/>
      <c r="GY40" s="382"/>
      <c r="GZ40" s="382"/>
      <c r="HA40" s="207"/>
      <c r="HB40" s="207"/>
      <c r="HC40" s="382"/>
      <c r="HD40" s="382"/>
      <c r="HE40" s="382"/>
      <c r="HF40" s="382"/>
      <c r="HG40" s="382"/>
      <c r="HH40" s="382"/>
      <c r="HI40" s="382"/>
      <c r="HJ40" s="382"/>
      <c r="HK40" s="382"/>
      <c r="HL40" s="382"/>
      <c r="HM40" s="382"/>
      <c r="HN40" s="207"/>
      <c r="HO40" s="207"/>
      <c r="HP40" s="382"/>
      <c r="HQ40" s="382"/>
      <c r="HR40" s="382"/>
      <c r="HS40" s="382"/>
      <c r="HT40" s="382"/>
      <c r="HU40" s="382"/>
      <c r="HV40" s="382"/>
      <c r="HW40" s="382"/>
      <c r="HX40" s="382"/>
      <c r="HY40" s="382"/>
      <c r="HZ40" s="382"/>
      <c r="IA40" s="207"/>
      <c r="IB40" s="207"/>
      <c r="IC40" s="382"/>
      <c r="ID40" s="382"/>
      <c r="IE40" s="382"/>
      <c r="IF40" s="382"/>
      <c r="IG40" s="382"/>
      <c r="IH40" s="382"/>
      <c r="II40" s="382"/>
      <c r="IJ40" s="382"/>
      <c r="IK40" s="382"/>
      <c r="IL40" s="382"/>
      <c r="IM40" s="382"/>
      <c r="IN40" s="207"/>
      <c r="IO40" s="207"/>
      <c r="IP40" s="382"/>
      <c r="IQ40" s="382"/>
      <c r="IR40" s="382"/>
      <c r="IS40" s="382"/>
      <c r="IT40" s="382"/>
      <c r="IU40" s="382"/>
      <c r="IV40" s="382"/>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79"/>
      <c r="D70" s="379"/>
      <c r="E70" s="379"/>
      <c r="F70" s="379"/>
      <c r="G70" s="379"/>
      <c r="H70" s="379"/>
      <c r="I70" s="379"/>
      <c r="J70" s="379"/>
      <c r="K70" s="379"/>
      <c r="L70" s="379"/>
      <c r="M70" s="380"/>
    </row>
    <row r="71" spans="1:13" ht="12" thickTop="1" x14ac:dyDescent="0.2">
      <c r="A71" s="208"/>
      <c r="B71" s="208"/>
      <c r="C71" s="209"/>
      <c r="D71" s="209"/>
      <c r="E71" s="209"/>
      <c r="F71" s="209"/>
      <c r="G71" s="209"/>
      <c r="H71" s="209"/>
      <c r="I71" s="209"/>
      <c r="J71" s="209"/>
      <c r="K71" s="209"/>
      <c r="L71" s="209"/>
    </row>
    <row r="72" spans="1:13" ht="12.75" x14ac:dyDescent="0.2">
      <c r="A72" s="381" t="s">
        <v>832</v>
      </c>
      <c r="B72" s="381"/>
      <c r="C72" s="381"/>
      <c r="D72" s="381"/>
      <c r="E72" s="381"/>
      <c r="F72" s="126"/>
      <c r="G72" s="126"/>
      <c r="H72" s="126"/>
      <c r="I72" s="126"/>
      <c r="J72" s="126"/>
      <c r="K72" s="126"/>
      <c r="L72" s="126"/>
      <c r="M72" s="126"/>
    </row>
    <row r="73" spans="1:13" x14ac:dyDescent="0.2">
      <c r="A73" s="210" t="s">
        <v>764</v>
      </c>
      <c r="B73" s="210" t="s">
        <v>765</v>
      </c>
      <c r="C73" s="376"/>
      <c r="D73" s="376"/>
      <c r="E73" s="376"/>
      <c r="F73" s="376"/>
      <c r="G73" s="376"/>
      <c r="H73" s="376"/>
      <c r="I73" s="376"/>
      <c r="J73" s="376"/>
      <c r="K73" s="376"/>
      <c r="L73" s="376"/>
      <c r="M73" s="376"/>
    </row>
    <row r="74" spans="1:13" x14ac:dyDescent="0.2">
      <c r="A74" s="211"/>
      <c r="B74" s="211"/>
      <c r="C74" s="376"/>
      <c r="D74" s="376"/>
      <c r="E74" s="376"/>
      <c r="F74" s="376"/>
      <c r="G74" s="376"/>
      <c r="H74" s="376"/>
      <c r="I74" s="376"/>
      <c r="J74" s="376"/>
      <c r="K74" s="376"/>
      <c r="L74" s="376"/>
      <c r="M74" s="376"/>
    </row>
    <row r="75" spans="1:13" x14ac:dyDescent="0.2">
      <c r="A75" s="211"/>
      <c r="B75" s="211"/>
      <c r="C75" s="376"/>
      <c r="D75" s="376"/>
      <c r="E75" s="376"/>
      <c r="F75" s="376"/>
      <c r="G75" s="376"/>
      <c r="H75" s="376"/>
      <c r="I75" s="376"/>
      <c r="J75" s="376"/>
      <c r="K75" s="376"/>
      <c r="L75" s="376"/>
      <c r="M75" s="376"/>
    </row>
    <row r="76" spans="1:13" x14ac:dyDescent="0.2">
      <c r="A76" s="211"/>
      <c r="B76" s="211"/>
      <c r="C76" s="376"/>
      <c r="D76" s="376"/>
      <c r="E76" s="376"/>
      <c r="F76" s="376"/>
      <c r="G76" s="376"/>
      <c r="H76" s="376"/>
      <c r="I76" s="376"/>
      <c r="J76" s="376"/>
      <c r="K76" s="376"/>
      <c r="L76" s="376"/>
      <c r="M76" s="376"/>
    </row>
    <row r="77" spans="1:13" x14ac:dyDescent="0.2">
      <c r="A77" s="211"/>
      <c r="B77" s="211"/>
      <c r="C77" s="376"/>
      <c r="D77" s="376"/>
      <c r="E77" s="376"/>
      <c r="F77" s="376"/>
      <c r="G77" s="376"/>
      <c r="H77" s="376"/>
      <c r="I77" s="376"/>
      <c r="J77" s="376"/>
      <c r="K77" s="376"/>
      <c r="L77" s="376"/>
      <c r="M77" s="376"/>
    </row>
    <row r="78" spans="1:13" x14ac:dyDescent="0.2">
      <c r="A78" s="211"/>
      <c r="B78" s="211"/>
      <c r="C78" s="376"/>
      <c r="D78" s="376"/>
      <c r="E78" s="376"/>
      <c r="F78" s="376"/>
      <c r="G78" s="376"/>
      <c r="H78" s="376"/>
      <c r="I78" s="376"/>
      <c r="J78" s="376"/>
      <c r="K78" s="376"/>
      <c r="L78" s="376"/>
      <c r="M78" s="376"/>
    </row>
    <row r="79" spans="1:13" x14ac:dyDescent="0.2">
      <c r="A79" s="211"/>
      <c r="B79" s="211"/>
      <c r="C79" s="376"/>
      <c r="D79" s="376"/>
      <c r="E79" s="376"/>
      <c r="F79" s="376"/>
      <c r="G79" s="376"/>
      <c r="H79" s="376"/>
      <c r="I79" s="376"/>
      <c r="J79" s="376"/>
      <c r="K79" s="376"/>
      <c r="L79" s="376"/>
      <c r="M79" s="376"/>
    </row>
    <row r="80" spans="1:13" x14ac:dyDescent="0.2">
      <c r="A80" s="211"/>
      <c r="B80" s="211"/>
      <c r="C80" s="376"/>
      <c r="D80" s="376"/>
      <c r="E80" s="376"/>
      <c r="F80" s="376"/>
      <c r="G80" s="376"/>
      <c r="H80" s="376"/>
      <c r="I80" s="376"/>
      <c r="J80" s="376"/>
      <c r="K80" s="376"/>
      <c r="L80" s="376"/>
      <c r="M80" s="376"/>
    </row>
    <row r="81" spans="1:13" x14ac:dyDescent="0.2">
      <c r="A81" s="211"/>
      <c r="B81" s="211"/>
      <c r="C81" s="376"/>
      <c r="D81" s="376"/>
      <c r="E81" s="376"/>
      <c r="F81" s="376"/>
      <c r="G81" s="376"/>
      <c r="H81" s="376"/>
      <c r="I81" s="376"/>
      <c r="J81" s="376"/>
      <c r="K81" s="376"/>
      <c r="L81" s="376"/>
      <c r="M81" s="376"/>
    </row>
    <row r="82" spans="1:13" x14ac:dyDescent="0.2">
      <c r="A82" s="211"/>
      <c r="B82" s="211"/>
      <c r="C82" s="376"/>
      <c r="D82" s="376"/>
      <c r="E82" s="376"/>
      <c r="F82" s="376"/>
      <c r="G82" s="376"/>
      <c r="H82" s="376"/>
      <c r="I82" s="376"/>
      <c r="J82" s="376"/>
      <c r="K82" s="376"/>
      <c r="L82" s="376"/>
      <c r="M82" s="376"/>
    </row>
    <row r="83" spans="1:13" x14ac:dyDescent="0.2">
      <c r="A83" s="211"/>
      <c r="B83" s="211"/>
      <c r="C83" s="376"/>
      <c r="D83" s="376"/>
      <c r="E83" s="376"/>
      <c r="F83" s="376"/>
      <c r="G83" s="376"/>
      <c r="H83" s="376"/>
      <c r="I83" s="376"/>
      <c r="J83" s="376"/>
      <c r="K83" s="376"/>
      <c r="L83" s="376"/>
      <c r="M83" s="376"/>
    </row>
    <row r="84" spans="1:13" x14ac:dyDescent="0.2">
      <c r="A84" s="211"/>
      <c r="B84" s="211"/>
      <c r="C84" s="376"/>
      <c r="D84" s="376"/>
      <c r="E84" s="376"/>
      <c r="F84" s="376"/>
      <c r="G84" s="376"/>
      <c r="H84" s="376"/>
      <c r="I84" s="376"/>
      <c r="J84" s="376"/>
      <c r="K84" s="376"/>
      <c r="L84" s="376"/>
      <c r="M84" s="376"/>
    </row>
    <row r="85" spans="1:13" x14ac:dyDescent="0.2">
      <c r="A85" s="211"/>
      <c r="B85" s="211"/>
      <c r="C85" s="376"/>
      <c r="D85" s="376"/>
      <c r="E85" s="376"/>
      <c r="F85" s="376"/>
      <c r="G85" s="376"/>
      <c r="H85" s="376"/>
      <c r="I85" s="376"/>
      <c r="J85" s="376"/>
      <c r="K85" s="376"/>
      <c r="L85" s="376"/>
      <c r="M85" s="376"/>
    </row>
    <row r="86" spans="1:13" x14ac:dyDescent="0.2">
      <c r="A86" s="211"/>
      <c r="B86" s="211"/>
      <c r="C86" s="376"/>
      <c r="D86" s="376"/>
      <c r="E86" s="376"/>
      <c r="F86" s="376"/>
      <c r="G86" s="376"/>
      <c r="H86" s="376"/>
      <c r="I86" s="376"/>
      <c r="J86" s="376"/>
      <c r="K86" s="376"/>
      <c r="L86" s="376"/>
      <c r="M86" s="376"/>
    </row>
    <row r="87" spans="1:13" x14ac:dyDescent="0.2">
      <c r="A87" s="211"/>
      <c r="B87" s="211"/>
      <c r="C87" s="376"/>
      <c r="D87" s="376"/>
      <c r="E87" s="376"/>
      <c r="F87" s="376"/>
      <c r="G87" s="376"/>
      <c r="H87" s="376"/>
      <c r="I87" s="376"/>
      <c r="J87" s="376"/>
      <c r="K87" s="376"/>
      <c r="L87" s="376"/>
      <c r="M87" s="376"/>
    </row>
    <row r="88" spans="1:13" x14ac:dyDescent="0.2">
      <c r="A88" s="211"/>
      <c r="B88" s="211"/>
      <c r="C88" s="376"/>
      <c r="D88" s="376"/>
      <c r="E88" s="376"/>
      <c r="F88" s="376"/>
      <c r="G88" s="376"/>
      <c r="H88" s="376"/>
      <c r="I88" s="376"/>
      <c r="J88" s="376"/>
      <c r="K88" s="376"/>
      <c r="L88" s="376"/>
      <c r="M88" s="376"/>
    </row>
    <row r="89" spans="1:13" x14ac:dyDescent="0.2">
      <c r="A89" s="211"/>
      <c r="B89" s="211"/>
      <c r="C89" s="376"/>
      <c r="D89" s="376"/>
      <c r="E89" s="376"/>
      <c r="F89" s="376"/>
      <c r="G89" s="376"/>
      <c r="H89" s="376"/>
      <c r="I89" s="376"/>
      <c r="J89" s="376"/>
      <c r="K89" s="376"/>
      <c r="L89" s="376"/>
      <c r="M89" s="376"/>
    </row>
    <row r="90" spans="1:13" x14ac:dyDescent="0.2">
      <c r="A90" s="211"/>
      <c r="B90" s="211"/>
      <c r="C90" s="376"/>
      <c r="D90" s="376"/>
      <c r="E90" s="376"/>
      <c r="F90" s="376"/>
      <c r="G90" s="376"/>
      <c r="H90" s="376"/>
      <c r="I90" s="376"/>
      <c r="J90" s="376"/>
      <c r="K90" s="376"/>
      <c r="L90" s="376"/>
      <c r="M90" s="376"/>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2021-05-05T12:20:34Z</cp:lastPrinted>
  <dcterms:created xsi:type="dcterms:W3CDTF">1997-12-04T19:04:30Z</dcterms:created>
  <dcterms:modified xsi:type="dcterms:W3CDTF">2021-12-14T19:15:15Z</dcterms:modified>
</cp:coreProperties>
</file>