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19425" windowHeight="104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2" i="17" l="1"/>
  <c r="J592" i="1" l="1"/>
  <c r="I592" i="1"/>
  <c r="H592"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4" i="2"/>
  <c r="C125"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G655" i="1"/>
  <c r="H655" i="1"/>
  <c r="H656" i="1"/>
  <c r="J656" i="1" s="1"/>
  <c r="G62" i="2"/>
  <c r="G477" i="1" l="1"/>
  <c r="H624" i="1" s="1"/>
  <c r="J624" i="1" s="1"/>
  <c r="E125" i="2"/>
  <c r="E112" i="2"/>
  <c r="J572" i="1"/>
  <c r="F409" i="1"/>
  <c r="H644" i="1" s="1"/>
  <c r="J652" i="1"/>
  <c r="J112" i="1"/>
  <c r="E121" i="2"/>
  <c r="E120" i="2"/>
  <c r="I409" i="1"/>
  <c r="G646" i="1"/>
  <c r="G409" i="1"/>
  <c r="H646" i="1" s="1"/>
  <c r="H663" i="1"/>
  <c r="C112" i="2"/>
  <c r="C13" i="10"/>
  <c r="A40" i="12"/>
  <c r="D50" i="2"/>
  <c r="C32" i="10"/>
  <c r="E123" i="2"/>
  <c r="E110" i="2"/>
  <c r="D18" i="13"/>
  <c r="C18" i="13" s="1"/>
  <c r="D15" i="13"/>
  <c r="C15" i="13" s="1"/>
  <c r="C121" i="2"/>
  <c r="C120" i="2"/>
  <c r="G553" i="1"/>
  <c r="I170" i="1"/>
  <c r="H409" i="1"/>
  <c r="H645" i="1" s="1"/>
  <c r="J645" i="1" s="1"/>
  <c r="G662" i="1"/>
  <c r="J258" i="1"/>
  <c r="J272" i="1" s="1"/>
  <c r="E119" i="2"/>
  <c r="D6" i="13"/>
  <c r="C6" i="13" s="1"/>
  <c r="E13" i="13"/>
  <c r="C13" i="13" s="1"/>
  <c r="K339" i="1"/>
  <c r="K353" i="1" s="1"/>
  <c r="G339" i="1"/>
  <c r="G353" i="1" s="1"/>
  <c r="H477" i="1"/>
  <c r="H625" i="1" s="1"/>
  <c r="J62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H661" i="1" s="1"/>
  <c r="E122" i="2"/>
  <c r="L291" i="1"/>
  <c r="B33" i="16"/>
  <c r="L615" i="1"/>
  <c r="K599" i="1"/>
  <c r="G648" i="1" s="1"/>
  <c r="K572" i="1"/>
  <c r="L571" i="1"/>
  <c r="H572" i="1"/>
  <c r="L566" i="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G24" i="14"/>
  <c r="H24" i="14" s="1"/>
  <c r="I24" i="14" s="1"/>
  <c r="E115" i="2"/>
  <c r="E128" i="2"/>
  <c r="C81" i="2"/>
  <c r="F194" i="1"/>
  <c r="G628" i="1" s="1"/>
  <c r="J628" i="1" s="1"/>
  <c r="H649" i="1"/>
  <c r="J649" i="1" s="1"/>
  <c r="H665" i="1"/>
  <c r="H668" i="1" s="1"/>
  <c r="H194" i="1"/>
  <c r="G630" i="1" s="1"/>
  <c r="J630" i="1" s="1"/>
  <c r="C141" i="2"/>
  <c r="C144" i="2" s="1"/>
  <c r="L572" i="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E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<sst xmlns="http://schemas.openxmlformats.org/spreadsheetml/2006/main" count="5587" uniqueCount="1686">
  <si>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</si>
  <si>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</si>
  <si>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</si>
  <si>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</si>
  <si>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</si>
  <si>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</si>
  <si>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</si>
  <si>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</si>
  <si>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</si>
  <si>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</si>
  <si>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</si>
  <si>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</si>
  <si>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</si>
  <si>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</si>
  <si>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</si>
  <si>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</si>
  <si>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</si>
  <si>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</si>
  <si>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</si>
  <si>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</si>
  <si>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</si>
  <si>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</si>
  <si>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</si>
  <si>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</si>
  <si>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</si>
  <si>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</si>
  <si>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</si>
  <si>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</si>
  <si>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</si>
  <si>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</si>
  <si>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</si>
  <si>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</si>
  <si>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</si>
  <si>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</si>
  <si>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</si>
  <si>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</si>
  <si>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</si>
  <si>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</si>
  <si>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</si>
  <si>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</si>
  <si>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</si>
  <si>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</si>
  <si>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</si>
  <si>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</si>
  <si>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</si>
  <si>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</si>
  <si>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</si>
  <si>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</si>
  <si>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</si>
  <si>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</si>
  <si>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</si>
  <si>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</si>
  <si>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</si>
  <si>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</si>
  <si>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</si>
  <si>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</si>
  <si>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</si>
  <si>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</si>
  <si>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</si>
  <si>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</si>
  <si>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</si>
  <si>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</si>
  <si>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</si>
  <si>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</si>
  <si>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</si>
  <si>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</si>
  <si>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</si>
  <si>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</si>
  <si>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</si>
  <si>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</si>
  <si>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</si>
  <si>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</si>
  <si>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</si>
  <si>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</si>
  <si>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</si>
  <si>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</si>
  <si>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</si>
  <si>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</si>
  <si>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</si>
  <si>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</si>
  <si>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</si>
  <si>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</si>
  <si>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</si>
  <si>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</si>
  <si>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</si>
  <si>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</si>
  <si>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</si>
  <si>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</si>
  <si>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</si>
  <si>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</si>
  <si>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</si>
  <si>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</si>
  <si>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</si>
  <si>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</si>
  <si>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</si>
  <si>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</si>
  <si>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</si>
  <si>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</si>
  <si>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</si>
  <si>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</si>
  <si>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</si>
  <si>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</si>
  <si>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</si>
  <si>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</si>
  <si>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</si>
  <si>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</si>
  <si>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</si>
  <si>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</si>
  <si>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</si>
  <si>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</si>
  <si>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</si>
  <si>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</si>
  <si>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</si>
  <si>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</si>
  <si>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</si>
  <si>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</si>
  <si>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</si>
  <si>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</si>
  <si>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</si>
  <si>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</si>
  <si>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</si>
  <si>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</si>
  <si>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</si>
  <si>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</si>
  <si>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</si>
  <si>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</si>
  <si>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</si>
  <si>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</si>
  <si>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</si>
  <si>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</si>
  <si>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</si>
  <si>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</si>
  <si>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</si>
  <si>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</si>
  <si>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</si>
  <si>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</si>
  <si>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</si>
  <si>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</si>
  <si>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</si>
  <si>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</si>
  <si>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</si>
  <si>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</si>
  <si>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</si>
  <si>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</si>
  <si>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</si>
  <si>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</si>
  <si>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</si>
  <si>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</si>
  <si>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</si>
  <si>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</si>
  <si>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</si>
  <si>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</si>
  <si>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</si>
  <si>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</si>
  <si>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</si>
  <si>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</si>
  <si>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</si>
  <si>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</si>
  <si>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</si>
  <si>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</si>
  <si>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</si>
  <si>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</si>
  <si>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</si>
  <si>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</si>
  <si>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</si>
  <si>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</si>
  <si>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</si>
  <si>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</si>
  <si>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</si>
  <si>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</si>
  <si>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</si>
  <si>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</si>
  <si>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</si>
  <si>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</si>
  <si>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</si>
  <si>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</si>
  <si>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</si>
  <si>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</si>
  <si>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</si>
  <si>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</si>
  <si>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</si>
  <si>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</si>
  <si>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</si>
  <si>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</si>
  <si>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</si>
  <si>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</si>
  <si>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</si>
  <si>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</si>
  <si>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</si>
  <si>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</si>
  <si>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</si>
  <si>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</si>
  <si>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</si>
  <si>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</si>
  <si>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</si>
  <si>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</si>
  <si>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</si>
  <si>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</si>
  <si>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</si>
  <si>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</si>
  <si>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</si>
  <si>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</si>
  <si>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</si>
  <si>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</si>
  <si>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</si>
  <si>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</si>
  <si>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</si>
  <si>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</si>
  <si>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</si>
  <si>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</si>
  <si>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</si>
  <si>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</si>
  <si>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</si>
  <si>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</si>
  <si>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</si>
  <si>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</si>
  <si>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</si>
  <si>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</si>
  <si>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</si>
  <si>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</si>
  <si>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</si>
  <si>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</si>
  <si>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</si>
  <si>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</si>
  <si>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</si>
  <si>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</si>
  <si>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</si>
  <si>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</si>
  <si>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</si>
  <si>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</si>
  <si>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</si>
  <si>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</si>
  <si>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</si>
  <si>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</si>
  <si>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</si>
  <si>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</si>
  <si>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</si>
  <si>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</si>
  <si>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</si>
  <si>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</si>
  <si>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</si>
  <si>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</si>
  <si>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</si>
  <si>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</si>
  <si>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</si>
  <si>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</si>
  <si>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</si>
  <si>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</si>
  <si>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</si>
  <si>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</si>
  <si>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</si>
  <si>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</si>
  <si>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</si>
  <si>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</si>
  <si>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</si>
  <si>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</si>
  <si>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</si>
  <si>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</si>
  <si>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</si>
  <si>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</si>
  <si>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</si>
  <si>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</si>
  <si>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</si>
  <si>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</si>
  <si>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</si>
  <si>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</si>
  <si>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</si>
  <si>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</si>
  <si>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</si>
  <si>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</si>
  <si>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</si>
  <si>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</si>
  <si>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</si>
  <si>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</si>
  <si>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</si>
  <si>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</si>
  <si>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</si>
  <si>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</si>
  <si>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</si>
  <si>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</si>
  <si>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</si>
  <si>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</si>
  <si>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</si>
  <si>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</si>
  <si>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</si>
  <si>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</si>
  <si>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</si>
  <si>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</si>
  <si>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</si>
  <si>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</si>
  <si>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</si>
  <si>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</si>
  <si>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</si>
  <si>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</si>
  <si>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</si>
  <si>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</si>
  <si>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</si>
  <si>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</si>
  <si>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</si>
  <si>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</si>
  <si>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</si>
  <si>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</si>
  <si>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</si>
  <si>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</si>
  <si>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</si>
  <si>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</si>
  <si>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</si>
  <si>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</si>
  <si>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</si>
  <si>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</si>
  <si>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</si>
  <si>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</si>
  <si>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</si>
  <si>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</si>
  <si>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</si>
  <si>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</si>
  <si>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</si>
  <si>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</si>
  <si>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</si>
  <si>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</si>
  <si>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</si>
  <si>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</si>
  <si>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</si>
  <si>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</si>
  <si>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</si>
  <si>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</si>
  <si>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</si>
  <si>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</si>
  <si>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</si>
  <si>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</si>
  <si>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</si>
  <si>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</si>
  <si>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</si>
  <si>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</si>
  <si>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</si>
  <si>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</si>
  <si>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</si>
  <si>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</si>
  <si>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</si>
  <si>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</si>
  <si>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</si>
  <si>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</si>
  <si>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</si>
  <si>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</si>
  <si>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</si>
  <si>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</si>
  <si>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</si>
  <si>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</si>
  <si>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</si>
  <si>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</si>
  <si>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</si>
  <si>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</si>
  <si>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</si>
  <si>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</si>
  <si>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</si>
  <si>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</si>
  <si>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</si>
  <si>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</si>
  <si>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</si>
  <si>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</si>
  <si>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</si>
  <si>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</si>
  <si>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</si>
  <si>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</si>
  <si>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</si>
  <si>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</si>
  <si>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</si>
  <si>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</si>
  <si>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</si>
  <si>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</si>
  <si>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</si>
  <si>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</si>
  <si>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</si>
  <si>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</si>
  <si>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</si>
  <si>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</si>
  <si>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</si>
  <si>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</si>
  <si>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</si>
  <si>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</si>
  <si>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</si>
  <si>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</si>
  <si>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</si>
  <si>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</si>
  <si>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</si>
  <si>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</si>
  <si>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</si>
  <si>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</si>
  <si>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</si>
  <si>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</si>
  <si>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</si>
  <si>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</si>
  <si>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</si>
  <si>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</si>
  <si>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</si>
  <si>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</si>
  <si>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</si>
  <si>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</si>
  <si>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</si>
  <si>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</si>
  <si>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</si>
  <si>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</si>
  <si>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</si>
  <si>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</si>
  <si>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</si>
  <si>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</si>
  <si>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</si>
  <si>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</si>
  <si>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</si>
  <si>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</si>
  <si>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</si>
  <si>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</si>
  <si>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</si>
  <si>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</si>
  <si>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</si>
  <si>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</si>
  <si>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</si>
  <si>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</si>
  <si>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</si>
  <si>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</si>
  <si>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</si>
  <si>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</si>
  <si>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</si>
  <si>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</si>
  <si>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</si>
  <si>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</si>
  <si>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</si>
  <si>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</si>
  <si>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</si>
  <si>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</si>
  <si>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</si>
  <si>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</si>
  <si>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</si>
  <si>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</si>
  <si>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</si>
  <si>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</si>
  <si>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</si>
  <si>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</si>
  <si>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</si>
  <si>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</si>
  <si>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</si>
  <si>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</si>
  <si>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</si>
  <si>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</si>
  <si>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</si>
  <si>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</si>
  <si>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</si>
  <si>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</si>
  <si>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</si>
  <si>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</si>
  <si>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</si>
  <si>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</si>
  <si>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</si>
  <si>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</si>
  <si>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</si>
  <si>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</si>
  <si>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</si>
  <si>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</si>
  <si>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</si>
  <si>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</si>
  <si>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</si>
  <si>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</si>
  <si>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</si>
  <si>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</si>
  <si>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</si>
  <si>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</si>
  <si>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</si>
  <si>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</si>
  <si>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</si>
  <si>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</si>
  <si>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</si>
  <si>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</si>
  <si>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</si>
  <si>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</si>
  <si>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</si>
  <si>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</si>
  <si>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</si>
  <si>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</si>
  <si>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</si>
  <si>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</si>
  <si>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</si>
  <si>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</si>
  <si>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</si>
  <si>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</si>
  <si>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</si>
  <si>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</si>
  <si>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</si>
  <si>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</si>
  <si>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</si>
  <si>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</si>
  <si>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</si>
  <si>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</si>
  <si>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</si>
  <si>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</si>
  <si>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</si>
  <si>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</si>
  <si>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</si>
  <si>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</si>
  <si>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</si>
  <si>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</si>
  <si>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</si>
  <si>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</si>
  <si>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</si>
  <si>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</si>
  <si>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</si>
  <si>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</si>
  <si>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</si>
  <si>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</si>
  <si>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</si>
  <si>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</si>
  <si>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</si>
  <si>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</si>
  <si>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</si>
  <si>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</si>
  <si>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</si>
  <si>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</si>
  <si>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</si>
  <si>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</si>
  <si>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</si>
  <si>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</si>
  <si>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</si>
  <si>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</si>
  <si>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</si>
  <si>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</si>
  <si>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</si>
  <si>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</si>
  <si>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</si>
  <si>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</si>
  <si>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</si>
  <si>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</si>
  <si>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</si>
  <si>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</si>
  <si>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</si>
  <si>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</si>
  <si>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</si>
  <si>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</si>
  <si>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</si>
  <si>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</si>
  <si>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</si>
  <si>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</si>
  <si>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</si>
  <si>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</si>
  <si>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</si>
  <si>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</si>
  <si>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</si>
  <si>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</si>
  <si>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</si>
  <si>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</si>
  <si>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</si>
  <si>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</si>
  <si>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</si>
  <si>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</si>
  <si>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</si>
  <si>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</si>
  <si>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</si>
  <si>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</si>
  <si>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</si>
  <si>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</si>
  <si>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</si>
  <si>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</si>
  <si>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</si>
  <si>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</si>
  <si>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</si>
  <si>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</si>
  <si>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</si>
  <si>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</si>
  <si>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</si>
  <si>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</si>
  <si>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</si>
  <si>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</si>
  <si>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</si>
  <si>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</si>
  <si>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</si>
  <si>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</si>
  <si>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</si>
  <si>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</si>
  <si>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</si>
  <si>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</si>
  <si>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</si>
  <si>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</si>
  <si>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</si>
  <si>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</si>
  <si>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</si>
  <si>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</si>
  <si>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</si>
  <si>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</si>
  <si>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</si>
  <si>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</si>
  <si>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</si>
  <si>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</si>
  <si>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</si>
  <si>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</si>
  <si>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</si>
  <si>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</si>
  <si>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</si>
  <si>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</si>
  <si>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</si>
  <si>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</si>
  <si>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</si>
  <si>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</si>
  <si>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</si>
  <si>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</si>
  <si>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</si>
  <si>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</si>
  <si>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</si>
  <si>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</si>
  <si>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</si>
  <si>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</si>
  <si>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</si>
  <si>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</si>
  <si>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</si>
  <si>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</si>
  <si>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</si>
  <si>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</si>
  <si>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</si>
  <si>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</si>
  <si>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</si>
  <si>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</si>
  <si>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</si>
  <si>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</si>
  <si>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</si>
  <si>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</si>
  <si>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</si>
  <si>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</si>
  <si>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</si>
  <si>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</si>
  <si>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</si>
  <si>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</si>
  <si>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</si>
  <si>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</si>
  <si>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</si>
  <si>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</si>
  <si>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</si>
  <si>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</si>
  <si>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</si>
  <si>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</si>
  <si>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</si>
  <si>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</si>
  <si>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</si>
  <si>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</si>
  <si>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</si>
  <si>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</si>
  <si>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</si>
  <si>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</si>
  <si>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</si>
  <si>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</si>
  <si>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</si>
  <si>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</si>
  <si>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</si>
  <si>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</si>
  <si>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</si>
  <si>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</si>
  <si>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</si>
  <si>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</si>
  <si>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</si>
  <si>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</si>
  <si>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</si>
  <si>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</si>
  <si>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</si>
  <si>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</si>
  <si>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</si>
  <si>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</si>
  <si>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</si>
  <si>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</si>
  <si>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</si>
  <si>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</si>
  <si>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</si>
  <si>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</si>
  <si>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</si>
  <si>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</si>
  <si>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</si>
  <si>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</si>
  <si>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</si>
  <si>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</si>
  <si>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</si>
  <si>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</si>
  <si>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</si>
  <si>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</si>
  <si>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</si>
  <si>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</si>
  <si>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</si>
  <si>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</si>
  <si>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</si>
  <si>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</si>
  <si>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</si>
  <si>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</si>
  <si>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</si>
  <si>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</si>
  <si>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</si>
  <si>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</si>
  <si>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</si>
  <si>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</si>
  <si>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</si>
  <si>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</si>
  <si>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</si>
  <si>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</si>
  <si>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</si>
  <si>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</si>
  <si>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</si>
  <si>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</si>
  <si>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</si>
  <si>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</si>
  <si>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</si>
  <si>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</si>
  <si>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</si>
  <si>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</si>
  <si>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</si>
  <si>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</si>
  <si>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</si>
  <si>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</si>
  <si>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</si>
  <si>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</si>
  <si>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</si>
  <si>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</si>
  <si>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</si>
  <si>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</si>
  <si>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</si>
  <si>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</si>
  <si>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</si>
  <si>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</si>
  <si>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</si>
  <si>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</si>
  <si>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</si>
  <si>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</si>
  <si>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</si>
  <si>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</si>
  <si>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</si>
  <si>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</si>
  <si>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</si>
  <si>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</si>
  <si>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</si>
  <si>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</si>
  <si>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</si>
  <si>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</si>
  <si>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</si>
  <si>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</si>
  <si>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</si>
  <si>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</si>
  <si>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</si>
  <si>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</si>
  <si>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</si>
  <si>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</si>
  <si>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</si>
  <si>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</si>
  <si>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</si>
  <si>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</si>
  <si>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</si>
  <si>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</si>
  <si>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</si>
  <si>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</si>
  <si>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</si>
  <si>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</si>
  <si>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</si>
  <si>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</si>
  <si>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</si>
  <si>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</si>
  <si>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</si>
  <si>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</si>
  <si>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</si>
  <si>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</si>
  <si>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</si>
  <si>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</si>
  <si>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</si>
  <si>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</si>
  <si>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</si>
  <si>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</si>
  <si>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</si>
  <si>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</si>
  <si>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</si>
  <si>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</si>
  <si>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</si>
  <si>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</si>
  <si>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</si>
  <si>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</si>
  <si>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</si>
  <si>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</si>
  <si>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</si>
  <si>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</si>
  <si>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</si>
  <si>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</si>
  <si>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</si>
  <si>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</si>
  <si>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</si>
  <si>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</si>
  <si>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</si>
  <si>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</si>
  <si>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</si>
  <si>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</si>
  <si>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</si>
  <si>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</si>
  <si>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</si>
  <si>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</si>
  <si>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</si>
  <si>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</si>
  <si>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</si>
  <si>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</si>
  <si>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</si>
  <si>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</si>
  <si>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</si>
  <si>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</si>
  <si>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</si>
  <si>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</si>
  <si>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</si>
  <si>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</si>
  <si>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</si>
  <si>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</si>
  <si>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</si>
  <si>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</si>
  <si>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</si>
  <si>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</si>
  <si>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</si>
  <si>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</si>
  <si>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</si>
  <si>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</si>
  <si>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</si>
  <si>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</si>
  <si>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</si>
  <si>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</si>
  <si>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</si>
  <si>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</si>
  <si>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</si>
  <si>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</si>
  <si>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</si>
  <si>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</si>
  <si>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</si>
  <si>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</si>
  <si>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</si>
  <si>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</si>
  <si>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</si>
  <si>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</si>
  <si>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</si>
  <si>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</si>
  <si>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</si>
  <si>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</si>
  <si>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</si>
  <si>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</si>
  <si>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</si>
  <si>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</si>
  <si>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</si>
  <si>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</si>
  <si>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</si>
  <si>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</si>
  <si>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</si>
  <si>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</si>
  <si>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</si>
  <si>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</si>
  <si>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</si>
  <si>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</si>
  <si>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</si>
  <si>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</si>
  <si>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</si>
  <si>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</si>
  <si>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</si>
  <si>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</si>
  <si>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</si>
  <si>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</si>
  <si>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</si>
  <si>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</si>
  <si>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</si>
  <si>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</si>
  <si>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</si>
  <si>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</si>
  <si>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</si>
  <si>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</si>
  <si>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</si>
  <si>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</si>
  <si>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</si>
  <si>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</si>
  <si>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</si>
  <si>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</si>
  <si>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</si>
  <si>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</si>
  <si>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</si>
  <si>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</si>
  <si>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</si>
  <si>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</si>
  <si>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</si>
  <si>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</si>
  <si>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</si>
  <si>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</si>
  <si>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</si>
  <si>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</si>
  <si>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</si>
  <si>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</si>
  <si>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</si>
  <si>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</si>
  <si>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</si>
  <si>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</si>
  <si>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</si>
  <si>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</si>
  <si>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</si>
  <si>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</si>
  <si>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</si>
  <si>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</si>
  <si>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</si>
  <si>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</si>
  <si>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</si>
  <si>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</si>
  <si>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</si>
  <si>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</si>
  <si>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</si>
  <si>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</si>
  <si>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</si>
  <si>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</si>
  <si>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</si>
  <si>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</si>
  <si>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</si>
  <si>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</si>
  <si>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</si>
  <si>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</si>
  <si>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</si>
  <si>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</si>
  <si>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</si>
  <si>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</si>
  <si>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</si>
  <si>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</si>
  <si>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</si>
  <si>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</si>
  <si>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</si>
  <si>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</si>
  <si>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</si>
  <si>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</si>
  <si>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</si>
  <si>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</si>
  <si>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</si>
  <si>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</si>
  <si>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</si>
  <si>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</si>
  <si>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</si>
  <si>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</si>
  <si>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</si>
  <si>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</si>
  <si>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</si>
  <si>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</si>
  <si>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</si>
  <si>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</si>
  <si>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</si>
  <si>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</si>
  <si>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</si>
  <si>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</si>
  <si>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</si>
  <si>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</si>
  <si>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</si>
  <si>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</si>
  <si>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</si>
  <si>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</si>
  <si>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</si>
  <si>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</si>
  <si>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</si>
  <si>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</si>
  <si>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</si>
  <si>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</si>
  <si>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</si>
  <si>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</si>
  <si>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</si>
  <si>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</si>
  <si>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</si>
  <si>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</si>
  <si>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</si>
  <si>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</si>
  <si>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</si>
  <si>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</si>
  <si>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</si>
  <si>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</si>
  <si>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</si>
  <si>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</si>
  <si>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</si>
  <si>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</si>
  <si>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</si>
  <si>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</si>
  <si>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</si>
  <si>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</si>
  <si>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</si>
  <si>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</si>
  <si>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</si>
  <si>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</si>
  <si>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</si>
  <si>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</si>
  <si>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</si>
  <si>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</si>
  <si>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</si>
  <si>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</si>
  <si>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</si>
  <si>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</si>
  <si>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</si>
  <si>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</si>
  <si>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</si>
  <si>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</si>
  <si>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</si>
  <si>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</si>
  <si>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</si>
  <si>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</si>
  <si>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</si>
  <si>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</si>
  <si>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</si>
  <si>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</si>
  <si>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</si>
  <si>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</si>
  <si>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</si>
  <si>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</si>
  <si>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</si>
  <si>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</si>
  <si>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</si>
  <si>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</si>
  <si>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</si>
  <si>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</si>
  <si>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</si>
  <si>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</si>
  <si>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</si>
  <si>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</si>
  <si>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</si>
  <si>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</si>
  <si>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</si>
  <si>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</si>
  <si>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</si>
  <si>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</si>
  <si>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</si>
  <si>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</si>
  <si>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</si>
  <si>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</si>
  <si>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</si>
  <si>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</si>
  <si>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</si>
  <si>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</si>
  <si>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</si>
  <si>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</si>
  <si>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</si>
  <si>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</si>
  <si>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</si>
  <si>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</si>
  <si>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</si>
  <si>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</si>
  <si>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</si>
  <si>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</si>
  <si>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</si>
  <si>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</si>
  <si>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</si>
  <si>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</si>
  <si>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</si>
  <si>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</si>
  <si>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</si>
  <si>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</si>
  <si>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</si>
  <si>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</si>
  <si>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</si>
  <si>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</si>
  <si>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</si>
  <si>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</si>
  <si>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</si>
  <si>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</si>
  <si>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</si>
  <si>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</si>
  <si>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</si>
  <si>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</si>
  <si>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</si>
  <si>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</si>
  <si>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</si>
  <si>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</si>
  <si>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</si>
  <si>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</si>
  <si>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</si>
  <si>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</si>
  <si>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</si>
  <si>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</si>
  <si>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</si>
  <si>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</si>
  <si>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</si>
  <si>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</si>
  <si>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</si>
  <si>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</si>
  <si>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</si>
  <si>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</si>
  <si>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</si>
  <si>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</si>
  <si>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</si>
  <si>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</si>
  <si>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</si>
  <si>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</si>
  <si>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</si>
  <si>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</si>
  <si>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</si>
  <si>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</si>
  <si>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</si>
  <si>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</si>
  <si>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</si>
  <si>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</si>
  <si>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</si>
  <si>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</si>
  <si>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</si>
  <si>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</si>
  <si>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</si>
  <si>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</si>
  <si>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</si>
  <si>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</si>
  <si>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</si>
  <si>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</si>
  <si>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</si>
  <si>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</si>
  <si>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</si>
  <si>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</si>
  <si>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</si>
  <si>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</si>
  <si>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</si>
  <si>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</si>
  <si>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</si>
  <si>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</si>
  <si>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</si>
  <si>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</si>
  <si>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</si>
  <si>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</si>
  <si>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</si>
  <si>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</si>
  <si>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</si>
  <si>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</si>
  <si>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</si>
  <si>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</si>
  <si>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</si>
  <si>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</si>
  <si>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</si>
  <si>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</si>
  <si>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</si>
  <si>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</si>
  <si>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</si>
  <si>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</si>
  <si>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</si>
  <si>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</si>
  <si>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</si>
  <si>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</si>
  <si>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</si>
  <si>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</si>
  <si>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</si>
  <si>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</si>
  <si>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</si>
  <si>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</si>
  <si>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</si>
  <si>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</si>
  <si>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</si>
  <si>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</si>
  <si>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</si>
  <si>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</si>
  <si>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</si>
  <si>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</si>
  <si>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</si>
  <si>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</si>
  <si>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</si>
  <si>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</si>
  <si>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</si>
  <si>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</si>
  <si>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</si>
  <si>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</si>
  <si>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</si>
  <si>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</si>
  <si>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</si>
  <si>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</si>
  <si>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</si>
  <si>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</si>
  <si>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</si>
  <si>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</si>
  <si>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</si>
  <si>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</si>
  <si>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</si>
  <si>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</si>
  <si>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</si>
  <si>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</si>
  <si>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</si>
  <si>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</si>
  <si>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</si>
  <si>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</si>
  <si>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</si>
  <si>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</si>
  <si>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</si>
  <si>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</si>
  <si>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</si>
  <si>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</si>
  <si>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</si>
  <si>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</si>
  <si>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</si>
  <si>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</si>
  <si>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</si>
  <si>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</si>
  <si>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</si>
  <si>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</si>
  <si>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</si>
  <si>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</si>
  <si>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</si>
  <si>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</si>
  <si>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</si>
  <si>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</si>
  <si>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</si>
  <si>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</si>
  <si>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</si>
  <si>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</si>
  <si>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</si>
  <si>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</si>
  <si>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</si>
  <si>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</si>
  <si>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</si>
  <si>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</si>
  <si>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</si>
  <si>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</si>
  <si>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</si>
  <si>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</si>
  <si>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</si>
  <si>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</si>
  <si>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</si>
  <si>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</si>
  <si>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</si>
  <si>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</si>
  <si>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</si>
  <si>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</si>
  <si>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</si>
  <si>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</si>
  <si>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</si>
  <si>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</si>
  <si>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</si>
  <si>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</si>
  <si>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</si>
  <si>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</si>
  <si>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</si>
  <si>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</si>
  <si>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</si>
  <si>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</si>
  <si>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</si>
  <si>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</si>
  <si>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</si>
  <si>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</si>
  <si>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</si>
  <si>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</si>
  <si>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</si>
  <si>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</si>
  <si>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</si>
  <si>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</si>
  <si>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</si>
  <si>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</si>
  <si>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</si>
  <si>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</si>
  <si>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</si>
  <si>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</si>
  <si>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</si>
  <si>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</si>
  <si>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</si>
  <si>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</si>
  <si>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</si>
  <si>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</si>
  <si>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</si>
  <si>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</si>
  <si>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</si>
  <si>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</si>
  <si>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</si>
  <si>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</si>
  <si>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</si>
  <si>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</si>
  <si>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</si>
  <si>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</si>
  <si>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</si>
  <si>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</si>
  <si>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</si>
  <si>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</si>
  <si>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</si>
  <si>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</si>
  <si>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</si>
  <si>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</si>
  <si>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</si>
  <si>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</si>
  <si>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</si>
  <si>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</si>
  <si>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</si>
  <si>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</si>
  <si>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</si>
  <si>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</si>
  <si>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</si>
  <si>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</si>
  <si>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</si>
  <si>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</si>
  <si>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</si>
  <si>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</si>
  <si>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</si>
  <si>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</si>
  <si>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</si>
  <si>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</si>
  <si>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</si>
  <si>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</si>
  <si>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</si>
  <si>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</si>
  <si>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</si>
  <si>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</si>
  <si>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</si>
  <si>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</si>
  <si>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</si>
  <si>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</si>
  <si>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</si>
  <si>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</si>
  <si>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</si>
  <si>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</si>
  <si>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</si>
  <si>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</si>
  <si>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</si>
  <si>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</si>
  <si>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</si>
  <si>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</si>
  <si>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</si>
  <si>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</si>
  <si>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</si>
  <si>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</si>
  <si>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</si>
  <si>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</si>
  <si>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</si>
  <si>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</si>
  <si>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</si>
  <si>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</si>
  <si>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</si>
  <si>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</si>
  <si>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</si>
  <si>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</si>
  <si>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</si>
  <si>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</si>
  <si>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</si>
  <si>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</si>
  <si>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</si>
  <si>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</si>
  <si>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</si>
  <si>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</si>
  <si>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</si>
  <si>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</si>
  <si>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</si>
  <si>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</si>
  <si>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</si>
  <si>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</si>
  <si>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</si>
  <si>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</si>
  <si>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</si>
  <si>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</si>
  <si>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</si>
  <si>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</si>
  <si>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</si>
  <si>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</si>
  <si>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</si>
  <si>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</si>
  <si>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</si>
  <si>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</si>
  <si>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</si>
  <si>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</si>
  <si>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</si>
  <si>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</si>
  <si>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</si>
  <si>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</si>
  <si>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</si>
  <si>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</si>
  <si>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</si>
  <si>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</si>
  <si>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</si>
  <si>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</si>
  <si>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</si>
  <si>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</si>
  <si>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</si>
  <si>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</si>
  <si>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</si>
  <si>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</si>
  <si>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</si>
  <si>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</si>
  <si>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</si>
  <si>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</si>
  <si>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</si>
  <si>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</si>
  <si>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</si>
  <si>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</si>
  <si>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</si>
  <si>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</si>
  <si>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</si>
  <si>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</si>
  <si>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</si>
  <si>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</si>
  <si>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</si>
  <si>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</si>
  <si>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</si>
  <si>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</si>
  <si>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</si>
  <si>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</si>
  <si>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</si>
  <si>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</si>
  <si>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</si>
  <si>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</si>
  <si>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</si>
  <si>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</si>
  <si>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</si>
  <si>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</si>
  <si>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</si>
  <si>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</si>
  <si>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</si>
  <si>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</si>
  <si>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</si>
  <si>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</si>
  <si>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</si>
  <si>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</si>
  <si>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</si>
  <si>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</si>
  <si>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</si>
  <si>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</si>
  <si>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</si>
  <si>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</si>
  <si>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</si>
  <si>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</si>
  <si>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</si>
  <si>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</si>
  <si>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</si>
  <si>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</si>
  <si>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</si>
  <si>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</si>
  <si>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</si>
  <si>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</si>
  <si>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</si>
  <si>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</si>
  <si>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</si>
  <si>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</si>
  <si>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</si>
  <si>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</si>
  <si>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</si>
  <si>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</si>
  <si>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</si>
  <si>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</si>
  <si>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</si>
  <si>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</si>
  <si>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</si>
  <si>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</si>
  <si>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</si>
  <si>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</si>
  <si>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</si>
  <si>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</si>
  <si>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</si>
  <si>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</si>
  <si>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</si>
  <si>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</si>
  <si>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</si>
  <si>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</si>
  <si>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</si>
  <si>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</si>
  <si>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</si>
  <si>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</si>
  <si>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</si>
  <si>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</si>
  <si>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</si>
  <si>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</si>
  <si>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</si>
  <si>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</si>
  <si>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</si>
  <si>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</si>
  <si>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</si>
  <si>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</si>
  <si>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</si>
  <si>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</si>
  <si>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</si>
  <si>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</si>
  <si>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</si>
  <si>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</si>
  <si>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</si>
  <si>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</si>
  <si>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</si>
  <si>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</si>
  <si>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</si>
  <si>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</si>
  <si>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</si>
  <si>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</si>
  <si>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</si>
  <si>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</si>
  <si>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</si>
  <si>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</si>
  <si>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</si>
  <si>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</si>
  <si>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</si>
  <si>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</si>
  <si>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</si>
  <si>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</si>
  <si>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</si>
  <si>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</si>
  <si>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</si>
  <si>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</si>
  <si>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</si>
  <si>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</si>
  <si>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</si>
  <si>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</si>
  <si>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</si>
  <si>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</si>
  <si>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</si>
  <si>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</si>
  <si>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</si>
  <si>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</si>
  <si>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</si>
  <si>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</si>
  <si>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</si>
  <si>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</si>
  <si>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</si>
  <si>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</si>
  <si>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</si>
  <si>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</si>
  <si>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</si>
  <si>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</si>
  <si>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</si>
  <si>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</si>
  <si>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</si>
  <si>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</si>
  <si>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</si>
  <si>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</si>
  <si>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</si>
  <si>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</si>
  <si>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</si>
  <si>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</si>
  <si>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</si>
  <si>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</si>
  <si>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</si>
  <si>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</si>
  <si>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</si>
  <si>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</si>
  <si>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</si>
  <si>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</si>
  <si>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</si>
  <si>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</si>
  <si>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</si>
  <si>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</si>
  <si>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</si>
  <si>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</si>
  <si>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</si>
  <si>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</si>
  <si>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</si>
  <si>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</si>
  <si>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</si>
  <si>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</si>
  <si>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</si>
  <si>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</si>
  <si>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</si>
  <si>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</si>
  <si>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</si>
  <si>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</si>
  <si>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</si>
  <si>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</si>
  <si>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</si>
  <si>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</si>
  <si>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</si>
  <si>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</si>
  <si>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</si>
  <si>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</si>
  <si>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</si>
  <si>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</si>
  <si>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</si>
  <si>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</si>
  <si>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</si>
  <si>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</si>
  <si>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</si>
  <si>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</si>
  <si>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</si>
  <si>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</si>
  <si>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</si>
  <si>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</si>
  <si>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</si>
  <si>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</si>
  <si>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</si>
  <si>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</si>
  <si>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</si>
  <si>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</si>
  <si>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</si>
  <si>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</si>
  <si>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</si>
  <si>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</si>
  <si>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</si>
  <si>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</si>
  <si>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</si>
  <si>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</si>
  <si>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</si>
  <si>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</si>
  <si>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</si>
  <si>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</si>
  <si>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</si>
  <si>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</si>
  <si>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</si>
  <si>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</si>
  <si>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</si>
  <si>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</si>
  <si>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</si>
  <si>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</si>
  <si>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</si>
  <si>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</si>
  <si>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</si>
  <si>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</si>
  <si>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</si>
  <si>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</si>
  <si>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</si>
  <si>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</si>
  <si>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</si>
  <si>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</si>
  <si>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</si>
  <si>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</si>
  <si>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</si>
  <si>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</si>
  <si>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</si>
  <si>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</si>
  <si>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</si>
  <si>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</si>
  <si>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</si>
  <si>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</si>
  <si>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</si>
  <si>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</si>
  <si>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</si>
  <si>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</si>
  <si>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</si>
  <si>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</si>
  <si>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</si>
  <si>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</si>
  <si>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</si>
  <si>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</si>
  <si>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</si>
  <si>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</si>
  <si>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</si>
  <si>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</si>
  <si>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</si>
  <si>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</si>
  <si>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</si>
  <si>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</si>
  <si>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</si>
  <si>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</si>
  <si>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</si>
  <si>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</si>
  <si>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</si>
  <si>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</si>
  <si>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</si>
  <si>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</si>
  <si>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</si>
  <si>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</si>
  <si>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</si>
  <si>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</si>
  <si>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</si>
  <si>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</si>
  <si>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</si>
  <si>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</si>
  <si>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</si>
  <si>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</si>
  <si>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</si>
  <si>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</si>
  <si>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</si>
  <si>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</si>
  <si>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</si>
  <si>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</si>
  <si>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</si>
  <si>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</si>
  <si>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</si>
  <si>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</si>
  <si>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</si>
  <si>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</si>
  <si>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</si>
  <si>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</si>
  <si>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</si>
  <si>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</si>
  <si>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</si>
  <si>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</si>
  <si>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</si>
  <si>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</si>
  <si>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</si>
  <si>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</si>
  <si>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</si>
  <si>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</si>
  <si>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</si>
  <si>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</si>
  <si>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</si>
  <si>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</si>
  <si>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</si>
  <si>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</si>
  <si>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</si>
  <si>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</si>
  <si>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</si>
  <si>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</si>
  <si>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</si>
  <si>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</si>
  <si>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</si>
  <si>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</si>
  <si>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6/16</t>
  </si>
  <si>
    <t>07/26</t>
  </si>
  <si>
    <t>11/01</t>
  </si>
  <si>
    <t>11/21</t>
  </si>
  <si>
    <t>08/03</t>
  </si>
  <si>
    <t>02/23</t>
  </si>
  <si>
    <t>08/45</t>
  </si>
  <si>
    <t>07/20</t>
  </si>
  <si>
    <t>Moharimet school</t>
  </si>
  <si>
    <t>ESSER tab</t>
  </si>
  <si>
    <t>Our reported revenues and expenses include amounts for Barrington tuition students.  Barrington School District paid to</t>
  </si>
  <si>
    <t>Oyster River $200 for 168 students totaling $33,600.  Added to ORCSD original allocation of $400,400 the reported total</t>
  </si>
  <si>
    <t>is $434,000.</t>
  </si>
  <si>
    <t>Oyster River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</si>
</sst>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8" fontId="5" fillId="0" borderId="0" xfId="0" quotePrefix="1" applyNumberFormat="1" applyFont="1" applyAlignment="1" applyProtection="1">
      <alignment horizontal="center"/>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1685</v>
      </c>
      <c r="B2" s="21">
        <v>423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557786.05900000001</v>
      </c>
      <c r="G9" s="18"/>
      <c r="H9" s="18"/>
      <c r="I9" s="18">
        <v>1119670.96</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1686483.65</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2874347.72</v>
      </c>
      <c r="G12" s="18">
        <v>5802.39</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42945.599999999999</v>
      </c>
      <c r="G14" s="18">
        <v>51509.95</v>
      </c>
      <c r="H14" s="18">
        <v>163930.09</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20200.189999999999</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3495279.5690000001</v>
      </c>
      <c r="G19" s="41">
        <f>SUM(G9:G18)</f>
        <v>57312.34</v>
      </c>
      <c r="H19" s="41">
        <f>SUM(H9:H18)</f>
        <v>163930.09</v>
      </c>
      <c r="I19" s="41">
        <f>SUM(I9:I18)</f>
        <v>1119670.96</v>
      </c>
      <c r="J19" s="41">
        <f>SUM(J9:J18)</f>
        <v>1686483.65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116293.57</v>
      </c>
      <c r="I22" s="18">
        <v>2763280.54</v>
      </c>
      <c r="J22" s="67">
        <f>SUM(I449)</f>
        <v>11951</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249292.73</v>
      </c>
      <c r="G24" s="18">
        <v>962.65</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917952.96</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56349.75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1167245.69</v>
      </c>
      <c r="G32" s="41">
        <f>SUM(G22:G31)</f>
        <v>57312.4</v>
      </c>
      <c r="H32" s="41">
        <f>SUM(H22:H31)</f>
        <v>116293.57</v>
      </c>
      <c r="I32" s="41">
        <f>SUM(I22:I31)</f>
        <v>2763280.54</v>
      </c>
      <c r="J32" s="41">
        <f>SUM(J22:J31)</f>
        <v>11951</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20200.189999999999</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-0.06</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266966.75</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900000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47636.52</v>
      </c>
      <c r="I48" s="18">
        <v>-1643609.58</v>
      </c>
      <c r="J48" s="13">
        <f>SUM(I460)</f>
        <v>1674532.65</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1015866.94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2328033.88</v>
      </c>
      <c r="G51" s="41">
        <f>SUM(G35:G50)</f>
        <v>-0.06</v>
      </c>
      <c r="H51" s="41">
        <f>SUM(H35:H50)</f>
        <v>47636.52</v>
      </c>
      <c r="I51" s="41">
        <f>SUM(I35:I50)</f>
        <v>-1643609.58</v>
      </c>
      <c r="J51" s="41">
        <f>SUM(J35:J50)</f>
        <v>1674532.65</v>
      </c>
      <c r="K51" s="45" t="s">
        <v>288</v>
      </c>
      <c r="L51" s="45" t="s">
        <v>288</v>
      </c>
      <c r="N51" s="262"/>
    </row>
    <row r="52" spans="1:14" s="3" customFormat="1" ht="12.2" customHeight="1" thickTop="1" x14ac:dyDescent="0.15">
      <c r="A52" s="38" t="s">
        <v>455</v>
      </c>
      <c r="B52" s="39" t="s">
        <v>289</v>
      </c>
      <c r="C52" s="6">
        <v>37</v>
      </c>
      <c r="D52" s="39" t="s">
        <v>653</v>
      </c>
      <c r="E52" s="39"/>
      <c r="F52" s="41">
        <f>F51+F32</f>
        <v>3495279.57</v>
      </c>
      <c r="G52" s="41">
        <f>G51+G32</f>
        <v>57312.340000000004</v>
      </c>
      <c r="H52" s="41">
        <f>H51+H32</f>
        <v>163930.09</v>
      </c>
      <c r="I52" s="41">
        <f>I51+I32</f>
        <v>1119670.96</v>
      </c>
      <c r="J52" s="41">
        <f>J51+J32</f>
        <v>1686483.65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32985911.039999999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32985911.039999999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3237705.58</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3237705.58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5108.83</v>
      </c>
      <c r="G96" s="18"/>
      <c r="H96" s="18"/>
      <c r="I96" s="18">
        <v>16328.38</v>
      </c>
      <c r="J96" s="18">
        <v>92521.65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32537.01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9412.75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2100</v>
      </c>
      <c r="H102" s="18"/>
      <c r="I102" s="18"/>
      <c r="J102" s="18">
        <v>6542.18</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56204.08</v>
      </c>
      <c r="G110" s="18">
        <v>2442.71</v>
      </c>
      <c r="H110" s="18">
        <v>56887</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70725.66</v>
      </c>
      <c r="G111" s="41">
        <f>SUM(G96:G110)</f>
        <v>37079.719999999994</v>
      </c>
      <c r="H111" s="41">
        <f>SUM(H96:H110)</f>
        <v>56887</v>
      </c>
      <c r="I111" s="41">
        <f>SUM(I96:I110)</f>
        <v>16328.38</v>
      </c>
      <c r="J111" s="41">
        <f>SUM(J96:J110)</f>
        <v>99063.829999999987</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36294342.279999994</v>
      </c>
      <c r="G112" s="41">
        <f>G60+G111</f>
        <v>37079.719999999994</v>
      </c>
      <c r="H112" s="41">
        <f>H60+H79+H94+H111</f>
        <v>56887</v>
      </c>
      <c r="I112" s="41">
        <f>I60+I111</f>
        <v>16328.38</v>
      </c>
      <c r="J112" s="41">
        <f>J60+J111</f>
        <v>99063.829999999987</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5950004.7400000002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3894347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9844351.7400000002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523742.09</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64621.45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4636.7</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11943.12</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593000.24</v>
      </c>
      <c r="G136" s="41">
        <f>SUM(G123:G135)</f>
        <v>0</v>
      </c>
      <c r="H136" s="41">
        <f>SUM(H123:H135)</f>
        <v>11943.12</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10437351.98</v>
      </c>
      <c r="G140" s="41">
        <f>G121+SUM(G136:G137)</f>
        <v>0</v>
      </c>
      <c r="H140" s="41">
        <f>H121+SUM(H136:H139)</f>
        <v>11943.12</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36221.22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7875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357180.01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508366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94270.21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434000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39496.129999999997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94270.21</v>
      </c>
      <c r="G163" s="41">
        <f>SUM(G150:G162)</f>
        <v>357180.01</v>
      </c>
      <c r="H163" s="41">
        <f>SUM(H150:H162)</f>
        <v>1025958.35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94270.21</v>
      </c>
      <c r="G170" s="41">
        <f>G147+G163+SUM(G164:G169)</f>
        <v>357180.01</v>
      </c>
      <c r="H170" s="41">
        <f>H147+H163+SUM(H164:H169)</f>
        <v>1025958.35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28000000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28000000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80700.820000000007</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80700.820000000007</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80700.820000000007</v>
      </c>
      <c r="H193" s="41">
        <f>+H184+SUM(H189:H192)</f>
        <v>0</v>
      </c>
      <c r="I193" s="41">
        <f>I178+I184+SUM(I189:I192)</f>
        <v>28000000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46825964.469999991</v>
      </c>
      <c r="G194" s="47">
        <f>G112+G140+G170+G193</f>
        <v>474960.55</v>
      </c>
      <c r="H194" s="47">
        <f>H112+H140+H170+H193</f>
        <v>1094788.47</v>
      </c>
      <c r="I194" s="47">
        <f>I112+I140+I170+I193</f>
        <v>28016328.379999999</v>
      </c>
      <c r="J194" s="47">
        <f>J112+J140+J193</f>
        <v>99063.829999999987</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4523180.62</v>
      </c>
      <c r="G198" s="18">
        <v>1999620.02</v>
      </c>
      <c r="H198" s="18">
        <v>40282.82</v>
      </c>
      <c r="I198" s="18">
        <v>101784.34</v>
      </c>
      <c r="J198" s="18">
        <v>1953.4900000000002</v>
      </c>
      <c r="K198" s="18">
        <v>0</v>
      </c>
      <c r="L198" s="19">
        <f>SUM(F198:K198)</f>
        <v>6666821.290000001</v>
      </c>
      <c r="M198" s="8"/>
      <c r="N198" s="264"/>
    </row>
    <row r="199" spans="1:14" s="3" customFormat="1" ht="12.2" customHeight="1" x14ac:dyDescent="0.15">
      <c r="A199" s="1" t="s">
        <v>439</v>
      </c>
      <c r="B199" s="2" t="s">
        <v>341</v>
      </c>
      <c r="C199" s="2" t="s">
        <v>291</v>
      </c>
      <c r="D199" s="2" t="s">
        <v>431</v>
      </c>
      <c r="E199" s="6">
        <v>1200</v>
      </c>
      <c r="F199" s="18">
        <v>1227583.5099999998</v>
      </c>
      <c r="G199" s="18">
        <v>456523.00000000006</v>
      </c>
      <c r="H199" s="18">
        <v>419812.98</v>
      </c>
      <c r="I199" s="18">
        <v>6364.4400000000005</v>
      </c>
      <c r="J199" s="18">
        <v>89.99</v>
      </c>
      <c r="K199" s="18">
        <v>4000.21</v>
      </c>
      <c r="L199" s="19">
        <f>SUM(F199:K199)</f>
        <v>2114374.13</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8658.01</v>
      </c>
      <c r="G201" s="18">
        <v>966.75</v>
      </c>
      <c r="H201" s="18">
        <v>9840</v>
      </c>
      <c r="I201" s="18">
        <v>80.5</v>
      </c>
      <c r="J201" s="18">
        <v>0</v>
      </c>
      <c r="K201" s="18">
        <v>0</v>
      </c>
      <c r="L201" s="19">
        <f>SUM(F201:K201)</f>
        <v>19545.260000000002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800183.72000000009</v>
      </c>
      <c r="G203" s="18">
        <v>399663.02</v>
      </c>
      <c r="H203" s="18">
        <v>200715.3</v>
      </c>
      <c r="I203" s="18">
        <v>8074.25</v>
      </c>
      <c r="J203" s="18">
        <v>1586.47</v>
      </c>
      <c r="K203" s="18">
        <v>0</v>
      </c>
      <c r="L203" s="19">
        <f t="shared" ref="L203:L209" si="0">SUM(F203:K203)</f>
        <v>1410222.7600000002</v>
      </c>
      <c r="M203" s="8"/>
      <c r="N203" s="264"/>
    </row>
    <row r="204" spans="1:14" s="3" customFormat="1" ht="12.2" customHeight="1" x14ac:dyDescent="0.15">
      <c r="A204" s="1" t="s">
        <v>443</v>
      </c>
      <c r="B204" s="2" t="s">
        <v>341</v>
      </c>
      <c r="C204" s="2" t="s">
        <v>295</v>
      </c>
      <c r="D204" s="2" t="s">
        <v>431</v>
      </c>
      <c r="E204" s="6">
        <v>2200</v>
      </c>
      <c r="F204" s="18">
        <v>200113.76</v>
      </c>
      <c r="G204" s="18">
        <v>83977.709999999977</v>
      </c>
      <c r="H204" s="18">
        <v>42705.5</v>
      </c>
      <c r="I204" s="18">
        <v>42129.960000000006</v>
      </c>
      <c r="J204" s="18">
        <v>1050.07</v>
      </c>
      <c r="K204" s="18">
        <v>0</v>
      </c>
      <c r="L204" s="19">
        <f t="shared" si="0"/>
        <v>369977</v>
      </c>
      <c r="M204" s="8"/>
      <c r="N204" s="264"/>
    </row>
    <row r="205" spans="1:14" s="3" customFormat="1" ht="12.2" customHeight="1" x14ac:dyDescent="0.15">
      <c r="A205" s="1" t="s">
        <v>444</v>
      </c>
      <c r="B205" s="2" t="s">
        <v>341</v>
      </c>
      <c r="C205" s="2" t="s">
        <v>296</v>
      </c>
      <c r="D205" s="2" t="s">
        <v>431</v>
      </c>
      <c r="E205" s="6">
        <v>2300</v>
      </c>
      <c r="F205" s="18">
        <v>299497.74</v>
      </c>
      <c r="G205" s="18">
        <v>122662.64</v>
      </c>
      <c r="H205" s="18">
        <v>56247.95</v>
      </c>
      <c r="I205" s="18">
        <v>5157.2700000000004</v>
      </c>
      <c r="J205" s="18">
        <v>0</v>
      </c>
      <c r="K205" s="18">
        <v>5528.12</v>
      </c>
      <c r="L205" s="19">
        <f t="shared" si="0"/>
        <v>489093.72000000003</v>
      </c>
      <c r="M205" s="8"/>
      <c r="N205" s="264"/>
    </row>
    <row r="206" spans="1:14" s="3" customFormat="1" ht="12.2" customHeight="1" x14ac:dyDescent="0.15">
      <c r="A206" s="1" t="s">
        <v>445</v>
      </c>
      <c r="B206" s="2" t="s">
        <v>341</v>
      </c>
      <c r="C206" s="2" t="s">
        <v>297</v>
      </c>
      <c r="D206" s="2" t="s">
        <v>431</v>
      </c>
      <c r="E206" s="6">
        <v>2400</v>
      </c>
      <c r="F206" s="18">
        <v>388339.13</v>
      </c>
      <c r="G206" s="18">
        <v>221786.89</v>
      </c>
      <c r="H206" s="18">
        <v>67613.799999999988</v>
      </c>
      <c r="I206" s="18">
        <v>1279.29</v>
      </c>
      <c r="J206" s="18">
        <v>0</v>
      </c>
      <c r="K206" s="18">
        <v>1763</v>
      </c>
      <c r="L206" s="19">
        <f t="shared" si="0"/>
        <v>680782.1100000001</v>
      </c>
      <c r="M206" s="8"/>
      <c r="N206" s="264"/>
    </row>
    <row r="207" spans="1:14" s="3" customFormat="1" ht="12.2" customHeight="1" x14ac:dyDescent="0.15">
      <c r="A207" s="1" t="s">
        <v>446</v>
      </c>
      <c r="B207" s="2" t="s">
        <v>341</v>
      </c>
      <c r="C207" s="2" t="s">
        <v>298</v>
      </c>
      <c r="D207" s="2" t="s">
        <v>431</v>
      </c>
      <c r="E207" s="6">
        <v>2500</v>
      </c>
      <c r="F207" s="18">
        <v>33936.230000000003</v>
      </c>
      <c r="G207" s="18">
        <v>53497.05</v>
      </c>
      <c r="H207" s="18">
        <v>36386.51</v>
      </c>
      <c r="I207" s="18">
        <v>29057.21</v>
      </c>
      <c r="J207" s="18">
        <v>0</v>
      </c>
      <c r="K207" s="18">
        <v>3942.21</v>
      </c>
      <c r="L207" s="19">
        <f t="shared" si="0"/>
        <v>156819.21</v>
      </c>
      <c r="M207" s="8"/>
      <c r="N207" s="264"/>
    </row>
    <row r="208" spans="1:14" s="3" customFormat="1" ht="12.2" customHeight="1" x14ac:dyDescent="0.15">
      <c r="A208" s="1" t="s">
        <v>447</v>
      </c>
      <c r="B208" s="2" t="s">
        <v>341</v>
      </c>
      <c r="C208" s="2" t="s">
        <v>299</v>
      </c>
      <c r="D208" s="2" t="s">
        <v>431</v>
      </c>
      <c r="E208" s="6">
        <v>2600</v>
      </c>
      <c r="F208" s="18">
        <v>318463.98</v>
      </c>
      <c r="G208" s="18">
        <v>195689.26</v>
      </c>
      <c r="H208" s="18">
        <v>537086.45000000007</v>
      </c>
      <c r="I208" s="18">
        <v>140211.72999999998</v>
      </c>
      <c r="J208" s="18">
        <v>11233.72</v>
      </c>
      <c r="K208" s="18">
        <v>0</v>
      </c>
      <c r="L208" s="19">
        <f t="shared" si="0"/>
        <v>1202685.1399999999</v>
      </c>
      <c r="M208" s="8"/>
      <c r="N208" s="264"/>
    </row>
    <row r="209" spans="1:14" s="3" customFormat="1" ht="12.2" customHeight="1" x14ac:dyDescent="0.15">
      <c r="A209" s="1" t="s">
        <v>448</v>
      </c>
      <c r="B209" s="2" t="s">
        <v>341</v>
      </c>
      <c r="C209" s="2" t="s">
        <v>300</v>
      </c>
      <c r="D209" s="2" t="s">
        <v>431</v>
      </c>
      <c r="E209" s="6">
        <v>2700</v>
      </c>
      <c r="F209" s="18">
        <v>195777.84</v>
      </c>
      <c r="G209" s="18">
        <v>169049.04</v>
      </c>
      <c r="H209" s="18">
        <v>97707.42</v>
      </c>
      <c r="I209" s="18">
        <v>18581.86</v>
      </c>
      <c r="J209" s="18">
        <v>5233.24</v>
      </c>
      <c r="K209" s="18">
        <v>279.33999999999997</v>
      </c>
      <c r="L209" s="19">
        <f t="shared" si="0"/>
        <v>486628.74</v>
      </c>
      <c r="M209" s="8"/>
      <c r="N209" s="264"/>
    </row>
    <row r="210" spans="1:14" s="3" customFormat="1" ht="12.2" customHeight="1" x14ac:dyDescent="0.15">
      <c r="A210" s="1" t="s">
        <v>449</v>
      </c>
      <c r="B210" s="2" t="s">
        <v>341</v>
      </c>
      <c r="C210" s="2" t="s">
        <v>343</v>
      </c>
      <c r="D210" s="2" t="s">
        <v>431</v>
      </c>
      <c r="E210" s="6">
        <v>2800</v>
      </c>
      <c r="F210" s="18">
        <v>175848.19</v>
      </c>
      <c r="G210" s="18">
        <v>90258.3</v>
      </c>
      <c r="H210" s="18">
        <v>151272.79999999999</v>
      </c>
      <c r="I210" s="18">
        <v>44749.78</v>
      </c>
      <c r="J210" s="18">
        <v>85002.559999999998</v>
      </c>
      <c r="K210" s="18">
        <v>1139.3800000000001</v>
      </c>
      <c r="L210" s="19">
        <f>SUM(F210:K210)</f>
        <v>548271.00999999989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8171582.7299999995</v>
      </c>
      <c r="G212" s="41">
        <f t="shared" si="1"/>
        <v>3793693.6799999997</v>
      </c>
      <c r="H212" s="41">
        <f t="shared" si="1"/>
        <v>1659671.53</v>
      </c>
      <c r="I212" s="41">
        <f t="shared" si="1"/>
        <v>397470.63</v>
      </c>
      <c r="J212" s="41">
        <f t="shared" si="1"/>
        <v>106149.54</v>
      </c>
      <c r="K212" s="41">
        <f t="shared" si="1"/>
        <v>16652.260000000002</v>
      </c>
      <c r="L212" s="41">
        <f t="shared" si="1"/>
        <v>14145220.370000003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4032850.89</v>
      </c>
      <c r="G216" s="18">
        <v>1883660.99</v>
      </c>
      <c r="H216" s="18">
        <v>36889.42</v>
      </c>
      <c r="I216" s="18">
        <v>36266.97</v>
      </c>
      <c r="J216" s="18">
        <v>182288.6</v>
      </c>
      <c r="K216" s="18">
        <v>80</v>
      </c>
      <c r="L216" s="19">
        <f>SUM(F216:K216)</f>
        <v>6172036.8699999992</v>
      </c>
      <c r="M216" s="8"/>
      <c r="N216" s="264"/>
    </row>
    <row r="217" spans="1:14" s="3" customFormat="1" ht="12.2" customHeight="1" x14ac:dyDescent="0.15">
      <c r="A217" s="1" t="s">
        <v>439</v>
      </c>
      <c r="B217" s="2" t="s">
        <v>346</v>
      </c>
      <c r="C217" s="2" t="s">
        <v>291</v>
      </c>
      <c r="D217" s="2" t="s">
        <v>431</v>
      </c>
      <c r="E217" s="6">
        <v>1200</v>
      </c>
      <c r="F217" s="18">
        <v>1348348.67</v>
      </c>
      <c r="G217" s="18">
        <v>620939.53999999992</v>
      </c>
      <c r="H217" s="18">
        <v>323406.96999999997</v>
      </c>
      <c r="I217" s="18">
        <v>6192.93</v>
      </c>
      <c r="J217" s="18">
        <v>0</v>
      </c>
      <c r="K217" s="18">
        <v>4119.1499999999996</v>
      </c>
      <c r="L217" s="19">
        <f>SUM(F217:K217)</f>
        <v>2303007.2599999998</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77614</v>
      </c>
      <c r="G219" s="18">
        <v>15394.78</v>
      </c>
      <c r="H219" s="18">
        <v>3426</v>
      </c>
      <c r="I219" s="18">
        <v>4912.8500000000004</v>
      </c>
      <c r="J219" s="18">
        <v>0</v>
      </c>
      <c r="K219" s="18">
        <v>0</v>
      </c>
      <c r="L219" s="19">
        <f>SUM(F219:K219)</f>
        <v>101347.63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615692.47</v>
      </c>
      <c r="G221" s="18">
        <v>261569.77999999997</v>
      </c>
      <c r="H221" s="18">
        <v>211563.28999999998</v>
      </c>
      <c r="I221" s="18">
        <v>6189.59</v>
      </c>
      <c r="J221" s="18">
        <v>70</v>
      </c>
      <c r="K221" s="18">
        <v>0</v>
      </c>
      <c r="L221" s="19">
        <f t="shared" ref="L221:L227" si="2">SUM(F221:K221)</f>
        <v>1095085.1300000001</v>
      </c>
      <c r="M221" s="8"/>
      <c r="N221" s="264"/>
    </row>
    <row r="222" spans="1:14" s="3" customFormat="1" ht="12.2" customHeight="1" x14ac:dyDescent="0.15">
      <c r="A222" s="1" t="s">
        <v>443</v>
      </c>
      <c r="B222" s="2" t="s">
        <v>346</v>
      </c>
      <c r="C222" s="2" t="s">
        <v>295</v>
      </c>
      <c r="D222" s="2" t="s">
        <v>431</v>
      </c>
      <c r="E222" s="6">
        <v>2200</v>
      </c>
      <c r="F222" s="18">
        <v>104088.43</v>
      </c>
      <c r="G222" s="18">
        <v>54934.770000000004</v>
      </c>
      <c r="H222" s="18">
        <v>42210.09</v>
      </c>
      <c r="I222" s="18">
        <v>18773.09</v>
      </c>
      <c r="J222" s="18">
        <v>8964.17</v>
      </c>
      <c r="K222" s="18">
        <v>0</v>
      </c>
      <c r="L222" s="19">
        <f t="shared" si="2"/>
        <v>228970.55000000002</v>
      </c>
      <c r="M222" s="8"/>
      <c r="N222" s="264"/>
    </row>
    <row r="223" spans="1:14" s="3" customFormat="1" ht="12.2" customHeight="1" x14ac:dyDescent="0.15">
      <c r="A223" s="1" t="s">
        <v>444</v>
      </c>
      <c r="B223" s="2" t="s">
        <v>346</v>
      </c>
      <c r="C223" s="2" t="s">
        <v>296</v>
      </c>
      <c r="D223" s="2" t="s">
        <v>431</v>
      </c>
      <c r="E223" s="6">
        <v>2300</v>
      </c>
      <c r="F223" s="18">
        <v>307690.59999999998</v>
      </c>
      <c r="G223" s="18">
        <v>125231.11</v>
      </c>
      <c r="H223" s="18">
        <v>57920.42</v>
      </c>
      <c r="I223" s="18">
        <v>5310.62</v>
      </c>
      <c r="J223" s="18">
        <v>0</v>
      </c>
      <c r="K223" s="18">
        <v>5692.5</v>
      </c>
      <c r="L223" s="19">
        <f t="shared" si="2"/>
        <v>501845.24999999994</v>
      </c>
      <c r="M223" s="8"/>
      <c r="N223" s="264"/>
    </row>
    <row r="224" spans="1:14" s="3" customFormat="1" ht="12.2" customHeight="1" x14ac:dyDescent="0.15">
      <c r="A224" s="1" t="s">
        <v>445</v>
      </c>
      <c r="B224" s="2" t="s">
        <v>346</v>
      </c>
      <c r="C224" s="2" t="s">
        <v>297</v>
      </c>
      <c r="D224" s="2" t="s">
        <v>431</v>
      </c>
      <c r="E224" s="6">
        <v>2400</v>
      </c>
      <c r="F224" s="18">
        <v>313380</v>
      </c>
      <c r="G224" s="18">
        <v>160979.59</v>
      </c>
      <c r="H224" s="18">
        <v>30138.289999999997</v>
      </c>
      <c r="I224" s="18">
        <v>697.18</v>
      </c>
      <c r="J224" s="18">
        <v>0</v>
      </c>
      <c r="K224" s="18">
        <v>1364.99</v>
      </c>
      <c r="L224" s="19">
        <f t="shared" si="2"/>
        <v>506560.04999999993</v>
      </c>
      <c r="M224" s="8"/>
      <c r="N224" s="264"/>
    </row>
    <row r="225" spans="1:14" s="3" customFormat="1" ht="12.2" customHeight="1" x14ac:dyDescent="0.15">
      <c r="A225" s="1" t="s">
        <v>446</v>
      </c>
      <c r="B225" s="2" t="s">
        <v>346</v>
      </c>
      <c r="C225" s="2" t="s">
        <v>298</v>
      </c>
      <c r="D225" s="2" t="s">
        <v>431</v>
      </c>
      <c r="E225" s="6">
        <v>2500</v>
      </c>
      <c r="F225" s="18">
        <v>34945.29</v>
      </c>
      <c r="G225" s="18">
        <v>55087.73</v>
      </c>
      <c r="H225" s="18">
        <v>37468.42</v>
      </c>
      <c r="I225" s="18">
        <v>29921.200000000001</v>
      </c>
      <c r="J225" s="18">
        <v>0</v>
      </c>
      <c r="K225" s="18">
        <v>4059.42</v>
      </c>
      <c r="L225" s="19">
        <f t="shared" si="2"/>
        <v>161482.06000000003</v>
      </c>
      <c r="M225" s="8"/>
      <c r="N225" s="264"/>
    </row>
    <row r="226" spans="1:14" s="3" customFormat="1" ht="12.2" customHeight="1" x14ac:dyDescent="0.15">
      <c r="A226" s="1" t="s">
        <v>447</v>
      </c>
      <c r="B226" s="2" t="s">
        <v>346</v>
      </c>
      <c r="C226" s="2" t="s">
        <v>299</v>
      </c>
      <c r="D226" s="2" t="s">
        <v>431</v>
      </c>
      <c r="E226" s="6">
        <v>2600</v>
      </c>
      <c r="F226" s="18">
        <v>265269.07</v>
      </c>
      <c r="G226" s="18">
        <v>145676.75</v>
      </c>
      <c r="H226" s="18">
        <v>250686.71</v>
      </c>
      <c r="I226" s="18">
        <v>142967.88</v>
      </c>
      <c r="J226" s="18">
        <v>11567.75</v>
      </c>
      <c r="K226" s="18">
        <v>0</v>
      </c>
      <c r="L226" s="19">
        <f t="shared" si="2"/>
        <v>816168.16</v>
      </c>
      <c r="M226" s="8"/>
      <c r="N226" s="264"/>
    </row>
    <row r="227" spans="1:14" s="3" customFormat="1" ht="12.2" customHeight="1" x14ac:dyDescent="0.15">
      <c r="A227" s="1" t="s">
        <v>448</v>
      </c>
      <c r="B227" s="2" t="s">
        <v>346</v>
      </c>
      <c r="C227" s="2" t="s">
        <v>300</v>
      </c>
      <c r="D227" s="2" t="s">
        <v>431</v>
      </c>
      <c r="E227" s="6">
        <v>2700</v>
      </c>
      <c r="F227" s="18">
        <v>201599.09</v>
      </c>
      <c r="G227" s="18">
        <v>174075.53</v>
      </c>
      <c r="H227" s="18">
        <v>100612.65</v>
      </c>
      <c r="I227" s="18">
        <v>19134.37</v>
      </c>
      <c r="J227" s="18">
        <v>5388.84</v>
      </c>
      <c r="K227" s="18">
        <v>287.64</v>
      </c>
      <c r="L227" s="19">
        <f t="shared" si="2"/>
        <v>501098.12000000005</v>
      </c>
      <c r="M227" s="8"/>
      <c r="N227" s="264"/>
    </row>
    <row r="228" spans="1:14" s="3" customFormat="1" ht="12.2" customHeight="1" x14ac:dyDescent="0.15">
      <c r="A228" s="1" t="s">
        <v>449</v>
      </c>
      <c r="B228" s="2" t="s">
        <v>346</v>
      </c>
      <c r="C228" s="2" t="s">
        <v>343</v>
      </c>
      <c r="D228" s="2" t="s">
        <v>431</v>
      </c>
      <c r="E228" s="6">
        <v>2800</v>
      </c>
      <c r="F228" s="18">
        <v>181076.85</v>
      </c>
      <c r="G228" s="18">
        <v>92942.04</v>
      </c>
      <c r="H228" s="18">
        <v>155770.74</v>
      </c>
      <c r="I228" s="18">
        <v>46080.37</v>
      </c>
      <c r="J228" s="18">
        <v>87530.03</v>
      </c>
      <c r="K228" s="18">
        <v>1173.26</v>
      </c>
      <c r="L228" s="19">
        <f>SUM(F228:K228)</f>
        <v>564573.29</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7482555.3599999994</v>
      </c>
      <c r="G230" s="41">
        <f>SUM(G216:G229)</f>
        <v>3590492.6099999989</v>
      </c>
      <c r="H230" s="41">
        <f>SUM(H216:H229)</f>
        <v>1250093</v>
      </c>
      <c r="I230" s="41">
        <f>SUM(I216:I229)</f>
        <v>316447.05</v>
      </c>
      <c r="J230" s="41">
        <f>SUM(J216:J229)</f>
        <v>295809.39</v>
      </c>
      <c r="K230" s="41">
        <f t="shared" si="3"/>
        <v>16776.96</v>
      </c>
      <c r="L230" s="41">
        <f t="shared" si="3"/>
        <v>12952174.370000001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4452308.87</v>
      </c>
      <c r="G234" s="18">
        <v>2302473.85</v>
      </c>
      <c r="H234" s="18">
        <v>29915.03</v>
      </c>
      <c r="I234" s="18">
        <v>61530.91</v>
      </c>
      <c r="J234" s="18">
        <v>9141.75</v>
      </c>
      <c r="K234" s="18">
        <v>129</v>
      </c>
      <c r="L234" s="19">
        <f>SUM(F234:K234)</f>
        <v>6855499.4100000011</v>
      </c>
      <c r="M234" s="8"/>
      <c r="N234" s="264"/>
    </row>
    <row r="235" spans="1:14" s="3" customFormat="1" ht="12.2" customHeight="1" x14ac:dyDescent="0.15">
      <c r="A235" s="1" t="s">
        <v>439</v>
      </c>
      <c r="B235" s="2" t="s">
        <v>350</v>
      </c>
      <c r="C235" s="2" t="s">
        <v>291</v>
      </c>
      <c r="D235" s="2" t="s">
        <v>431</v>
      </c>
      <c r="E235" s="6">
        <v>1200</v>
      </c>
      <c r="F235" s="18">
        <v>1207537.4499999997</v>
      </c>
      <c r="G235" s="18">
        <v>571258.24999999977</v>
      </c>
      <c r="H235" s="18">
        <v>428100.93</v>
      </c>
      <c r="I235" s="18">
        <v>7336.3</v>
      </c>
      <c r="J235" s="18">
        <v>318.82</v>
      </c>
      <c r="K235" s="18">
        <v>5227.1899999999996</v>
      </c>
      <c r="L235" s="19">
        <f>SUM(F235:K235)</f>
        <v>2219778.939999999</v>
      </c>
      <c r="M235" s="8"/>
      <c r="N235" s="264"/>
    </row>
    <row r="236" spans="1:14" s="3" customFormat="1" ht="12.2" customHeight="1" x14ac:dyDescent="0.15">
      <c r="A236" s="1" t="s">
        <v>440</v>
      </c>
      <c r="B236" s="2" t="s">
        <v>350</v>
      </c>
      <c r="C236" s="2" t="s">
        <v>292</v>
      </c>
      <c r="D236" s="2" t="s">
        <v>431</v>
      </c>
      <c r="E236" s="6">
        <v>1300</v>
      </c>
      <c r="F236" s="18">
        <v>0</v>
      </c>
      <c r="G236" s="18">
        <v>0</v>
      </c>
      <c r="H236" s="18">
        <v>59818.52</v>
      </c>
      <c r="I236" s="18">
        <v>0</v>
      </c>
      <c r="J236" s="18">
        <v>0</v>
      </c>
      <c r="K236" s="18">
        <v>0</v>
      </c>
      <c r="L236" s="19">
        <f>SUM(F236:K236)</f>
        <v>59818.52</v>
      </c>
      <c r="M236" s="8"/>
      <c r="N236" s="264"/>
    </row>
    <row r="237" spans="1:14" s="3" customFormat="1" ht="12.2" customHeight="1" x14ac:dyDescent="0.15">
      <c r="A237" s="1" t="s">
        <v>441</v>
      </c>
      <c r="B237" s="2" t="s">
        <v>350</v>
      </c>
      <c r="C237" s="2" t="s">
        <v>293</v>
      </c>
      <c r="D237" s="2" t="s">
        <v>431</v>
      </c>
      <c r="E237" s="6">
        <v>1400</v>
      </c>
      <c r="F237" s="18">
        <v>334023.17</v>
      </c>
      <c r="G237" s="18">
        <v>64619.459999999992</v>
      </c>
      <c r="H237" s="18">
        <v>75863.42</v>
      </c>
      <c r="I237" s="18">
        <v>21013.81</v>
      </c>
      <c r="J237" s="18">
        <v>35301.94</v>
      </c>
      <c r="K237" s="18">
        <v>30613.55</v>
      </c>
      <c r="L237" s="19">
        <f>SUM(F237:K237)</f>
        <v>561435.35000000009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1040754.1</v>
      </c>
      <c r="G239" s="18">
        <v>476145.03999999992</v>
      </c>
      <c r="H239" s="18">
        <v>299291.76</v>
      </c>
      <c r="I239" s="18">
        <v>2836.3599999999997</v>
      </c>
      <c r="J239" s="18">
        <v>919.99</v>
      </c>
      <c r="K239" s="18">
        <v>154</v>
      </c>
      <c r="L239" s="19">
        <f t="shared" ref="L239:L245" si="4">SUM(F239:K239)</f>
        <v>1820101.25</v>
      </c>
      <c r="M239" s="8"/>
      <c r="N239" s="264"/>
    </row>
    <row r="240" spans="1:14" s="3" customFormat="1" ht="12.2" customHeight="1" x14ac:dyDescent="0.15">
      <c r="A240" s="1" t="s">
        <v>443</v>
      </c>
      <c r="B240" s="2" t="s">
        <v>350</v>
      </c>
      <c r="C240" s="2" t="s">
        <v>295</v>
      </c>
      <c r="D240" s="2" t="s">
        <v>431</v>
      </c>
      <c r="E240" s="6">
        <v>2200</v>
      </c>
      <c r="F240" s="18">
        <v>109799.2</v>
      </c>
      <c r="G240" s="18">
        <v>44034.700000000004</v>
      </c>
      <c r="H240" s="18">
        <v>49915.420000000006</v>
      </c>
      <c r="I240" s="18">
        <v>30378.93</v>
      </c>
      <c r="J240" s="18">
        <v>31084.35</v>
      </c>
      <c r="K240" s="18">
        <v>0</v>
      </c>
      <c r="L240" s="19">
        <f t="shared" si="4"/>
        <v>265212.59999999998</v>
      </c>
      <c r="M240" s="8"/>
      <c r="N240" s="264"/>
    </row>
    <row r="241" spans="1:14" s="3" customFormat="1" ht="12.2" customHeight="1" x14ac:dyDescent="0.15">
      <c r="A241" s="1" t="s">
        <v>444</v>
      </c>
      <c r="B241" s="2" t="s">
        <v>350</v>
      </c>
      <c r="C241" s="2" t="s">
        <v>296</v>
      </c>
      <c r="D241" s="2" t="s">
        <v>431</v>
      </c>
      <c r="E241" s="6">
        <v>2300</v>
      </c>
      <c r="F241" s="18">
        <v>364823.02</v>
      </c>
      <c r="G241" s="18">
        <v>143794.35999999999</v>
      </c>
      <c r="H241" s="18">
        <v>73500.84</v>
      </c>
      <c r="I241" s="18">
        <v>6739.15</v>
      </c>
      <c r="J241" s="18">
        <v>0</v>
      </c>
      <c r="K241" s="18">
        <v>7223.76</v>
      </c>
      <c r="L241" s="19">
        <f t="shared" si="4"/>
        <v>596081.13</v>
      </c>
      <c r="M241" s="8"/>
      <c r="N241" s="264"/>
    </row>
    <row r="242" spans="1:14" s="3" customFormat="1" ht="12.2" customHeight="1" x14ac:dyDescent="0.15">
      <c r="A242" s="1" t="s">
        <v>445</v>
      </c>
      <c r="B242" s="2" t="s">
        <v>350</v>
      </c>
      <c r="C242" s="2" t="s">
        <v>297</v>
      </c>
      <c r="D242" s="2" t="s">
        <v>431</v>
      </c>
      <c r="E242" s="6">
        <v>2400</v>
      </c>
      <c r="F242" s="18">
        <v>442971.38</v>
      </c>
      <c r="G242" s="18">
        <v>215784.75999999998</v>
      </c>
      <c r="H242" s="18">
        <v>41828.39</v>
      </c>
      <c r="I242" s="18">
        <v>2521.8200000000002</v>
      </c>
      <c r="J242" s="18">
        <v>355.01</v>
      </c>
      <c r="K242" s="18">
        <v>4983</v>
      </c>
      <c r="L242" s="19">
        <f t="shared" si="4"/>
        <v>708444.36</v>
      </c>
      <c r="M242" s="8"/>
      <c r="N242" s="264"/>
    </row>
    <row r="243" spans="1:14" s="3" customFormat="1" ht="12.2" customHeight="1" x14ac:dyDescent="0.15">
      <c r="A243" s="1" t="s">
        <v>446</v>
      </c>
      <c r="B243" s="2" t="s">
        <v>350</v>
      </c>
      <c r="C243" s="2" t="s">
        <v>298</v>
      </c>
      <c r="D243" s="2" t="s">
        <v>431</v>
      </c>
      <c r="E243" s="6">
        <v>2500</v>
      </c>
      <c r="F243" s="18">
        <v>44345.47</v>
      </c>
      <c r="G243" s="18">
        <v>69906.16</v>
      </c>
      <c r="H243" s="18">
        <v>47547.32</v>
      </c>
      <c r="I243" s="18">
        <v>37969.910000000003</v>
      </c>
      <c r="J243" s="18">
        <v>0</v>
      </c>
      <c r="K243" s="18">
        <v>5151.3999999999996</v>
      </c>
      <c r="L243" s="19">
        <f t="shared" si="4"/>
        <v>204920.26</v>
      </c>
      <c r="M243" s="8"/>
      <c r="N243" s="264"/>
    </row>
    <row r="244" spans="1:14" s="3" customFormat="1" ht="12.2" customHeight="1" x14ac:dyDescent="0.15">
      <c r="A244" s="1" t="s">
        <v>447</v>
      </c>
      <c r="B244" s="2" t="s">
        <v>350</v>
      </c>
      <c r="C244" s="2" t="s">
        <v>299</v>
      </c>
      <c r="D244" s="2" t="s">
        <v>431</v>
      </c>
      <c r="E244" s="6">
        <v>2600</v>
      </c>
      <c r="F244" s="18">
        <v>393072.67</v>
      </c>
      <c r="G244" s="18">
        <v>258554.26999999996</v>
      </c>
      <c r="H244" s="18">
        <v>931524.48</v>
      </c>
      <c r="I244" s="18">
        <v>305125.55</v>
      </c>
      <c r="J244" s="18">
        <v>14679.44</v>
      </c>
      <c r="K244" s="18">
        <v>0</v>
      </c>
      <c r="L244" s="19">
        <f t="shared" si="4"/>
        <v>1902956.41</v>
      </c>
      <c r="M244" s="8"/>
      <c r="N244" s="264"/>
    </row>
    <row r="245" spans="1:14" s="3" customFormat="1" ht="12.2" customHeight="1" x14ac:dyDescent="0.15">
      <c r="A245" s="1" t="s">
        <v>448</v>
      </c>
      <c r="B245" s="2" t="s">
        <v>350</v>
      </c>
      <c r="C245" s="2" t="s">
        <v>300</v>
      </c>
      <c r="D245" s="2" t="s">
        <v>431</v>
      </c>
      <c r="E245" s="6">
        <v>2700</v>
      </c>
      <c r="F245" s="18">
        <v>260910.15</v>
      </c>
      <c r="G245" s="18">
        <v>221266.77000000002</v>
      </c>
      <c r="H245" s="18">
        <v>127677.15999999999</v>
      </c>
      <c r="I245" s="18">
        <v>24281.439999999999</v>
      </c>
      <c r="J245" s="18">
        <v>6838.42</v>
      </c>
      <c r="K245" s="18">
        <v>365.02</v>
      </c>
      <c r="L245" s="19">
        <f t="shared" si="4"/>
        <v>641338.96000000008</v>
      </c>
      <c r="M245" s="8"/>
      <c r="N245" s="264"/>
    </row>
    <row r="246" spans="1:14" s="3" customFormat="1" ht="12.2" customHeight="1" x14ac:dyDescent="0.15">
      <c r="A246" s="1" t="s">
        <v>449</v>
      </c>
      <c r="B246" s="2" t="s">
        <v>350</v>
      </c>
      <c r="C246" s="2" t="s">
        <v>343</v>
      </c>
      <c r="D246" s="2" t="s">
        <v>431</v>
      </c>
      <c r="E246" s="6">
        <v>2800</v>
      </c>
      <c r="F246" s="18">
        <v>229785.98</v>
      </c>
      <c r="G246" s="18">
        <v>117943.17</v>
      </c>
      <c r="H246" s="18">
        <v>197672.6</v>
      </c>
      <c r="I246" s="18">
        <v>58475.85</v>
      </c>
      <c r="J246" s="18">
        <v>111075.34</v>
      </c>
      <c r="K246" s="18">
        <v>1488.86</v>
      </c>
      <c r="L246" s="19">
        <f>SUM(F246:K246)</f>
        <v>716441.79999999993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8880331.4600000009</v>
      </c>
      <c r="G248" s="41">
        <f t="shared" si="5"/>
        <v>4485780.7899999991</v>
      </c>
      <c r="H248" s="41">
        <f t="shared" si="5"/>
        <v>2362655.87</v>
      </c>
      <c r="I248" s="41">
        <f t="shared" si="5"/>
        <v>558210.03</v>
      </c>
      <c r="J248" s="41">
        <f t="shared" si="5"/>
        <v>209715.06</v>
      </c>
      <c r="K248" s="41">
        <f t="shared" si="5"/>
        <v>55335.78</v>
      </c>
      <c r="L248" s="41">
        <f t="shared" si="5"/>
        <v>16552028.99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503772.91</v>
      </c>
      <c r="I256" s="18"/>
      <c r="J256" s="18"/>
      <c r="K256" s="18"/>
      <c r="L256" s="19">
        <f t="shared" si="6"/>
        <v>503772.91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503772.91</v>
      </c>
      <c r="I257" s="41">
        <f t="shared" si="7"/>
        <v>0</v>
      </c>
      <c r="J257" s="41">
        <f t="shared" si="7"/>
        <v>0</v>
      </c>
      <c r="K257" s="41">
        <f t="shared" si="7"/>
        <v>0</v>
      </c>
      <c r="L257" s="41">
        <f>SUM(F257:K257)</f>
        <v>503772.91</v>
      </c>
      <c r="M257" s="8"/>
      <c r="N257" s="264"/>
    </row>
    <row r="258" spans="1:14" s="3" customFormat="1" ht="12.2" customHeight="1" thickTop="1" x14ac:dyDescent="0.15">
      <c r="A258" s="38" t="s">
        <v>462</v>
      </c>
      <c r="B258" s="40">
        <v>10</v>
      </c>
      <c r="C258" s="40">
        <v>8</v>
      </c>
      <c r="D258" s="39" t="s">
        <v>431</v>
      </c>
      <c r="E258" s="40"/>
      <c r="F258" s="41">
        <f t="shared" ref="F258:L258" si="8">F212+F230+F248+F257</f>
        <v>24534469.550000001</v>
      </c>
      <c r="G258" s="41">
        <f t="shared" si="8"/>
        <v>11869967.079999998</v>
      </c>
      <c r="H258" s="41">
        <f t="shared" si="8"/>
        <v>5776193.3100000005</v>
      </c>
      <c r="I258" s="41">
        <f t="shared" si="8"/>
        <v>1272127.71</v>
      </c>
      <c r="J258" s="41">
        <f t="shared" si="8"/>
        <v>611673.99</v>
      </c>
      <c r="K258" s="41">
        <f t="shared" si="8"/>
        <v>88765</v>
      </c>
      <c r="L258" s="41">
        <f t="shared" si="8"/>
        <v>44153196.640000001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1285000</v>
      </c>
      <c r="L261" s="19">
        <f>SUM(F261:K261)</f>
        <v>1285000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503108.09</v>
      </c>
      <c r="L262" s="19">
        <f>SUM(F262:K262)</f>
        <v>503108.09</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80700.820000000007</v>
      </c>
      <c r="L264" s="19">
        <f>SUM(F264:K264)</f>
        <v>80700.820000000007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1868808.9100000001</v>
      </c>
      <c r="L271" s="41">
        <f t="shared" si="9"/>
        <v>1868808.9100000001</v>
      </c>
      <c r="M271" s="8"/>
      <c r="N271" s="264"/>
    </row>
    <row r="272" spans="1:14" s="34" customFormat="1" ht="12.2" customHeight="1" thickTop="1" x14ac:dyDescent="0.2">
      <c r="A272" s="43" t="s">
        <v>464</v>
      </c>
      <c r="B272" s="40">
        <v>10</v>
      </c>
      <c r="C272" s="40">
        <v>18</v>
      </c>
      <c r="D272" s="39" t="s">
        <v>431</v>
      </c>
      <c r="E272" s="40"/>
      <c r="F272" s="42">
        <f t="shared" ref="F272:L272" si="11">F258+F271</f>
        <v>24534469.550000001</v>
      </c>
      <c r="G272" s="42">
        <f t="shared" si="11"/>
        <v>11869967.079999998</v>
      </c>
      <c r="H272" s="42">
        <f t="shared" si="11"/>
        <v>5776193.3100000005</v>
      </c>
      <c r="I272" s="42">
        <f t="shared" si="11"/>
        <v>1272127.71</v>
      </c>
      <c r="J272" s="42">
        <f t="shared" si="11"/>
        <v>611673.99</v>
      </c>
      <c r="K272" s="42">
        <f t="shared" si="11"/>
        <v>1957573.9100000001</v>
      </c>
      <c r="L272" s="42">
        <f t="shared" si="11"/>
        <v>46022005.549999997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33704</v>
      </c>
      <c r="G277" s="18">
        <v>2517.2200000000003</v>
      </c>
      <c r="H277" s="18">
        <v>0</v>
      </c>
      <c r="I277" s="18">
        <v>130077.86</v>
      </c>
      <c r="J277" s="18"/>
      <c r="K277" s="18"/>
      <c r="L277" s="19">
        <f>SUM(F277:K277)</f>
        <v>166299.08000000002</v>
      </c>
      <c r="M277" s="8"/>
      <c r="N277" s="264"/>
    </row>
    <row r="278" spans="1:14" s="3" customFormat="1" ht="12.2" customHeight="1" x14ac:dyDescent="0.15">
      <c r="A278" s="1" t="s">
        <v>439</v>
      </c>
      <c r="B278" s="2" t="s">
        <v>357</v>
      </c>
      <c r="C278" s="2" t="s">
        <v>291</v>
      </c>
      <c r="D278" s="2" t="s">
        <v>431</v>
      </c>
      <c r="E278" s="6">
        <v>1200</v>
      </c>
      <c r="F278" s="18">
        <v>3445.9</v>
      </c>
      <c r="G278" s="18">
        <v>876.98</v>
      </c>
      <c r="H278" s="18">
        <v>11317</v>
      </c>
      <c r="I278" s="18">
        <v>0</v>
      </c>
      <c r="J278" s="18"/>
      <c r="K278" s="18"/>
      <c r="L278" s="19">
        <f>SUM(F278:K278)</f>
        <v>15639.880000000001</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729.04</v>
      </c>
      <c r="G280" s="18">
        <v>112.6</v>
      </c>
      <c r="H280" s="18">
        <v>0</v>
      </c>
      <c r="I280" s="18">
        <v>4650</v>
      </c>
      <c r="J280" s="18">
        <v>801.45</v>
      </c>
      <c r="K280" s="18"/>
      <c r="L280" s="19">
        <f>SUM(F280:K280)</f>
        <v>6293.09</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0</v>
      </c>
      <c r="G283" s="18">
        <v>0</v>
      </c>
      <c r="H283" s="18">
        <v>18257.36</v>
      </c>
      <c r="I283" s="18">
        <v>6517.72</v>
      </c>
      <c r="J283" s="18"/>
      <c r="K283" s="18"/>
      <c r="L283" s="19">
        <f t="shared" si="12"/>
        <v>24775.08</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1398.09</v>
      </c>
      <c r="J289" s="18">
        <v>3418.31</v>
      </c>
      <c r="K289" s="18"/>
      <c r="L289" s="19">
        <f>SUM(F289:K289)</f>
        <v>4816.3999999999996</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37878.94</v>
      </c>
      <c r="G291" s="42">
        <f t="shared" si="13"/>
        <v>3506.8</v>
      </c>
      <c r="H291" s="42">
        <f t="shared" si="13"/>
        <v>29574.36</v>
      </c>
      <c r="I291" s="42">
        <f t="shared" si="13"/>
        <v>142643.66999999998</v>
      </c>
      <c r="J291" s="42">
        <f t="shared" si="13"/>
        <v>4219.76</v>
      </c>
      <c r="K291" s="42">
        <f t="shared" si="13"/>
        <v>0</v>
      </c>
      <c r="L291" s="41">
        <f t="shared" si="13"/>
        <v>217823.53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133945.59</v>
      </c>
      <c r="J296" s="18">
        <v>0</v>
      </c>
      <c r="K296" s="18"/>
      <c r="L296" s="19">
        <f>SUM(F296:K296)</f>
        <v>133945.59</v>
      </c>
      <c r="M296" s="8"/>
      <c r="N296" s="264"/>
    </row>
    <row r="297" spans="1:14" s="3" customFormat="1" ht="12.2" customHeight="1" x14ac:dyDescent="0.15">
      <c r="A297" s="1" t="s">
        <v>439</v>
      </c>
      <c r="B297" s="2" t="s">
        <v>358</v>
      </c>
      <c r="C297" s="2" t="s">
        <v>291</v>
      </c>
      <c r="D297" s="2" t="s">
        <v>431</v>
      </c>
      <c r="E297" s="6">
        <v>1200</v>
      </c>
      <c r="F297" s="18">
        <v>176449.83</v>
      </c>
      <c r="G297" s="18">
        <v>95286.16</v>
      </c>
      <c r="H297" s="18">
        <v>2723.66</v>
      </c>
      <c r="I297" s="18">
        <v>11382.1</v>
      </c>
      <c r="J297" s="18">
        <v>0</v>
      </c>
      <c r="K297" s="18"/>
      <c r="L297" s="19">
        <f>SUM(F297:K297)</f>
        <v>285841.74999999994</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2250.71</v>
      </c>
      <c r="G299" s="18">
        <v>115.95</v>
      </c>
      <c r="H299" s="18">
        <v>0</v>
      </c>
      <c r="I299" s="18">
        <v>3150</v>
      </c>
      <c r="J299" s="18">
        <v>825.28</v>
      </c>
      <c r="K299" s="18"/>
      <c r="L299" s="19">
        <f>SUM(F299:K299)</f>
        <v>6341.94</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18800.22</v>
      </c>
      <c r="I302" s="18">
        <v>6711.52</v>
      </c>
      <c r="J302" s="18"/>
      <c r="K302" s="18"/>
      <c r="L302" s="19">
        <f t="shared" si="14"/>
        <v>25511.74</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1439.66</v>
      </c>
      <c r="J308" s="18">
        <v>3519.95</v>
      </c>
      <c r="K308" s="18"/>
      <c r="L308" s="19">
        <f>SUM(F308:K308)</f>
        <v>4959.6099999999997</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178700.53999999998</v>
      </c>
      <c r="G310" s="42">
        <f t="shared" si="15"/>
        <v>95402.11</v>
      </c>
      <c r="H310" s="42">
        <f t="shared" si="15"/>
        <v>21523.88</v>
      </c>
      <c r="I310" s="42">
        <f t="shared" si="15"/>
        <v>156628.87</v>
      </c>
      <c r="J310" s="42">
        <f t="shared" si="15"/>
        <v>4345.2299999999996</v>
      </c>
      <c r="K310" s="42">
        <f t="shared" si="15"/>
        <v>0</v>
      </c>
      <c r="L310" s="41">
        <f t="shared" si="15"/>
        <v>456600.62999999995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v>169976.55</v>
      </c>
      <c r="J315" s="18"/>
      <c r="K315" s="18"/>
      <c r="L315" s="19">
        <f>SUM(F315:K315)</f>
        <v>169976.55</v>
      </c>
      <c r="M315" s="8"/>
      <c r="N315" s="264"/>
    </row>
    <row r="316" spans="1:14" s="3" customFormat="1" ht="12.2" customHeight="1" x14ac:dyDescent="0.15">
      <c r="A316" s="1" t="s">
        <v>439</v>
      </c>
      <c r="B316" s="2" t="s">
        <v>359</v>
      </c>
      <c r="C316" s="2" t="s">
        <v>291</v>
      </c>
      <c r="D316" s="2" t="s">
        <v>431</v>
      </c>
      <c r="E316" s="6">
        <v>1200</v>
      </c>
      <c r="F316" s="18">
        <v>120802.57</v>
      </c>
      <c r="G316" s="18">
        <v>76269.510000000009</v>
      </c>
      <c r="H316" s="18">
        <v>9812.2900000000009</v>
      </c>
      <c r="I316" s="18"/>
      <c r="J316" s="18"/>
      <c r="K316" s="18"/>
      <c r="L316" s="19">
        <f>SUM(F316:K316)</f>
        <v>206884.37000000002</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952.65</v>
      </c>
      <c r="G318" s="18">
        <v>147.13</v>
      </c>
      <c r="H318" s="18">
        <v>0</v>
      </c>
      <c r="I318" s="18">
        <v>2643.12</v>
      </c>
      <c r="J318" s="18">
        <v>1047.27</v>
      </c>
      <c r="K318" s="18"/>
      <c r="L318" s="19">
        <f>SUM(F318:K318)</f>
        <v>4790.17</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23857.42</v>
      </c>
      <c r="I321" s="18">
        <v>8516.89</v>
      </c>
      <c r="J321" s="18"/>
      <c r="K321" s="18"/>
      <c r="L321" s="19">
        <f t="shared" si="16"/>
        <v>32374.309999999998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v>1826.91</v>
      </c>
      <c r="J327" s="18">
        <v>4466.8</v>
      </c>
      <c r="K327" s="18"/>
      <c r="L327" s="19">
        <f>SUM(F327:K327)</f>
        <v>6293.71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121755.22</v>
      </c>
      <c r="G329" s="42">
        <f t="shared" si="17"/>
        <v>76416.640000000014</v>
      </c>
      <c r="H329" s="42">
        <f t="shared" si="17"/>
        <v>33669.71</v>
      </c>
      <c r="I329" s="42">
        <f t="shared" si="17"/>
        <v>182963.47</v>
      </c>
      <c r="J329" s="42">
        <f t="shared" si="17"/>
        <v>5514.07</v>
      </c>
      <c r="K329" s="42">
        <f t="shared" si="17"/>
        <v>0</v>
      </c>
      <c r="L329" s="41">
        <f t="shared" si="17"/>
        <v>420319.11000000004</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338334.69999999995</v>
      </c>
      <c r="G339" s="41">
        <f t="shared" si="20"/>
        <v>175325.55000000002</v>
      </c>
      <c r="H339" s="41">
        <f t="shared" si="20"/>
        <v>84767.950000000012</v>
      </c>
      <c r="I339" s="41">
        <f t="shared" si="20"/>
        <v>482236.01</v>
      </c>
      <c r="J339" s="41">
        <f t="shared" si="20"/>
        <v>14079.06</v>
      </c>
      <c r="K339" s="41">
        <f t="shared" si="20"/>
        <v>0</v>
      </c>
      <c r="L339" s="41">
        <f t="shared" si="20"/>
        <v>1094743.27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338334.69999999995</v>
      </c>
      <c r="G353" s="41">
        <f>G339</f>
        <v>175325.55000000002</v>
      </c>
      <c r="H353" s="41">
        <f>H339</f>
        <v>84767.950000000012</v>
      </c>
      <c r="I353" s="41">
        <f>I339</f>
        <v>482236.01</v>
      </c>
      <c r="J353" s="41">
        <f>J339</f>
        <v>14079.06</v>
      </c>
      <c r="K353" s="47">
        <f>K339+K352</f>
        <v>0</v>
      </c>
      <c r="L353" s="41">
        <f>L339+L352</f>
        <v>1094743.27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99506.29</v>
      </c>
      <c r="G359" s="18">
        <v>25252.63</v>
      </c>
      <c r="H359" s="18">
        <v>1364.14</v>
      </c>
      <c r="I359" s="18">
        <v>35445.160000000003</v>
      </c>
      <c r="J359" s="18">
        <v>871.35</v>
      </c>
      <c r="K359" s="18">
        <v>224</v>
      </c>
      <c r="L359" s="13">
        <f>SUM(F359:K359)</f>
        <v>162663.57</v>
      </c>
      <c r="M359" s="8"/>
      <c r="N359" s="264"/>
    </row>
    <row r="360" spans="1:22" s="3" customFormat="1" ht="12.2" customHeight="1" x14ac:dyDescent="0.15">
      <c r="A360" s="1" t="s">
        <v>542</v>
      </c>
      <c r="B360" s="2" t="s">
        <v>366</v>
      </c>
      <c r="C360" s="6">
        <v>2</v>
      </c>
      <c r="D360" s="2" t="s">
        <v>431</v>
      </c>
      <c r="E360" s="6"/>
      <c r="F360" s="18">
        <v>102465.01</v>
      </c>
      <c r="G360" s="18">
        <v>26003.49</v>
      </c>
      <c r="H360" s="18">
        <v>1189.75</v>
      </c>
      <c r="I360" s="18">
        <v>35212.15</v>
      </c>
      <c r="J360" s="18">
        <v>897.26</v>
      </c>
      <c r="K360" s="18">
        <v>134</v>
      </c>
      <c r="L360" s="19">
        <f>SUM(F360:K360)</f>
        <v>165901.66</v>
      </c>
      <c r="M360" s="8"/>
      <c r="N360" s="264"/>
    </row>
    <row r="361" spans="1:22" s="3" customFormat="1" ht="12.2" customHeight="1" x14ac:dyDescent="0.15">
      <c r="A361" s="3" t="s">
        <v>543</v>
      </c>
      <c r="B361" s="2" t="s">
        <v>366</v>
      </c>
      <c r="C361" s="6">
        <v>3</v>
      </c>
      <c r="D361" s="2" t="s">
        <v>431</v>
      </c>
      <c r="E361" s="6"/>
      <c r="F361" s="18">
        <v>130027.79</v>
      </c>
      <c r="G361" s="18">
        <v>32998.35</v>
      </c>
      <c r="H361" s="18">
        <v>5731.22</v>
      </c>
      <c r="I361" s="18">
        <v>40012.339999999997</v>
      </c>
      <c r="J361" s="18">
        <v>1138.6199999999999</v>
      </c>
      <c r="K361" s="18">
        <v>132</v>
      </c>
      <c r="L361" s="19">
        <f>SUM(F361:K361)</f>
        <v>210040.31999999998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331999.08999999997</v>
      </c>
      <c r="G363" s="47">
        <f t="shared" si="22"/>
        <v>84254.47</v>
      </c>
      <c r="H363" s="47">
        <f t="shared" si="22"/>
        <v>8285.11</v>
      </c>
      <c r="I363" s="47">
        <f t="shared" si="22"/>
        <v>110669.65</v>
      </c>
      <c r="J363" s="47">
        <f t="shared" si="22"/>
        <v>2907.23</v>
      </c>
      <c r="K363" s="47">
        <f t="shared" si="22"/>
        <v>490</v>
      </c>
      <c r="L363" s="47">
        <f t="shared" si="22"/>
        <v>538605.54999999993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31565.61</v>
      </c>
      <c r="G368" s="18">
        <v>31255.91</v>
      </c>
      <c r="H368" s="18">
        <v>34130.93</v>
      </c>
      <c r="I368" s="56">
        <f>SUM(F368:H368)</f>
        <v>96952.450000000012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3879.55</v>
      </c>
      <c r="G369" s="63">
        <v>3956.24</v>
      </c>
      <c r="H369" s="63">
        <v>5881.41</v>
      </c>
      <c r="I369" s="56">
        <f>SUM(F369:H369)</f>
        <v>13717.2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35445.160000000003</v>
      </c>
      <c r="G370" s="47">
        <f>SUM(G368:G369)</f>
        <v>35212.15</v>
      </c>
      <c r="H370" s="47">
        <f>SUM(H368:H369)</f>
        <v>40012.339999999997</v>
      </c>
      <c r="I370" s="47">
        <f>SUM(I368:I369)</f>
        <v>110669.65000000001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v>1055755.79</v>
      </c>
      <c r="I377" s="18"/>
      <c r="J377" s="18"/>
      <c r="K377" s="18"/>
      <c r="L377" s="13">
        <f t="shared" si="23"/>
        <v>1055755.79</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v>23645252</v>
      </c>
      <c r="I379" s="18"/>
      <c r="J379" s="18"/>
      <c r="K379" s="18"/>
      <c r="L379" s="13">
        <f t="shared" si="23"/>
        <v>23645252</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v>41593</v>
      </c>
      <c r="I381" s="18"/>
      <c r="J381" s="18"/>
      <c r="K381" s="18"/>
      <c r="L381" s="13">
        <f t="shared" si="23"/>
        <v>41593</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3009916.67</v>
      </c>
      <c r="L382" s="13">
        <f t="shared" si="23"/>
        <v>3009916.67</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24742600.789999999</v>
      </c>
      <c r="I383" s="41">
        <f t="shared" si="24"/>
        <v>0</v>
      </c>
      <c r="J383" s="47">
        <f t="shared" si="24"/>
        <v>0</v>
      </c>
      <c r="K383" s="47">
        <f t="shared" si="24"/>
        <v>3009916.67</v>
      </c>
      <c r="L383" s="47">
        <f t="shared" si="24"/>
        <v>27752517.460000001</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24402.44</v>
      </c>
      <c r="I390" s="18"/>
      <c r="J390" s="24" t="s">
        <v>288</v>
      </c>
      <c r="K390" s="24" t="s">
        <v>288</v>
      </c>
      <c r="L390" s="56">
        <f t="shared" si="25"/>
        <v>24402.44</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24402.44</v>
      </c>
      <c r="I394" s="65">
        <f>SUM(I388:I393)</f>
        <v>0</v>
      </c>
      <c r="J394" s="45" t="s">
        <v>288</v>
      </c>
      <c r="K394" s="45" t="s">
        <v>288</v>
      </c>
      <c r="L394" s="47">
        <f>SUM(L388:L393)</f>
        <v>24402.44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1210.56</v>
      </c>
      <c r="I397" s="18"/>
      <c r="J397" s="24" t="s">
        <v>288</v>
      </c>
      <c r="K397" s="24" t="s">
        <v>288</v>
      </c>
      <c r="L397" s="56">
        <f t="shared" si="26"/>
        <v>1210.56</v>
      </c>
      <c r="M397" s="8"/>
      <c r="N397" s="264"/>
    </row>
    <row r="398" spans="1:14" s="3" customFormat="1" ht="12.2" customHeight="1" x14ac:dyDescent="0.15">
      <c r="A398" s="79" t="s">
        <v>515</v>
      </c>
      <c r="B398" s="2" t="s">
        <v>381</v>
      </c>
      <c r="C398" s="6">
        <v>10</v>
      </c>
      <c r="D398" s="2" t="s">
        <v>432</v>
      </c>
      <c r="E398" s="6"/>
      <c r="F398" s="18"/>
      <c r="G398" s="18"/>
      <c r="H398" s="18">
        <v>29822.240000000002</v>
      </c>
      <c r="I398" s="18"/>
      <c r="J398" s="24" t="s">
        <v>288</v>
      </c>
      <c r="K398" s="24" t="s">
        <v>288</v>
      </c>
      <c r="L398" s="56">
        <f t="shared" si="26"/>
        <v>29822.240000000002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37086.410000000003</v>
      </c>
      <c r="I400" s="18">
        <v>6542.18</v>
      </c>
      <c r="J400" s="24" t="s">
        <v>288</v>
      </c>
      <c r="K400" s="24" t="s">
        <v>288</v>
      </c>
      <c r="L400" s="56">
        <f t="shared" si="26"/>
        <v>43628.590000000004</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68119.210000000006</v>
      </c>
      <c r="I402" s="47">
        <f>SUM(I396:I401)</f>
        <v>6542.18</v>
      </c>
      <c r="J402" s="45" t="s">
        <v>288</v>
      </c>
      <c r="K402" s="45" t="s">
        <v>288</v>
      </c>
      <c r="L402" s="47">
        <f>SUM(L396:L401)</f>
        <v>74661.390000000014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92521.650000000009</v>
      </c>
      <c r="I409" s="47">
        <f>I394+I402+I408</f>
        <v>6542.18</v>
      </c>
      <c r="J409" s="24" t="s">
        <v>288</v>
      </c>
      <c r="K409" s="24" t="s">
        <v>288</v>
      </c>
      <c r="L409" s="47">
        <f>L394+L402+L408</f>
        <v>99063.830000000016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v>23000</v>
      </c>
      <c r="L427" s="56">
        <f t="shared" si="29"/>
        <v>23000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23000</v>
      </c>
      <c r="L428" s="47">
        <f t="shared" si="30"/>
        <v>23000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23000</v>
      </c>
      <c r="L435" s="47">
        <f t="shared" si="32"/>
        <v>23000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459946.23</v>
      </c>
      <c r="G441" s="18">
        <v>1226537.42</v>
      </c>
      <c r="H441" s="18"/>
      <c r="I441" s="56">
        <f t="shared" si="33"/>
        <v>1686483.65</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459946.23</v>
      </c>
      <c r="G447" s="13">
        <f>SUM(G440:G446)</f>
        <v>1226537.42</v>
      </c>
      <c r="H447" s="13">
        <f>SUM(H440:H446)</f>
        <v>0</v>
      </c>
      <c r="I447" s="13">
        <f>SUM(I440:I446)</f>
        <v>1686483.65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11951</v>
      </c>
      <c r="H449" s="18"/>
      <c r="I449" s="56">
        <f>SUM(F449:H449)</f>
        <v>11951</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11951</v>
      </c>
      <c r="H453" s="72">
        <f>SUM(H449:H452)</f>
        <v>0</v>
      </c>
      <c r="I453" s="72">
        <f>SUM(I449:I452)</f>
        <v>11951</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459946.23</v>
      </c>
      <c r="G460" s="18">
        <v>1214586.42</v>
      </c>
      <c r="H460" s="18"/>
      <c r="I460" s="56">
        <f t="shared" si="34"/>
        <v>1674532.65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459946.23</v>
      </c>
      <c r="G461" s="83">
        <f>SUM(G455:G460)</f>
        <v>1214586.42</v>
      </c>
      <c r="H461" s="83">
        <f>SUM(H455:H460)</f>
        <v>0</v>
      </c>
      <c r="I461" s="83">
        <f>SUM(I455:I460)</f>
        <v>1674532.65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459946.23</v>
      </c>
      <c r="G462" s="42">
        <f>G453+G461</f>
        <v>1226537.42</v>
      </c>
      <c r="H462" s="42">
        <f>H453+H461</f>
        <v>0</v>
      </c>
      <c r="I462" s="42">
        <f>I453+I461</f>
        <v>1686483.65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1524074.9599999934</v>
      </c>
      <c r="G466" s="18">
        <v>63644.940000000061</v>
      </c>
      <c r="H466" s="18">
        <v>47591.319999999832</v>
      </c>
      <c r="I466" s="18">
        <v>-1907420.5000000005</v>
      </c>
      <c r="J466" s="18">
        <v>1598468.82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46825964.469999991</v>
      </c>
      <c r="G469" s="18">
        <v>474960.55</v>
      </c>
      <c r="H469" s="18">
        <v>1094788.47</v>
      </c>
      <c r="I469" s="18">
        <v>28016328.379999999</v>
      </c>
      <c r="J469" s="18">
        <v>99063.829999999987</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46825964.469999991</v>
      </c>
      <c r="G471" s="53">
        <f>SUM(G469:G470)</f>
        <v>474960.55</v>
      </c>
      <c r="H471" s="53">
        <f>SUM(H469:H470)</f>
        <v>1094788.47</v>
      </c>
      <c r="I471" s="53">
        <f>SUM(I469:I470)</f>
        <v>28016328.379999999</v>
      </c>
      <c r="J471" s="53">
        <f>SUM(J469:J470)</f>
        <v>99063.829999999987</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46022005.549999997</v>
      </c>
      <c r="G473" s="18">
        <v>538605.54999999993</v>
      </c>
      <c r="H473" s="18">
        <v>1094743.27</v>
      </c>
      <c r="I473" s="18">
        <v>27752517.460000001</v>
      </c>
      <c r="J473" s="18">
        <v>23000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46022005.549999997</v>
      </c>
      <c r="G475" s="53">
        <f>SUM(G473:G474)</f>
        <v>538605.54999999993</v>
      </c>
      <c r="H475" s="53">
        <f>SUM(H473:H474)</f>
        <v>1094743.27</v>
      </c>
      <c r="I475" s="53">
        <f>SUM(I473:I474)</f>
        <v>27752517.460000001</v>
      </c>
      <c r="J475" s="53">
        <f>SUM(J473:J474)</f>
        <v>23000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2328033.8799999878</v>
      </c>
      <c r="G477" s="53">
        <f>(G466+G471)- G475</f>
        <v>-5.9999999939464033E-2</v>
      </c>
      <c r="H477" s="53">
        <f>(H466+H471)- H475</f>
        <v>47636.519999999786</v>
      </c>
      <c r="I477" s="53">
        <f>(I466+I471)- I475</f>
        <v>-1643609.5800000019</v>
      </c>
      <c r="J477" s="53">
        <f>(J466+J471)- J475</f>
        <v>1674532.6500000001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v>25</v>
      </c>
      <c r="H491" s="154"/>
      <c r="I491" s="154">
        <v>20</v>
      </c>
      <c r="J491" s="154">
        <v>20</v>
      </c>
      <c r="K491" s="24" t="s">
        <v>288</v>
      </c>
      <c r="L491" s="24" t="s">
        <v>288</v>
      </c>
      <c r="N491" s="263"/>
    </row>
    <row r="492" spans="1:14" s="52" customFormat="1" ht="12.2" customHeight="1" x14ac:dyDescent="0.2">
      <c r="A492" s="22" t="s">
        <v>615</v>
      </c>
      <c r="B492" s="75">
        <v>20</v>
      </c>
      <c r="C492" s="115">
        <v>2</v>
      </c>
      <c r="D492" s="2" t="s">
        <v>432</v>
      </c>
      <c r="E492" s="115"/>
      <c r="F492" s="155" t="s">
        <v>1672</v>
      </c>
      <c r="G492" s="155" t="s">
        <v>1679</v>
      </c>
      <c r="H492" s="154"/>
      <c r="I492" s="359" t="s">
        <v>1674</v>
      </c>
      <c r="J492" s="359" t="s">
        <v>1676</v>
      </c>
      <c r="K492" s="24" t="s">
        <v>288</v>
      </c>
      <c r="L492" s="24" t="s">
        <v>288</v>
      </c>
      <c r="N492" s="263"/>
    </row>
    <row r="493" spans="1:14" s="52" customFormat="1" ht="12.2" customHeight="1" x14ac:dyDescent="0.2">
      <c r="A493" s="22" t="s">
        <v>616</v>
      </c>
      <c r="B493" s="75">
        <v>20</v>
      </c>
      <c r="C493" s="115">
        <v>3</v>
      </c>
      <c r="D493" s="2" t="s">
        <v>432</v>
      </c>
      <c r="E493" s="115"/>
      <c r="F493" s="155" t="s">
        <v>1673</v>
      </c>
      <c r="G493" s="155" t="s">
        <v>1678</v>
      </c>
      <c r="H493" s="154"/>
      <c r="I493" s="359" t="s">
        <v>1675</v>
      </c>
      <c r="J493" s="359" t="s">
        <v>1677</v>
      </c>
      <c r="K493" s="24" t="s">
        <v>288</v>
      </c>
      <c r="L493" s="24" t="s">
        <v>288</v>
      </c>
      <c r="N493" s="263"/>
    </row>
    <row r="494" spans="1:14" s="52" customFormat="1" ht="12.2" customHeight="1" x14ac:dyDescent="0.2">
      <c r="A494" s="22" t="s">
        <v>617</v>
      </c>
      <c r="B494" s="75">
        <v>20</v>
      </c>
      <c r="C494" s="115">
        <v>4</v>
      </c>
      <c r="D494" s="2" t="s">
        <v>432</v>
      </c>
      <c r="E494" s="115"/>
      <c r="F494" s="18">
        <v>1500000</v>
      </c>
      <c r="G494" s="18">
        <v>23041800</v>
      </c>
      <c r="H494" s="18"/>
      <c r="I494" s="18">
        <v>2300000</v>
      </c>
      <c r="J494" s="18">
        <v>20406711</v>
      </c>
      <c r="K494" s="24" t="s">
        <v>288</v>
      </c>
      <c r="L494" s="24" t="s">
        <v>288</v>
      </c>
      <c r="N494" s="263"/>
    </row>
    <row r="495" spans="1:14" s="52" customFormat="1" ht="12.2" customHeight="1" x14ac:dyDescent="0.2">
      <c r="A495" s="22" t="s">
        <v>618</v>
      </c>
      <c r="B495" s="75">
        <v>20</v>
      </c>
      <c r="C495" s="115">
        <v>5</v>
      </c>
      <c r="D495" s="2" t="s">
        <v>432</v>
      </c>
      <c r="E495" s="115"/>
      <c r="F495" s="18">
        <v>1.88</v>
      </c>
      <c r="G495" s="18">
        <v>1.97</v>
      </c>
      <c r="H495" s="18"/>
      <c r="I495" s="18">
        <v>4.22</v>
      </c>
      <c r="J495" s="18">
        <v>4.09</v>
      </c>
      <c r="K495" s="24" t="s">
        <v>288</v>
      </c>
      <c r="L495" s="24" t="s">
        <v>288</v>
      </c>
      <c r="N495" s="263"/>
    </row>
    <row r="496" spans="1:14" s="52" customFormat="1" ht="12.2" customHeight="1" x14ac:dyDescent="0.2">
      <c r="A496" s="22" t="s">
        <v>619</v>
      </c>
      <c r="B496" s="75">
        <v>20</v>
      </c>
      <c r="C496" s="115">
        <v>6</v>
      </c>
      <c r="D496" s="2" t="s">
        <v>432</v>
      </c>
      <c r="E496" s="115"/>
      <c r="F496" s="18">
        <v>1050000</v>
      </c>
      <c r="G496" s="18">
        <v>0</v>
      </c>
      <c r="H496" s="18"/>
      <c r="I496" s="18">
        <v>230000</v>
      </c>
      <c r="J496" s="18">
        <v>3060000</v>
      </c>
      <c r="K496" s="53">
        <f>SUM(F496:J496)</f>
        <v>4340000</v>
      </c>
      <c r="L496" s="24" t="s">
        <v>288</v>
      </c>
      <c r="N496" s="263"/>
    </row>
    <row r="497" spans="1:14" s="52" customFormat="1" ht="12.2" customHeight="1" x14ac:dyDescent="0.2">
      <c r="A497" s="22" t="s">
        <v>620</v>
      </c>
      <c r="B497" s="75">
        <v>20</v>
      </c>
      <c r="C497" s="115">
        <v>7</v>
      </c>
      <c r="D497" s="2" t="s">
        <v>432</v>
      </c>
      <c r="E497" s="115"/>
      <c r="F497" s="18"/>
      <c r="G497" s="18">
        <v>23041800</v>
      </c>
      <c r="H497" s="18"/>
      <c r="I497" s="18"/>
      <c r="J497" s="18"/>
      <c r="K497" s="53">
        <f t="shared" ref="K497:K504" si="35">SUM(F497:J497)</f>
        <v>23041800</v>
      </c>
      <c r="L497" s="24" t="s">
        <v>288</v>
      </c>
      <c r="N497" s="263"/>
    </row>
    <row r="498" spans="1:14" s="52" customFormat="1" ht="12.2" customHeight="1" x14ac:dyDescent="0.2">
      <c r="A498" s="22" t="s">
        <v>621</v>
      </c>
      <c r="B498" s="75">
        <v>20</v>
      </c>
      <c r="C498" s="115">
        <v>8</v>
      </c>
      <c r="D498" s="2" t="s">
        <v>432</v>
      </c>
      <c r="E498" s="115"/>
      <c r="F498" s="18">
        <v>150000</v>
      </c>
      <c r="G498" s="18">
        <v>0</v>
      </c>
      <c r="H498" s="18"/>
      <c r="I498" s="18">
        <v>115000</v>
      </c>
      <c r="J498" s="18">
        <v>1020000</v>
      </c>
      <c r="K498" s="53">
        <f t="shared" si="35"/>
        <v>1285000</v>
      </c>
      <c r="L498" s="24" t="s">
        <v>288</v>
      </c>
      <c r="N498" s="263"/>
    </row>
    <row r="499" spans="1:14" s="52" customFormat="1" ht="12.2" customHeight="1" x14ac:dyDescent="0.2">
      <c r="A499" s="200" t="s">
        <v>622</v>
      </c>
      <c r="B499" s="201">
        <v>20</v>
      </c>
      <c r="C499" s="202">
        <v>9</v>
      </c>
      <c r="D499" s="203" t="s">
        <v>432</v>
      </c>
      <c r="E499" s="202"/>
      <c r="F499" s="204">
        <v>900000</v>
      </c>
      <c r="G499" s="204">
        <v>23041800</v>
      </c>
      <c r="H499" s="204"/>
      <c r="I499" s="204">
        <v>115000</v>
      </c>
      <c r="J499" s="204">
        <v>2040000</v>
      </c>
      <c r="K499" s="205">
        <f t="shared" si="35"/>
        <v>26096800</v>
      </c>
      <c r="L499" s="206" t="s">
        <v>288</v>
      </c>
      <c r="N499" s="263"/>
    </row>
    <row r="500" spans="1:14" s="52" customFormat="1" ht="12.2" customHeight="1" thickBot="1" x14ac:dyDescent="0.25">
      <c r="A500" s="22" t="s">
        <v>623</v>
      </c>
      <c r="B500" s="75">
        <v>20</v>
      </c>
      <c r="C500" s="115">
        <v>10</v>
      </c>
      <c r="D500" s="2" t="s">
        <v>432</v>
      </c>
      <c r="E500" s="115"/>
      <c r="F500" s="18"/>
      <c r="G500" s="18">
        <v>8768719.1099999994</v>
      </c>
      <c r="H500" s="18"/>
      <c r="I500" s="18"/>
      <c r="J500" s="18"/>
      <c r="K500" s="53">
        <f t="shared" si="35"/>
        <v>8768719.1099999994</v>
      </c>
      <c r="L500" s="24" t="s">
        <v>288</v>
      </c>
      <c r="N500" s="263"/>
    </row>
    <row r="501" spans="1:14" s="52" customFormat="1" ht="12.2" customHeight="1" thickTop="1" x14ac:dyDescent="0.2">
      <c r="A501" s="139" t="s">
        <v>624</v>
      </c>
      <c r="B501" s="44">
        <v>20</v>
      </c>
      <c r="C501" s="195">
        <v>11</v>
      </c>
      <c r="D501" s="39" t="s">
        <v>432</v>
      </c>
      <c r="E501" s="195"/>
      <c r="F501" s="42">
        <f>SUM(F499:F500)</f>
        <v>900000</v>
      </c>
      <c r="G501" s="42">
        <f>SUM(G499:G500)</f>
        <v>31810519.109999999</v>
      </c>
      <c r="H501" s="42">
        <f>SUM(H499:H500)</f>
        <v>0</v>
      </c>
      <c r="I501" s="42">
        <f>SUM(I499:I500)</f>
        <v>115000</v>
      </c>
      <c r="J501" s="42">
        <f>SUM(J499:J500)</f>
        <v>2040000</v>
      </c>
      <c r="K501" s="42">
        <f t="shared" si="35"/>
        <v>34865519.109999999</v>
      </c>
      <c r="L501" s="45" t="s">
        <v>288</v>
      </c>
      <c r="N501" s="263"/>
    </row>
    <row r="502" spans="1:14" s="52" customFormat="1" ht="12.2" customHeight="1" x14ac:dyDescent="0.2">
      <c r="A502" s="200" t="s">
        <v>651</v>
      </c>
      <c r="B502" s="201">
        <v>20</v>
      </c>
      <c r="C502" s="202">
        <v>12</v>
      </c>
      <c r="D502" s="203" t="s">
        <v>432</v>
      </c>
      <c r="E502" s="202"/>
      <c r="F502" s="204">
        <v>150000</v>
      </c>
      <c r="G502" s="204">
        <v>0</v>
      </c>
      <c r="H502" s="204"/>
      <c r="I502" s="204">
        <v>115000</v>
      </c>
      <c r="J502" s="204">
        <v>1020000</v>
      </c>
      <c r="K502" s="205">
        <f t="shared" si="35"/>
        <v>1285000</v>
      </c>
      <c r="L502" s="206" t="s">
        <v>288</v>
      </c>
      <c r="N502" s="263"/>
    </row>
    <row r="503" spans="1:14" s="52" customFormat="1" ht="12.2" customHeight="1" thickBot="1" x14ac:dyDescent="0.25">
      <c r="A503" s="22" t="s">
        <v>625</v>
      </c>
      <c r="B503" s="75">
        <v>20</v>
      </c>
      <c r="C503" s="115">
        <v>13</v>
      </c>
      <c r="D503" s="2" t="s">
        <v>432</v>
      </c>
      <c r="E503" s="115"/>
      <c r="F503" s="18">
        <v>16920</v>
      </c>
      <c r="G503" s="18">
        <v>703238.06</v>
      </c>
      <c r="H503" s="18"/>
      <c r="I503" s="18">
        <v>2702.5</v>
      </c>
      <c r="J503" s="18">
        <v>71400</v>
      </c>
      <c r="K503" s="53">
        <f t="shared" si="35"/>
        <v>794260.56</v>
      </c>
      <c r="L503" s="24" t="s">
        <v>288</v>
      </c>
      <c r="N503" s="263"/>
    </row>
    <row r="504" spans="1:14" s="52" customFormat="1" ht="12.2" customHeight="1" thickTop="1" x14ac:dyDescent="0.2">
      <c r="A504" s="139" t="s">
        <v>626</v>
      </c>
      <c r="B504" s="44">
        <v>20</v>
      </c>
      <c r="C504" s="195">
        <v>14</v>
      </c>
      <c r="D504" s="39" t="s">
        <v>432</v>
      </c>
      <c r="E504" s="195"/>
      <c r="F504" s="42">
        <f>SUM(F502:F503)</f>
        <v>166920</v>
      </c>
      <c r="G504" s="42">
        <f>SUM(G502:G503)</f>
        <v>703238.06</v>
      </c>
      <c r="H504" s="42">
        <f>SUM(H502:H503)</f>
        <v>0</v>
      </c>
      <c r="I504" s="42">
        <f>SUM(I502:I503)</f>
        <v>117702.5</v>
      </c>
      <c r="J504" s="42">
        <f>SUM(J502:J503)</f>
        <v>1091400</v>
      </c>
      <c r="K504" s="42">
        <f t="shared" si="35"/>
        <v>2079260.56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1147992.4099999999</v>
      </c>
      <c r="G522" s="18">
        <v>414563.06999999995</v>
      </c>
      <c r="H522" s="18">
        <v>359797.88</v>
      </c>
      <c r="I522" s="18">
        <v>6364.4400000000005</v>
      </c>
      <c r="J522" s="18">
        <v>89.99</v>
      </c>
      <c r="K522" s="18">
        <v>4000.21</v>
      </c>
      <c r="L522" s="88">
        <f>SUM(F522:K522)</f>
        <v>1932807.9999999998</v>
      </c>
      <c r="N522" s="263"/>
    </row>
    <row r="523" spans="1:14" s="52" customFormat="1" ht="12.2" customHeight="1" x14ac:dyDescent="0.2">
      <c r="A523" s="22" t="s">
        <v>634</v>
      </c>
      <c r="B523" s="105">
        <v>21</v>
      </c>
      <c r="C523" s="115">
        <v>2</v>
      </c>
      <c r="D523" s="2" t="s">
        <v>432</v>
      </c>
      <c r="E523" s="115"/>
      <c r="F523" s="18">
        <v>1524798.5</v>
      </c>
      <c r="G523" s="18">
        <v>716225.69999999984</v>
      </c>
      <c r="H523" s="18">
        <v>297597.61</v>
      </c>
      <c r="I523" s="18">
        <v>17575.03</v>
      </c>
      <c r="J523" s="18">
        <v>0</v>
      </c>
      <c r="K523" s="18">
        <v>4119.1499999999996</v>
      </c>
      <c r="L523" s="88">
        <f>SUM(F523:K523)</f>
        <v>2560315.9899999993</v>
      </c>
      <c r="N523" s="263"/>
    </row>
    <row r="524" spans="1:14" s="52" customFormat="1" ht="12.2" customHeight="1" thickBot="1" x14ac:dyDescent="0.25">
      <c r="A524" s="22" t="s">
        <v>635</v>
      </c>
      <c r="B524" s="105">
        <v>21</v>
      </c>
      <c r="C524" s="115">
        <v>3</v>
      </c>
      <c r="D524" s="2" t="s">
        <v>432</v>
      </c>
      <c r="E524" s="115"/>
      <c r="F524" s="18">
        <v>1328340.0199999998</v>
      </c>
      <c r="G524" s="18">
        <v>647527.75999999978</v>
      </c>
      <c r="H524" s="18">
        <v>409380.2</v>
      </c>
      <c r="I524" s="18">
        <v>7336.3</v>
      </c>
      <c r="J524" s="18">
        <v>318.82</v>
      </c>
      <c r="K524" s="18">
        <v>5227.1899999999996</v>
      </c>
      <c r="L524" s="88">
        <f>SUM(F524:K524)</f>
        <v>2398130.2899999991</v>
      </c>
      <c r="N524" s="263"/>
    </row>
    <row r="525" spans="1:14" s="52" customFormat="1" ht="12.2" customHeight="1" thickTop="1" x14ac:dyDescent="0.2">
      <c r="A525" s="139" t="s">
        <v>63</v>
      </c>
      <c r="B525" s="107">
        <v>21</v>
      </c>
      <c r="C525" s="195">
        <v>4</v>
      </c>
      <c r="D525" s="196" t="s">
        <v>432</v>
      </c>
      <c r="E525" s="195"/>
      <c r="F525" s="108">
        <f>SUM(F522:F524)</f>
        <v>4001130.9299999997</v>
      </c>
      <c r="G525" s="108">
        <f t="shared" ref="G525:L525" si="36">SUM(G522:G524)</f>
        <v>1778316.5299999996</v>
      </c>
      <c r="H525" s="108">
        <f t="shared" si="36"/>
        <v>1066775.69</v>
      </c>
      <c r="I525" s="108">
        <f t="shared" si="36"/>
        <v>31275.77</v>
      </c>
      <c r="J525" s="108">
        <f t="shared" si="36"/>
        <v>408.81</v>
      </c>
      <c r="K525" s="108">
        <f t="shared" si="36"/>
        <v>13346.55</v>
      </c>
      <c r="L525" s="89">
        <f t="shared" si="36"/>
        <v>6891254.2799999984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454366.68</v>
      </c>
      <c r="G527" s="18">
        <v>221246.55000000002</v>
      </c>
      <c r="H527" s="18">
        <v>200715.3</v>
      </c>
      <c r="I527" s="18">
        <v>6901.29</v>
      </c>
      <c r="J527" s="18">
        <v>59.98</v>
      </c>
      <c r="K527" s="18"/>
      <c r="L527" s="88">
        <f>SUM(F527:K527)</f>
        <v>883289.8</v>
      </c>
      <c r="M527" s="8"/>
      <c r="N527" s="264"/>
    </row>
    <row r="528" spans="1:14" s="3" customFormat="1" ht="12.2" customHeight="1" x14ac:dyDescent="0.15">
      <c r="A528" s="22" t="s">
        <v>634</v>
      </c>
      <c r="B528" s="105">
        <v>21</v>
      </c>
      <c r="C528" s="115">
        <v>6</v>
      </c>
      <c r="D528" s="2" t="s">
        <v>432</v>
      </c>
      <c r="E528" s="115"/>
      <c r="F528" s="18">
        <v>223942</v>
      </c>
      <c r="G528" s="18">
        <v>134372.58000000002</v>
      </c>
      <c r="H528" s="18">
        <v>207243.28999999998</v>
      </c>
      <c r="I528" s="18">
        <v>3003.51</v>
      </c>
      <c r="J528" s="18">
        <v>70</v>
      </c>
      <c r="K528" s="18"/>
      <c r="L528" s="88">
        <f>SUM(F528:K528)</f>
        <v>568631.38</v>
      </c>
      <c r="M528" s="8"/>
      <c r="N528" s="264"/>
    </row>
    <row r="529" spans="1:14" s="3" customFormat="1" ht="12.2" customHeight="1" thickBot="1" x14ac:dyDescent="0.2">
      <c r="A529" s="22" t="s">
        <v>635</v>
      </c>
      <c r="B529" s="118">
        <v>21</v>
      </c>
      <c r="C529" s="118">
        <v>7</v>
      </c>
      <c r="D529" s="2" t="s">
        <v>432</v>
      </c>
      <c r="E529" s="118"/>
      <c r="F529" s="18">
        <v>306257.24</v>
      </c>
      <c r="G529" s="18">
        <v>149548.97</v>
      </c>
      <c r="H529" s="18">
        <v>262915.92</v>
      </c>
      <c r="I529" s="18">
        <v>2382.81</v>
      </c>
      <c r="J529" s="18">
        <v>919.99</v>
      </c>
      <c r="K529" s="18"/>
      <c r="L529" s="88">
        <f>SUM(F529:K529)</f>
        <v>722024.92999999993</v>
      </c>
      <c r="M529" s="8"/>
      <c r="N529" s="264"/>
    </row>
    <row r="530" spans="1:14" s="3" customFormat="1" ht="12.2" customHeight="1" thickTop="1" x14ac:dyDescent="0.15">
      <c r="A530" s="139" t="s">
        <v>65</v>
      </c>
      <c r="B530" s="107">
        <v>21</v>
      </c>
      <c r="C530" s="107">
        <v>8</v>
      </c>
      <c r="D530" s="158" t="s">
        <v>432</v>
      </c>
      <c r="E530" s="107"/>
      <c r="F530" s="89">
        <f>SUM(F527:F529)</f>
        <v>984565.91999999993</v>
      </c>
      <c r="G530" s="89">
        <f t="shared" ref="G530:L530" si="37">SUM(G527:G529)</f>
        <v>505168.1</v>
      </c>
      <c r="H530" s="89">
        <f t="shared" si="37"/>
        <v>670874.51</v>
      </c>
      <c r="I530" s="89">
        <f t="shared" si="37"/>
        <v>12287.609999999999</v>
      </c>
      <c r="J530" s="89">
        <f t="shared" si="37"/>
        <v>1049.97</v>
      </c>
      <c r="K530" s="89">
        <f t="shared" si="37"/>
        <v>0</v>
      </c>
      <c r="L530" s="89">
        <f t="shared" si="37"/>
        <v>2173946.1100000003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147036.95000000001</v>
      </c>
      <c r="G532" s="18">
        <v>79038.709999999992</v>
      </c>
      <c r="H532" s="18">
        <v>2847.19</v>
      </c>
      <c r="I532" s="18">
        <v>186.64</v>
      </c>
      <c r="J532" s="18">
        <v>0</v>
      </c>
      <c r="K532" s="18">
        <v>843.71</v>
      </c>
      <c r="L532" s="88">
        <f>SUM(F532:K532)</f>
        <v>229953.2</v>
      </c>
      <c r="M532" s="8"/>
      <c r="N532" s="264"/>
    </row>
    <row r="533" spans="1:14" s="3" customFormat="1" ht="12.2" customHeight="1" x14ac:dyDescent="0.15">
      <c r="A533" s="22" t="s">
        <v>634</v>
      </c>
      <c r="B533" s="105">
        <v>21</v>
      </c>
      <c r="C533" s="105">
        <v>10</v>
      </c>
      <c r="D533" s="2" t="s">
        <v>432</v>
      </c>
      <c r="E533" s="105"/>
      <c r="F533" s="18">
        <v>150696.54</v>
      </c>
      <c r="G533" s="18">
        <v>80310.069999999992</v>
      </c>
      <c r="H533" s="18">
        <v>2931.85</v>
      </c>
      <c r="I533" s="18">
        <v>192.19</v>
      </c>
      <c r="J533" s="18">
        <v>0</v>
      </c>
      <c r="K533" s="18">
        <v>868.79</v>
      </c>
      <c r="L533" s="88">
        <f>SUM(F533:K533)</f>
        <v>234999.44</v>
      </c>
      <c r="M533" s="8"/>
      <c r="N533" s="264"/>
    </row>
    <row r="534" spans="1:14" s="3" customFormat="1" ht="12.2" customHeight="1" thickBot="1" x14ac:dyDescent="0.2">
      <c r="A534" s="22" t="s">
        <v>635</v>
      </c>
      <c r="B534" s="105">
        <v>21</v>
      </c>
      <c r="C534" s="105">
        <v>11</v>
      </c>
      <c r="D534" s="2" t="s">
        <v>432</v>
      </c>
      <c r="E534" s="105"/>
      <c r="F534" s="18">
        <v>165598.04999999999</v>
      </c>
      <c r="G534" s="18">
        <v>86789.7</v>
      </c>
      <c r="H534" s="18">
        <v>3720.5200000000004</v>
      </c>
      <c r="I534" s="18">
        <v>243.89</v>
      </c>
      <c r="J534" s="18">
        <v>0</v>
      </c>
      <c r="K534" s="18">
        <v>1102.5</v>
      </c>
      <c r="L534" s="88">
        <f>SUM(F534:K534)</f>
        <v>257454.66</v>
      </c>
      <c r="M534" s="8"/>
      <c r="N534" s="264"/>
    </row>
    <row r="535" spans="1:14" s="3" customFormat="1" ht="12.2" customHeight="1" thickTop="1" x14ac:dyDescent="0.15">
      <c r="A535" s="139" t="s">
        <v>67</v>
      </c>
      <c r="B535" s="107">
        <v>21</v>
      </c>
      <c r="C535" s="107">
        <v>12</v>
      </c>
      <c r="D535" s="158" t="s">
        <v>432</v>
      </c>
      <c r="E535" s="107"/>
      <c r="F535" s="89">
        <f>SUM(F532:F534)</f>
        <v>463331.54</v>
      </c>
      <c r="G535" s="89">
        <f t="shared" ref="G535:L535" si="38">SUM(G532:G534)</f>
        <v>246138.47999999998</v>
      </c>
      <c r="H535" s="89">
        <f t="shared" si="38"/>
        <v>9499.5600000000013</v>
      </c>
      <c r="I535" s="89">
        <f t="shared" si="38"/>
        <v>622.72</v>
      </c>
      <c r="J535" s="89">
        <f t="shared" si="38"/>
        <v>0</v>
      </c>
      <c r="K535" s="89">
        <f t="shared" si="38"/>
        <v>2815</v>
      </c>
      <c r="L535" s="89">
        <f t="shared" si="38"/>
        <v>722407.3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6872.39</v>
      </c>
      <c r="I537" s="18"/>
      <c r="J537" s="18"/>
      <c r="K537" s="18"/>
      <c r="L537" s="88">
        <f>SUM(F537:K537)</f>
        <v>6872.39</v>
      </c>
      <c r="M537" s="8"/>
      <c r="N537" s="264"/>
    </row>
    <row r="538" spans="1:14" s="3" customFormat="1" ht="12.2" customHeight="1" x14ac:dyDescent="0.15">
      <c r="A538" s="22" t="s">
        <v>634</v>
      </c>
      <c r="B538" s="105">
        <v>21</v>
      </c>
      <c r="C538" s="105">
        <v>14</v>
      </c>
      <c r="D538" s="2" t="s">
        <v>432</v>
      </c>
      <c r="E538" s="105"/>
      <c r="F538" s="18"/>
      <c r="G538" s="18"/>
      <c r="H538" s="18">
        <v>7076.73</v>
      </c>
      <c r="I538" s="18"/>
      <c r="J538" s="18"/>
      <c r="K538" s="18"/>
      <c r="L538" s="88">
        <f>SUM(F538:K538)</f>
        <v>7076.73</v>
      </c>
      <c r="M538" s="8"/>
      <c r="N538" s="264"/>
    </row>
    <row r="539" spans="1:14" s="3" customFormat="1" ht="12.2" customHeight="1" thickBot="1" x14ac:dyDescent="0.2">
      <c r="A539" s="22" t="s">
        <v>635</v>
      </c>
      <c r="B539" s="105">
        <v>21</v>
      </c>
      <c r="C539" s="105">
        <v>15</v>
      </c>
      <c r="D539" s="2" t="s">
        <v>432</v>
      </c>
      <c r="E539" s="105"/>
      <c r="F539" s="18"/>
      <c r="G539" s="18"/>
      <c r="H539" s="18">
        <v>8980.36</v>
      </c>
      <c r="I539" s="18"/>
      <c r="J539" s="18"/>
      <c r="K539" s="18"/>
      <c r="L539" s="88">
        <f>SUM(F539:K539)</f>
        <v>8980.36</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22929.48</v>
      </c>
      <c r="I540" s="89">
        <f t="shared" si="39"/>
        <v>0</v>
      </c>
      <c r="J540" s="89">
        <f t="shared" si="39"/>
        <v>0</v>
      </c>
      <c r="K540" s="89">
        <f t="shared" si="39"/>
        <v>0</v>
      </c>
      <c r="L540" s="89">
        <f t="shared" si="39"/>
        <v>22929.48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33849.769999999997</v>
      </c>
      <c r="G542" s="18">
        <v>30593.200000000001</v>
      </c>
      <c r="H542" s="18">
        <v>2145.67</v>
      </c>
      <c r="I542" s="18">
        <v>3264.5</v>
      </c>
      <c r="J542" s="18"/>
      <c r="K542" s="18"/>
      <c r="L542" s="88">
        <f>SUM(F542:K542)</f>
        <v>69853.14</v>
      </c>
      <c r="M542" s="8"/>
      <c r="N542" s="264"/>
    </row>
    <row r="543" spans="1:14" s="3" customFormat="1" ht="12.2" customHeight="1" x14ac:dyDescent="0.15">
      <c r="A543" s="22" t="s">
        <v>634</v>
      </c>
      <c r="B543" s="105">
        <v>21</v>
      </c>
      <c r="C543" s="105">
        <v>18</v>
      </c>
      <c r="D543" s="2" t="s">
        <v>432</v>
      </c>
      <c r="E543" s="105"/>
      <c r="F543" s="18">
        <v>34856.25</v>
      </c>
      <c r="G543" s="18">
        <v>31502.85</v>
      </c>
      <c r="H543" s="18">
        <v>2209.4699999999998</v>
      </c>
      <c r="I543" s="18">
        <v>3361.57</v>
      </c>
      <c r="J543" s="18"/>
      <c r="K543" s="18"/>
      <c r="L543" s="88">
        <f>SUM(F543:K543)</f>
        <v>71930.140000000014</v>
      </c>
      <c r="M543" s="8"/>
      <c r="N543" s="264"/>
    </row>
    <row r="544" spans="1:14" s="3" customFormat="1" ht="12.2" customHeight="1" thickBot="1" x14ac:dyDescent="0.2">
      <c r="A544" s="22" t="s">
        <v>635</v>
      </c>
      <c r="B544" s="105">
        <v>21</v>
      </c>
      <c r="C544" s="105">
        <v>19</v>
      </c>
      <c r="D544" s="2" t="s">
        <v>432</v>
      </c>
      <c r="E544" s="105"/>
      <c r="F544" s="18">
        <v>44232.480000000003</v>
      </c>
      <c r="G544" s="18">
        <v>39977.03</v>
      </c>
      <c r="H544" s="18">
        <v>2803.7999999999997</v>
      </c>
      <c r="I544" s="18">
        <v>4265.83</v>
      </c>
      <c r="J544" s="18"/>
      <c r="K544" s="18"/>
      <c r="L544" s="88">
        <f>SUM(F544:K544)</f>
        <v>91279.140000000014</v>
      </c>
      <c r="M544" s="8"/>
      <c r="N544" s="264"/>
    </row>
    <row r="545" spans="1:14" s="3" customFormat="1" ht="12.2" customHeight="1" thickTop="1" thickBot="1" x14ac:dyDescent="0.2">
      <c r="A545" s="130" t="s">
        <v>71</v>
      </c>
      <c r="B545" s="191">
        <v>21</v>
      </c>
      <c r="C545" s="191">
        <v>20</v>
      </c>
      <c r="D545" s="192" t="s">
        <v>432</v>
      </c>
      <c r="E545" s="191"/>
      <c r="F545" s="193">
        <f>SUM(F542:F544)</f>
        <v>112938.5</v>
      </c>
      <c r="G545" s="193">
        <f t="shared" ref="G545:L545" si="40">SUM(G542:G544)</f>
        <v>102073.08</v>
      </c>
      <c r="H545" s="193">
        <f t="shared" si="40"/>
        <v>7158.9399999999987</v>
      </c>
      <c r="I545" s="193">
        <f t="shared" si="40"/>
        <v>10891.9</v>
      </c>
      <c r="J545" s="193">
        <f t="shared" si="40"/>
        <v>0</v>
      </c>
      <c r="K545" s="193">
        <f t="shared" si="40"/>
        <v>0</v>
      </c>
      <c r="L545" s="193">
        <f t="shared" si="40"/>
        <v>233062.42000000004</v>
      </c>
      <c r="M545" s="8"/>
      <c r="N545" s="264"/>
    </row>
    <row r="546" spans="1:14" s="3" customFormat="1" ht="12.2" customHeight="1" thickTop="1" x14ac:dyDescent="0.15">
      <c r="A546" s="98" t="s">
        <v>72</v>
      </c>
      <c r="B546" s="107">
        <v>21</v>
      </c>
      <c r="C546" s="107">
        <v>21</v>
      </c>
      <c r="D546" s="158" t="s">
        <v>432</v>
      </c>
      <c r="E546" s="107"/>
      <c r="F546" s="89">
        <f>F525+F530+F535+F540+F545</f>
        <v>5561966.8899999997</v>
      </c>
      <c r="G546" s="89">
        <f t="shared" ref="G546:L546" si="41">G525+G530+G535+G540+G545</f>
        <v>2631696.1899999995</v>
      </c>
      <c r="H546" s="89">
        <f t="shared" si="41"/>
        <v>1777238.18</v>
      </c>
      <c r="I546" s="89">
        <f t="shared" si="41"/>
        <v>55078</v>
      </c>
      <c r="J546" s="89">
        <f t="shared" si="41"/>
        <v>1458.78</v>
      </c>
      <c r="K546" s="89">
        <f t="shared" si="41"/>
        <v>16161.55</v>
      </c>
      <c r="L546" s="89">
        <f t="shared" si="41"/>
        <v>10043599.59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1932807.9999999998</v>
      </c>
      <c r="G550" s="87">
        <f>L527</f>
        <v>883289.8</v>
      </c>
      <c r="H550" s="87">
        <f>L532</f>
        <v>229953.2</v>
      </c>
      <c r="I550" s="87">
        <f>L537</f>
        <v>6872.39</v>
      </c>
      <c r="J550" s="87">
        <f>L542</f>
        <v>69853.14</v>
      </c>
      <c r="K550" s="87">
        <f>SUM(F550:J550)</f>
        <v>3122776.5300000003</v>
      </c>
      <c r="L550" s="24" t="s">
        <v>288</v>
      </c>
      <c r="M550" s="8"/>
      <c r="N550" s="264"/>
    </row>
    <row r="551" spans="1:14" s="3" customFormat="1" ht="12.2" customHeight="1" x14ac:dyDescent="0.15">
      <c r="A551" s="22" t="s">
        <v>634</v>
      </c>
      <c r="B551" s="75">
        <v>21</v>
      </c>
      <c r="C551" s="75">
        <v>23</v>
      </c>
      <c r="D551" s="2" t="s">
        <v>432</v>
      </c>
      <c r="E551" s="75"/>
      <c r="F551" s="87">
        <f>L523</f>
        <v>2560315.9899999993</v>
      </c>
      <c r="G551" s="87">
        <f>L528</f>
        <v>568631.38</v>
      </c>
      <c r="H551" s="87">
        <f>L533</f>
        <v>234999.44</v>
      </c>
      <c r="I551" s="87">
        <f>L538</f>
        <v>7076.73</v>
      </c>
      <c r="J551" s="87">
        <f>L543</f>
        <v>71930.140000000014</v>
      </c>
      <c r="K551" s="87">
        <f>SUM(F551:J551)</f>
        <v>3442953.6799999992</v>
      </c>
      <c r="L551" s="24" t="s">
        <v>288</v>
      </c>
      <c r="M551" s="8"/>
      <c r="N551" s="264"/>
    </row>
    <row r="552" spans="1:14" s="3" customFormat="1" ht="12.2" customHeight="1" thickBot="1" x14ac:dyDescent="0.2">
      <c r="A552" s="22" t="s">
        <v>635</v>
      </c>
      <c r="B552" s="75">
        <v>21</v>
      </c>
      <c r="C552" s="75">
        <v>24</v>
      </c>
      <c r="D552" s="2" t="s">
        <v>432</v>
      </c>
      <c r="E552" s="75"/>
      <c r="F552" s="87">
        <f>L524</f>
        <v>2398130.2899999991</v>
      </c>
      <c r="G552" s="87">
        <f>L529</f>
        <v>722024.92999999993</v>
      </c>
      <c r="H552" s="87">
        <f>L534</f>
        <v>257454.66</v>
      </c>
      <c r="I552" s="87">
        <f>L539</f>
        <v>8980.36</v>
      </c>
      <c r="J552" s="87">
        <f>L544</f>
        <v>91279.140000000014</v>
      </c>
      <c r="K552" s="87">
        <f>SUM(F552:J552)</f>
        <v>3477869.379999999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6891254.2799999984</v>
      </c>
      <c r="G553" s="89">
        <f t="shared" si="42"/>
        <v>2173946.1100000003</v>
      </c>
      <c r="H553" s="89">
        <f t="shared" si="42"/>
        <v>722407.3</v>
      </c>
      <c r="I553" s="89">
        <f t="shared" si="42"/>
        <v>22929.48</v>
      </c>
      <c r="J553" s="89">
        <f t="shared" si="42"/>
        <v>233062.42000000004</v>
      </c>
      <c r="K553" s="89">
        <f t="shared" si="42"/>
        <v>10043599.589999998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83037</v>
      </c>
      <c r="G563" s="18">
        <v>42732.9</v>
      </c>
      <c r="H563" s="18">
        <v>71332.100000000006</v>
      </c>
      <c r="I563" s="18"/>
      <c r="J563" s="18"/>
      <c r="K563" s="18"/>
      <c r="L563" s="88">
        <f>SUM(F563:K563)</f>
        <v>197102</v>
      </c>
      <c r="M563" s="8"/>
      <c r="N563" s="264"/>
    </row>
    <row r="564" spans="1:14" s="3" customFormat="1" ht="12.2" customHeight="1" x14ac:dyDescent="0.15">
      <c r="A564" s="22" t="s">
        <v>634</v>
      </c>
      <c r="B564" s="105">
        <v>22</v>
      </c>
      <c r="C564" s="115">
        <v>6</v>
      </c>
      <c r="D564" s="2" t="s">
        <v>432</v>
      </c>
      <c r="E564" s="115"/>
      <c r="F564" s="18"/>
      <c r="G564" s="18"/>
      <c r="H564" s="18">
        <v>28533.02</v>
      </c>
      <c r="I564" s="18"/>
      <c r="J564" s="18"/>
      <c r="K564" s="18"/>
      <c r="L564" s="88">
        <f>SUM(F564:K564)</f>
        <v>28533.02</v>
      </c>
      <c r="M564" s="8"/>
      <c r="N564" s="264"/>
    </row>
    <row r="565" spans="1:14" s="3" customFormat="1" ht="12.2" customHeight="1" thickBot="1" x14ac:dyDescent="0.2">
      <c r="A565" s="22" t="s">
        <v>635</v>
      </c>
      <c r="B565" s="105">
        <v>22</v>
      </c>
      <c r="C565" s="118">
        <v>7</v>
      </c>
      <c r="D565" s="2" t="s">
        <v>432</v>
      </c>
      <c r="E565" s="118"/>
      <c r="F565" s="18"/>
      <c r="G565" s="18"/>
      <c r="H565" s="18">
        <v>28533.02</v>
      </c>
      <c r="I565" s="18"/>
      <c r="J565" s="18"/>
      <c r="K565" s="18"/>
      <c r="L565" s="88">
        <f>SUM(F565:K565)</f>
        <v>28533.02</v>
      </c>
      <c r="M565" s="8"/>
      <c r="N565" s="264"/>
    </row>
    <row r="566" spans="1:14" s="3" customFormat="1" ht="12.2" customHeight="1" thickTop="1" x14ac:dyDescent="0.15">
      <c r="A566" s="139" t="s">
        <v>65</v>
      </c>
      <c r="B566" s="107">
        <v>22</v>
      </c>
      <c r="C566" s="107">
        <v>8</v>
      </c>
      <c r="D566" s="196" t="s">
        <v>432</v>
      </c>
      <c r="E566" s="107"/>
      <c r="F566" s="89">
        <f t="shared" ref="F566:L566" si="44">SUM(F563:F565)</f>
        <v>83037</v>
      </c>
      <c r="G566" s="89">
        <f t="shared" si="44"/>
        <v>42732.9</v>
      </c>
      <c r="H566" s="89">
        <f t="shared" si="44"/>
        <v>128398.14000000001</v>
      </c>
      <c r="I566" s="89">
        <f t="shared" si="44"/>
        <v>0</v>
      </c>
      <c r="J566" s="89">
        <f t="shared" si="44"/>
        <v>0</v>
      </c>
      <c r="K566" s="89">
        <f t="shared" si="44"/>
        <v>0</v>
      </c>
      <c r="L566" s="89">
        <f t="shared" si="44"/>
        <v>254168.03999999998</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83037</v>
      </c>
      <c r="G572" s="89">
        <f t="shared" ref="G572:L572" si="46">G561+G566+G571</f>
        <v>42732.9</v>
      </c>
      <c r="H572" s="89">
        <f t="shared" si="46"/>
        <v>128398.14000000001</v>
      </c>
      <c r="I572" s="89">
        <f t="shared" si="46"/>
        <v>0</v>
      </c>
      <c r="J572" s="89">
        <f t="shared" si="46"/>
        <v>0</v>
      </c>
      <c r="K572" s="89">
        <f t="shared" si="46"/>
        <v>0</v>
      </c>
      <c r="L572" s="89">
        <f t="shared" si="46"/>
        <v>254168.03999999998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24815.55</v>
      </c>
      <c r="I578" s="87">
        <f t="shared" si="47"/>
        <v>24815.55</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40845</v>
      </c>
      <c r="I580" s="87">
        <f t="shared" si="47"/>
        <v>40845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428672.37</v>
      </c>
      <c r="G583" s="18">
        <v>79337.759999999995</v>
      </c>
      <c r="H583" s="18">
        <v>346772.07</v>
      </c>
      <c r="I583" s="87">
        <f t="shared" si="47"/>
        <v>854782.2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59818.52</v>
      </c>
      <c r="I585" s="87">
        <f t="shared" si="47"/>
        <v>59818.52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408986.95+337.31</f>
        <v>409324.26</v>
      </c>
      <c r="I592" s="18">
        <f>421147.75+347.32</f>
        <v>421495.07</v>
      </c>
      <c r="J592" s="18">
        <f>534522.18-684.63</f>
        <v>533837.55000000005</v>
      </c>
      <c r="K592" s="104">
        <f t="shared" ref="K592:K598" si="48">SUM(H592:J592)</f>
        <v>1364656.8800000001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69853.14</v>
      </c>
      <c r="I593" s="18">
        <v>71930.149999999994</v>
      </c>
      <c r="J593" s="18">
        <v>91279.13</v>
      </c>
      <c r="K593" s="104">
        <f t="shared" si="48"/>
        <v>233062.41999999998</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5360.01</v>
      </c>
      <c r="K594" s="104">
        <f t="shared" si="48"/>
        <v>5360.01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1125.3800000000001</v>
      </c>
      <c r="K595" s="104">
        <f t="shared" si="48"/>
        <v>1125.3800000000001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1065.6300000000001</v>
      </c>
      <c r="I596" s="18">
        <v>1097.32</v>
      </c>
      <c r="J596" s="18">
        <v>1392.49</v>
      </c>
      <c r="K596" s="104">
        <f t="shared" si="48"/>
        <v>3555.4399999999996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6385.71</v>
      </c>
      <c r="I598" s="18">
        <v>6575.58</v>
      </c>
      <c r="J598" s="18">
        <v>8344.4000000000015</v>
      </c>
      <c r="K598" s="104">
        <f t="shared" si="48"/>
        <v>21305.690000000002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486628.74000000005</v>
      </c>
      <c r="I599" s="108">
        <f>SUM(I592:I598)</f>
        <v>501098.12</v>
      </c>
      <c r="J599" s="108">
        <f>SUM(J592:J598)</f>
        <v>641338.96000000008</v>
      </c>
      <c r="K599" s="108">
        <f>SUM(K592:K598)</f>
        <v>1629065.8199999998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110369.29999999999</v>
      </c>
      <c r="I605" s="18">
        <v>300154.62</v>
      </c>
      <c r="J605" s="18">
        <v>215229.13</v>
      </c>
      <c r="K605" s="104">
        <f>SUM(H605:J605)</f>
        <v>625753.05000000005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110369.29999999999</v>
      </c>
      <c r="I606" s="108">
        <f>SUM(I603:I605)</f>
        <v>300154.62</v>
      </c>
      <c r="J606" s="108">
        <f>SUM(J603:J605)</f>
        <v>215229.13</v>
      </c>
      <c r="K606" s="108">
        <f>SUM(K603:K605)</f>
        <v>625753.05000000005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7358.01</v>
      </c>
      <c r="G612" s="18">
        <v>729.5200000000001</v>
      </c>
      <c r="H612" s="18"/>
      <c r="I612" s="18"/>
      <c r="J612" s="18"/>
      <c r="K612" s="18"/>
      <c r="L612" s="88">
        <f>SUM(F612:K612)</f>
        <v>8087.5300000000007</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v>8837.7199999999993</v>
      </c>
      <c r="G614" s="18">
        <v>2249.1999999999998</v>
      </c>
      <c r="H614" s="18"/>
      <c r="I614" s="18"/>
      <c r="J614" s="18"/>
      <c r="K614" s="18"/>
      <c r="L614" s="88">
        <f>SUM(F614:K614)</f>
        <v>11086.919999999998</v>
      </c>
      <c r="M614" s="8"/>
      <c r="N614" s="264"/>
    </row>
    <row r="615" spans="1:14" s="3" customFormat="1" ht="12.2" customHeight="1" thickTop="1" x14ac:dyDescent="0.15">
      <c r="A615" s="98" t="s">
        <v>340</v>
      </c>
      <c r="B615" s="107">
        <v>23</v>
      </c>
      <c r="C615" s="107">
        <v>16</v>
      </c>
      <c r="D615" s="39" t="s">
        <v>432</v>
      </c>
      <c r="E615" s="107"/>
      <c r="F615" s="108">
        <f t="shared" ref="F615:L615" si="49">SUM(F612:F614)</f>
        <v>16195.73</v>
      </c>
      <c r="G615" s="108">
        <f t="shared" si="49"/>
        <v>2978.72</v>
      </c>
      <c r="H615" s="108">
        <f t="shared" si="49"/>
        <v>0</v>
      </c>
      <c r="I615" s="108">
        <f t="shared" si="49"/>
        <v>0</v>
      </c>
      <c r="J615" s="108">
        <f t="shared" si="49"/>
        <v>0</v>
      </c>
      <c r="K615" s="108">
        <f t="shared" si="49"/>
        <v>0</v>
      </c>
      <c r="L615" s="89">
        <f t="shared" si="49"/>
        <v>19174.449999999997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3495279.5690000001</v>
      </c>
      <c r="H618" s="109">
        <f>SUM(F52)</f>
        <v>3495279.57</v>
      </c>
      <c r="I618" s="121" t="s">
        <v>875</v>
      </c>
      <c r="J618" s="109">
        <f>G618-H618</f>
        <v>-9.9999969825148582E-4</v>
      </c>
      <c r="K618" s="109"/>
      <c r="L618" s="109"/>
      <c r="M618" s="8"/>
    </row>
    <row r="619" spans="1:14" s="3" customFormat="1" ht="12.2" customHeight="1" x14ac:dyDescent="0.15">
      <c r="A619" s="97" t="s">
        <v>100</v>
      </c>
      <c r="B619" s="105"/>
      <c r="C619" s="105"/>
      <c r="D619" s="105"/>
      <c r="E619" s="105"/>
      <c r="F619" s="121" t="s">
        <v>684</v>
      </c>
      <c r="G619" s="109">
        <f>SUM(G19)</f>
        <v>57312.34</v>
      </c>
      <c r="H619" s="109">
        <f>SUM(G52)</f>
        <v>57312.340000000004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163930.09</v>
      </c>
      <c r="H620" s="109">
        <f>SUM(H52)</f>
        <v>163930.09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1119670.96</v>
      </c>
      <c r="H621" s="109">
        <f>SUM(I52)</f>
        <v>1119670.96</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1686483.65</v>
      </c>
      <c r="H622" s="109">
        <f>SUM(J52)</f>
        <v>1686483.65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2328033.88</v>
      </c>
      <c r="H623" s="109">
        <f>F477</f>
        <v>2328033.8799999878</v>
      </c>
      <c r="I623" s="121" t="s">
        <v>101</v>
      </c>
      <c r="J623" s="109">
        <f t="shared" ref="J623:J656" si="50">G623-H623</f>
        <v>1.2107193470001221E-8</v>
      </c>
      <c r="K623" s="109"/>
      <c r="L623" s="109"/>
      <c r="M623" s="8"/>
    </row>
    <row r="624" spans="1:14" s="3" customFormat="1" ht="12.2" customHeight="1" x14ac:dyDescent="0.15">
      <c r="A624" s="97"/>
      <c r="B624" s="105"/>
      <c r="C624" s="119"/>
      <c r="D624" s="119"/>
      <c r="E624" s="119"/>
      <c r="F624" s="119" t="s">
        <v>866</v>
      </c>
      <c r="G624" s="109">
        <f>G51</f>
        <v>-0.06</v>
      </c>
      <c r="H624" s="109">
        <f>G477</f>
        <v>-5.9999999939464033E-2</v>
      </c>
      <c r="I624" s="121" t="s">
        <v>102</v>
      </c>
      <c r="J624" s="109">
        <f t="shared" si="50"/>
        <v>-6.0535965129560054E-11</v>
      </c>
      <c r="K624" s="109"/>
      <c r="L624" s="109"/>
      <c r="M624" s="8"/>
    </row>
    <row r="625" spans="1:13" s="3" customFormat="1" ht="12.2" customHeight="1" x14ac:dyDescent="0.15">
      <c r="A625" s="97"/>
      <c r="B625" s="105"/>
      <c r="C625" s="105"/>
      <c r="D625" s="105"/>
      <c r="E625" s="105"/>
      <c r="F625" s="120" t="s">
        <v>867</v>
      </c>
      <c r="G625" s="109">
        <f>H51</f>
        <v>47636.52</v>
      </c>
      <c r="H625" s="109">
        <f>H477</f>
        <v>47636.519999999786</v>
      </c>
      <c r="I625" s="121" t="s">
        <v>103</v>
      </c>
      <c r="J625" s="109">
        <f t="shared" si="50"/>
        <v>2.1100277081131935E-10</v>
      </c>
      <c r="K625" s="109"/>
      <c r="L625" s="109"/>
      <c r="M625" s="8"/>
    </row>
    <row r="626" spans="1:13" s="3" customFormat="1" ht="12.2" customHeight="1" x14ac:dyDescent="0.15">
      <c r="A626" s="97"/>
      <c r="B626" s="105"/>
      <c r="C626" s="105"/>
      <c r="D626" s="105"/>
      <c r="E626" s="105"/>
      <c r="F626" s="120" t="s">
        <v>868</v>
      </c>
      <c r="G626" s="109">
        <f>I51</f>
        <v>-1643609.58</v>
      </c>
      <c r="H626" s="109">
        <f>I477</f>
        <v>-1643609.5800000019</v>
      </c>
      <c r="I626" s="121" t="s">
        <v>104</v>
      </c>
      <c r="J626" s="109">
        <f t="shared" si="50"/>
        <v>1.862645149230957E-9</v>
      </c>
      <c r="K626" s="109"/>
      <c r="L626" s="109"/>
      <c r="M626" s="8"/>
    </row>
    <row r="627" spans="1:13" s="3" customFormat="1" ht="12.2" customHeight="1" x14ac:dyDescent="0.15">
      <c r="A627" s="22"/>
      <c r="B627" s="105"/>
      <c r="C627" s="105"/>
      <c r="D627" s="105"/>
      <c r="E627" s="105"/>
      <c r="F627" s="120" t="s">
        <v>869</v>
      </c>
      <c r="G627" s="109">
        <f>J51</f>
        <v>1674532.65</v>
      </c>
      <c r="H627" s="109">
        <f>J477</f>
        <v>1674532.6500000001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46825964.469999991</v>
      </c>
      <c r="H628" s="104">
        <f>SUM(F469)</f>
        <v>46825964.469999991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474960.55</v>
      </c>
      <c r="H629" s="104">
        <f>SUM(G469)</f>
        <v>474960.55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1094788.47</v>
      </c>
      <c r="H630" s="104">
        <f>SUM(H469)</f>
        <v>1094788.47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28016328.379999999</v>
      </c>
      <c r="H631" s="104">
        <f>SUM(I469)</f>
        <v>28016328.379999999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99063.829999999987</v>
      </c>
      <c r="H632" s="104">
        <f>SUM(J469)</f>
        <v>99063.829999999987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46022005.549999997</v>
      </c>
      <c r="H633" s="104">
        <f>SUM(F473)</f>
        <v>46022005.549999997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1094743.27</v>
      </c>
      <c r="H634" s="104">
        <f>SUM(H473)</f>
        <v>1094743.27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110669.65</v>
      </c>
      <c r="H635" s="104">
        <f>I370</f>
        <v>110669.65000000001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538605.54999999993</v>
      </c>
      <c r="H636" s="104">
        <f>SUM(G473)</f>
        <v>538605.54999999993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27752517.460000001</v>
      </c>
      <c r="H637" s="104">
        <f>SUM(I473)</f>
        <v>27752517.460000001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99063.830000000016</v>
      </c>
      <c r="H638" s="164">
        <f>SUM(J469)</f>
        <v>99063.829999999987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23000</v>
      </c>
      <c r="H639" s="164">
        <f>SUM(J473)</f>
        <v>23000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459946.23</v>
      </c>
      <c r="H640" s="104">
        <f>SUM(F462)</f>
        <v>459946.23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1226537.42</v>
      </c>
      <c r="H641" s="104">
        <f>SUM(G462)</f>
        <v>1226537.42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1686483.65</v>
      </c>
      <c r="H643" s="104">
        <f>SUM(I462)</f>
        <v>1686483.65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92521.65</v>
      </c>
      <c r="H645" s="104">
        <f>H409</f>
        <v>92521.650000000009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99063.829999999987</v>
      </c>
      <c r="H647" s="104">
        <f>L409</f>
        <v>99063.830000000016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1629065.8199999998</v>
      </c>
      <c r="H648" s="104">
        <f>L209+L227+L245</f>
        <v>1629065.8200000003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625753.05000000005</v>
      </c>
      <c r="H649" s="104">
        <f>(J258+J339)-(J256+J337)</f>
        <v>625753.05000000005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486628.74</v>
      </c>
      <c r="H650" s="104">
        <f>H599</f>
        <v>486628.74000000005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501098.12000000005</v>
      </c>
      <c r="H651" s="104">
        <f>I599</f>
        <v>501098.12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641338.96000000008</v>
      </c>
      <c r="H652" s="104">
        <f>J599</f>
        <v>641338.96000000008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80700.820000000007</v>
      </c>
      <c r="H653" s="104">
        <f>K264+K346</f>
        <v>80700.820000000007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-9.9998712539672852E-4</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14525707.470000003</v>
      </c>
      <c r="G661" s="19">
        <f>(L230+L310+L360)</f>
        <v>13574676.660000002</v>
      </c>
      <c r="H661" s="19">
        <f>(L248+L329+L361)</f>
        <v>17182388.420000002</v>
      </c>
      <c r="I661" s="19">
        <f>SUM(F661:H661)</f>
        <v>45282772.550000004</v>
      </c>
      <c r="J661" s="13"/>
      <c r="K661" s="13"/>
      <c r="L661" s="13"/>
      <c r="M661" s="9"/>
    </row>
    <row r="662" spans="1:13" s="3" customFormat="1" ht="12.2" customHeight="1" x14ac:dyDescent="0.2">
      <c r="A662" s="1" t="s">
        <v>127</v>
      </c>
      <c r="F662" s="19">
        <f>(L359/IF(SUM(L359:L361)=0,1,SUM(L359:L361))*(SUM(G97:G110)))</f>
        <v>11198.398586498783</v>
      </c>
      <c r="G662" s="19">
        <f>(L360/IF(SUM(L359:L361)=0,1,SUM(L359:L361))*(SUM(G97:G110)))</f>
        <v>11421.321411068266</v>
      </c>
      <c r="H662" s="19">
        <f>(L361/IF(SUM(L359:L361)=0,1,SUM(L359:L361))*(SUM(G97:G110)))</f>
        <v>14460.000002432946</v>
      </c>
      <c r="I662" s="19">
        <f>SUM(F662:H662)</f>
        <v>37079.719999999994</v>
      </c>
      <c r="J662"/>
      <c r="K662" s="13"/>
      <c r="L662" s="13"/>
      <c r="M662" s="8"/>
    </row>
    <row r="663" spans="1:13" s="3" customFormat="1" ht="12.2" customHeight="1" x14ac:dyDescent="0.2">
      <c r="A663" s="1" t="s">
        <v>128</v>
      </c>
      <c r="F663" s="19">
        <f>(L209+L288)-(J209+J288)</f>
        <v>481395.5</v>
      </c>
      <c r="G663" s="19">
        <f>(L227+L307)-(J227+J307)</f>
        <v>495709.28</v>
      </c>
      <c r="H663" s="19">
        <f>(L245+L326)-(J245+J326)</f>
        <v>634500.54</v>
      </c>
      <c r="I663" s="19">
        <f>SUM(F663:H663)</f>
        <v>1611605.32</v>
      </c>
      <c r="J663"/>
      <c r="K663" s="13"/>
      <c r="L663" s="13"/>
      <c r="M663" s="9"/>
    </row>
    <row r="664" spans="1:13" s="3" customFormat="1" ht="12.2" customHeight="1" x14ac:dyDescent="0.15">
      <c r="A664" s="198" t="s">
        <v>129</v>
      </c>
      <c r="B664" s="169"/>
      <c r="C664" s="169"/>
      <c r="D664" s="169"/>
      <c r="E664" s="169"/>
      <c r="F664" s="199">
        <f>SUM(F576:F588)+SUM(H603:H605)+SUM(L612)</f>
        <v>547129.19999999995</v>
      </c>
      <c r="G664" s="199">
        <f>SUM(G576:G588)+SUM(I603:I605)+L613</f>
        <v>379492.38</v>
      </c>
      <c r="H664" s="199">
        <f>SUM(H576:H588)+SUM(J603:J605)+L614</f>
        <v>698567.19000000006</v>
      </c>
      <c r="I664" s="19">
        <f>SUM(F664:H664)</f>
        <v>1625188.77</v>
      </c>
      <c r="J664" s="13"/>
      <c r="K664" s="13"/>
      <c r="L664" s="13"/>
      <c r="M664" s="9"/>
    </row>
    <row r="665" spans="1:13" s="3" customFormat="1" ht="12.2" customHeight="1" x14ac:dyDescent="0.15">
      <c r="A665" s="1" t="s">
        <v>130</v>
      </c>
      <c r="F665" s="19">
        <f>F661-SUM(F662:F664)</f>
        <v>13485984.371413503</v>
      </c>
      <c r="G665" s="19">
        <f>G661-SUM(G662:G664)</f>
        <v>12688053.678588934</v>
      </c>
      <c r="H665" s="19">
        <f>H661-SUM(H662:H664)</f>
        <v>15834860.689997569</v>
      </c>
      <c r="I665" s="19">
        <f>I661-SUM(I662:I664)</f>
        <v>42008898.740000002</v>
      </c>
      <c r="J665" s="13"/>
      <c r="K665" s="13"/>
      <c r="L665" s="13"/>
      <c r="M665" s="8"/>
    </row>
    <row r="666" spans="1:13" s="3" customFormat="1" ht="12.2" customHeight="1" x14ac:dyDescent="0.25">
      <c r="A666" s="1" t="s">
        <v>131</v>
      </c>
      <c r="F666" s="360">
        <v>625.13</v>
      </c>
      <c r="G666" s="360">
        <v>654.26</v>
      </c>
      <c r="H666" s="360">
        <v>830.43</v>
      </c>
      <c r="I666" s="19">
        <f>SUM(F666:H666)</f>
        <v>2109.8199999999997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21573.09</v>
      </c>
      <c r="G668" s="19">
        <f>ROUND(G665/G666,2)</f>
        <v>19392.98</v>
      </c>
      <c r="H668" s="19">
        <f>ROUND(H665/H666,2)</f>
        <v>19068.27</v>
      </c>
      <c r="I668" s="19">
        <f>ROUND(I665/I666,2)</f>
        <v>19911.13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-20.329999999999998</v>
      </c>
      <c r="I671" s="19">
        <f>SUM(F671:H671)</f>
        <v>-20.329999999999998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21573.09</v>
      </c>
      <c r="G673" s="19">
        <f>ROUND((G665+G670)/(G666+G671),2)</f>
        <v>19392.98</v>
      </c>
      <c r="H673" s="19">
        <f>ROUND((H665+H670)/(H666+H671),2)</f>
        <v>19546.8</v>
      </c>
      <c r="I673" s="19">
        <f>ROUND((I665+I670)/(I666+I671),2)</f>
        <v>20104.86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39496.129999999997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434000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E24+E26</f>
        <v>473496.13</v>
      </c>
      <c r="F22" s="346"/>
    </row>
    <row r="23" spans="2:8" x14ac:dyDescent="0.25">
      <c r="B23" s="346"/>
      <c r="C23" s="346"/>
      <c r="D23" s="346"/>
      <c r="E23" s="346"/>
      <c r="F23" s="346"/>
    </row>
    <row r="24" spans="2:8" ht="26.25" customHeight="1" x14ac:dyDescent="0.25">
      <c r="B24" s="346"/>
      <c r="C24" s="348" t="s">
        <v>1661</v>
      </c>
      <c r="D24" s="346"/>
      <c r="E24" s="341">
        <v>434000</v>
      </c>
      <c r="F24" s="346"/>
    </row>
    <row r="25" spans="2:8" ht="18" x14ac:dyDescent="0.25">
      <c r="B25" s="346"/>
      <c r="C25" s="349"/>
      <c r="D25" s="346"/>
      <c r="E25" s="346"/>
      <c r="F25" s="346"/>
    </row>
    <row r="26" spans="2:8" ht="27.75" customHeight="1" x14ac:dyDescent="0.25">
      <c r="B26" s="346"/>
      <c r="C26" s="348" t="s">
        <v>1662</v>
      </c>
      <c r="D26" s="346"/>
      <c r="E26" s="341">
        <v>39496.129999999997</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Oyster River Cooperative School District</v>
      </c>
      <c r="C5" s="364"/>
      <c r="D5" s="364"/>
      <c r="E5" s="364"/>
      <c r="F5" s="364"/>
    </row>
    <row r="8" spans="1:9" ht="18" x14ac:dyDescent="0.25">
      <c r="A8" s="317" t="s">
        <v>1576</v>
      </c>
      <c r="F8" s="324" t="s">
        <v>1594</v>
      </c>
    </row>
    <row r="9" spans="1:9" ht="15" x14ac:dyDescent="0.2">
      <c r="A9" s="315" t="s">
        <v>1577</v>
      </c>
      <c r="B9" s="318">
        <f>'DOE25'!G97</f>
        <v>32537.01</v>
      </c>
      <c r="F9" s="315" t="s">
        <v>1590</v>
      </c>
    </row>
    <row r="10" spans="1:9" ht="15" x14ac:dyDescent="0.2">
      <c r="A10" s="315" t="s">
        <v>1578</v>
      </c>
      <c r="B10" s="318">
        <f>'DOE25'!G112-'DOE25'!G97</f>
        <v>4542.7099999999955</v>
      </c>
      <c r="F10" s="315" t="s">
        <v>1591</v>
      </c>
    </row>
    <row r="11" spans="1:9" ht="15" x14ac:dyDescent="0.2">
      <c r="A11" s="315" t="s">
        <v>1579</v>
      </c>
      <c r="B11" s="318">
        <f>'DOE25'!G140</f>
        <v>0</v>
      </c>
      <c r="F11" s="315" t="s">
        <v>1592</v>
      </c>
    </row>
    <row r="12" spans="1:9" ht="15" x14ac:dyDescent="0.2">
      <c r="A12" s="315" t="s">
        <v>1580</v>
      </c>
      <c r="B12" s="318">
        <f>'DOE25'!G170</f>
        <v>357180.01</v>
      </c>
      <c r="F12" s="315" t="s">
        <v>1593</v>
      </c>
    </row>
    <row r="13" spans="1:9" ht="15" x14ac:dyDescent="0.2">
      <c r="A13" s="315" t="s">
        <v>1581</v>
      </c>
      <c r="B13" s="318">
        <f>'DOE25'!G193-'DOE25'!G180</f>
        <v>0</v>
      </c>
      <c r="F13" s="315" t="s">
        <v>1603</v>
      </c>
    </row>
    <row r="14" spans="1:9" ht="18" x14ac:dyDescent="0.25">
      <c r="A14" s="317" t="s">
        <v>732</v>
      </c>
      <c r="B14" s="319">
        <f>SUM(B9:B13)</f>
        <v>394259.73</v>
      </c>
    </row>
    <row r="16" spans="1:9" ht="18" x14ac:dyDescent="0.25">
      <c r="A16" s="317" t="s">
        <v>786</v>
      </c>
      <c r="F16" s="324" t="s">
        <v>1595</v>
      </c>
    </row>
    <row r="17" spans="1:6" ht="15" x14ac:dyDescent="0.2">
      <c r="A17" s="315" t="s">
        <v>1582</v>
      </c>
      <c r="B17" s="318">
        <f>'DOE25'!L363-'DOE25'!L362</f>
        <v>538605.54999999993</v>
      </c>
      <c r="F17" s="315" t="s">
        <v>1596</v>
      </c>
    </row>
    <row r="18" spans="1:6" ht="15" x14ac:dyDescent="0.2">
      <c r="A18" s="315" t="s">
        <v>1583</v>
      </c>
      <c r="B18" s="328"/>
      <c r="F18" s="324" t="s">
        <v>1620</v>
      </c>
    </row>
    <row r="19" spans="1:6" ht="18" x14ac:dyDescent="0.25">
      <c r="A19" s="317" t="s">
        <v>725</v>
      </c>
      <c r="B19" s="319">
        <f>SUM(B17:B18)</f>
        <v>538605.54999999993</v>
      </c>
    </row>
    <row r="21" spans="1:6" ht="18.75" thickBot="1" x14ac:dyDescent="0.3">
      <c r="A21" s="317" t="s">
        <v>1584</v>
      </c>
    </row>
    <row r="22" spans="1:6" ht="18.75" thickTop="1" x14ac:dyDescent="0.25">
      <c r="A22" s="317" t="s">
        <v>1585</v>
      </c>
      <c r="B22" s="323">
        <f>B14-B19</f>
        <v>-144345.81999999995</v>
      </c>
      <c r="F22" s="315" t="s">
        <v>1597</v>
      </c>
    </row>
    <row r="26" spans="1:6" ht="18" x14ac:dyDescent="0.25">
      <c r="A26" s="317" t="s">
        <v>186</v>
      </c>
    </row>
    <row r="27" spans="1:6" ht="15" x14ac:dyDescent="0.2">
      <c r="A27" s="315" t="s">
        <v>1586</v>
      </c>
      <c r="B27" s="318">
        <f>'DOE25'!G180</f>
        <v>80700.820000000007</v>
      </c>
      <c r="F27" s="315" t="s">
        <v>1598</v>
      </c>
    </row>
    <row r="28" spans="1:6" ht="15" x14ac:dyDescent="0.2">
      <c r="A28" s="315" t="s">
        <v>1588</v>
      </c>
      <c r="B28" s="318">
        <f>'DOE25'!L362</f>
        <v>0</v>
      </c>
      <c r="F28" s="315" t="s">
        <v>1599</v>
      </c>
    </row>
    <row r="31" spans="1:6" ht="15" x14ac:dyDescent="0.2">
      <c r="A31" s="315" t="s">
        <v>1628</v>
      </c>
      <c r="B31" s="318">
        <f>'DOE25'!G466</f>
        <v>63644.940000000061</v>
      </c>
      <c r="F31" s="315" t="s">
        <v>1600</v>
      </c>
    </row>
    <row r="33" spans="1:6" ht="15" x14ac:dyDescent="0.2">
      <c r="A33" s="315" t="s">
        <v>1629</v>
      </c>
      <c r="B33" s="318">
        <f>'DOE25'!G477</f>
        <v>-5.9999999939464033E-2</v>
      </c>
      <c r="F33" s="315" t="s">
        <v>1601</v>
      </c>
    </row>
    <row r="36" spans="1:6" ht="15" x14ac:dyDescent="0.2">
      <c r="A36" s="315" t="s">
        <v>1587</v>
      </c>
      <c r="B36" s="329">
        <v>49612.01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23" sqref="F2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Oyster River Cooperative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13042044.379999999</v>
      </c>
      <c r="C9" s="229">
        <f>'DOE25'!G198+'DOE25'!G216+'DOE25'!G234+'DOE25'!G277+'DOE25'!G296+'DOE25'!G315</f>
        <v>6188272.0799999991</v>
      </c>
    </row>
    <row r="10" spans="1:3" x14ac:dyDescent="0.2">
      <c r="A10" t="s">
        <v>775</v>
      </c>
      <c r="B10" s="240">
        <v>12032557.18</v>
      </c>
      <c r="C10" s="240">
        <v>5798416.3300000001</v>
      </c>
    </row>
    <row r="11" spans="1:3" x14ac:dyDescent="0.2">
      <c r="A11" t="s">
        <v>776</v>
      </c>
      <c r="B11" s="240">
        <v>407145.68999999994</v>
      </c>
      <c r="C11" s="240">
        <v>123718.19</v>
      </c>
    </row>
    <row r="12" spans="1:3" x14ac:dyDescent="0.2">
      <c r="A12" t="s">
        <v>777</v>
      </c>
      <c r="B12" s="240">
        <v>602341.51</v>
      </c>
      <c r="C12" s="240">
        <v>266137.55999999907</v>
      </c>
    </row>
    <row r="13" spans="1:3" x14ac:dyDescent="0.2">
      <c r="A13" t="str">
        <f>IF(B9=B13,IF(C9=C13,"Check Total OK","Check Total Error"),"Check Total Error")</f>
        <v>Check Total OK</v>
      </c>
      <c r="B13" s="231">
        <f>SUM(B10:B12)</f>
        <v>13042044.379999999</v>
      </c>
      <c r="C13" s="231">
        <f>SUM(C10:C12)</f>
        <v>6188272.0799999991</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4084167.9299999992</v>
      </c>
      <c r="C18" s="229">
        <f>'DOE25'!G199+'DOE25'!G217+'DOE25'!G235+'DOE25'!G278+'DOE25'!G297+'DOE25'!G316</f>
        <v>1821153.4399999997</v>
      </c>
    </row>
    <row r="19" spans="1:3" x14ac:dyDescent="0.2">
      <c r="A19" t="s">
        <v>775</v>
      </c>
      <c r="B19" s="240">
        <v>2470657.6799999997</v>
      </c>
      <c r="C19" s="240">
        <v>1327447.8599999999</v>
      </c>
    </row>
    <row r="20" spans="1:3" x14ac:dyDescent="0.2">
      <c r="A20" t="s">
        <v>776</v>
      </c>
      <c r="B20" s="240">
        <v>1501789.06</v>
      </c>
      <c r="C20" s="240">
        <v>461079.89999999997</v>
      </c>
    </row>
    <row r="21" spans="1:3" x14ac:dyDescent="0.2">
      <c r="A21" t="s">
        <v>777</v>
      </c>
      <c r="B21" s="240">
        <v>111721.19</v>
      </c>
      <c r="C21" s="240">
        <v>32625.680000000517</v>
      </c>
    </row>
    <row r="22" spans="1:3" x14ac:dyDescent="0.2">
      <c r="A22" t="str">
        <f>IF(B18=B22,IF(C18=C22,"Check Total OK","Check Total Error"),"Check Total Error")</f>
        <v>Check Total OK</v>
      </c>
      <c r="B22" s="231">
        <f>SUM(B19:B21)</f>
        <v>4084167.9299999997</v>
      </c>
      <c r="C22" s="231">
        <f>SUM(C19:C21)</f>
        <v>1821153.4400000004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424227.58</v>
      </c>
      <c r="C36" s="235">
        <f>'DOE25'!G201+'DOE25'!G219+'DOE25'!G237+'DOE25'!G280+'DOE25'!G299+'DOE25'!G318</f>
        <v>81356.67</v>
      </c>
    </row>
    <row r="37" spans="1:3" x14ac:dyDescent="0.2">
      <c r="A37" t="s">
        <v>775</v>
      </c>
      <c r="B37" s="240">
        <v>77331.23000000001</v>
      </c>
      <c r="C37" s="240">
        <v>35209.279999999992</v>
      </c>
    </row>
    <row r="38" spans="1:3" x14ac:dyDescent="0.2">
      <c r="A38" t="s">
        <v>776</v>
      </c>
      <c r="B38" s="240"/>
      <c r="C38" s="240"/>
    </row>
    <row r="39" spans="1:3" x14ac:dyDescent="0.2">
      <c r="A39" t="s">
        <v>777</v>
      </c>
      <c r="B39" s="240">
        <v>346896.35000000003</v>
      </c>
      <c r="C39" s="240">
        <v>46147.39</v>
      </c>
    </row>
    <row r="40" spans="1:3" x14ac:dyDescent="0.2">
      <c r="A40" t="str">
        <f>IF(B36=B40,IF(C36=C40,"Check Total OK","Check Total Error"),"Check Total Error")</f>
        <v>Check Total OK</v>
      </c>
      <c r="B40" s="231">
        <f>SUM(B37:B39)</f>
        <v>424227.58000000007</v>
      </c>
      <c r="C40" s="231">
        <f>SUM(C37:C39)</f>
        <v>81356.669999999984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G37" sqref="G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Oyster River Cooperative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27073664.66</v>
      </c>
      <c r="D5" s="20">
        <f>SUM('DOE25'!L198:L201)+SUM('DOE25'!L216:L219)+SUM('DOE25'!L234:L237)-F5-G5-H5</f>
        <v>26694581.809999999</v>
      </c>
      <c r="E5" s="243"/>
      <c r="F5" s="244">
        <v>105819.16</v>
      </c>
      <c r="G5" s="53">
        <f>SUM('DOE25'!J198:J201)+SUM('DOE25'!J216:J219)+SUM('DOE25'!J234:J237)</f>
        <v>229094.59000000003</v>
      </c>
      <c r="H5" s="53">
        <f>SUM('DOE25'!K198:K201)+SUM('DOE25'!K216:K219)+SUM('DOE25'!K234:K237)</f>
        <v>44169.1</v>
      </c>
      <c r="I5" s="254"/>
    </row>
    <row r="6" spans="1:9" x14ac:dyDescent="0.2">
      <c r="A6" s="32">
        <v>2100</v>
      </c>
      <c r="B6" t="s">
        <v>796</v>
      </c>
      <c r="C6" s="273">
        <f t="shared" si="0"/>
        <v>4325409.1400000006</v>
      </c>
      <c r="D6" s="20">
        <f>'DOE25'!L203+'DOE25'!L221+'DOE25'!L239-F6-G6-H6</f>
        <v>3802172.5400000005</v>
      </c>
      <c r="E6" s="243"/>
      <c r="F6" s="244">
        <v>520506.14</v>
      </c>
      <c r="G6" s="53">
        <f>'DOE25'!J203+'DOE25'!J221+'DOE25'!J239</f>
        <v>2576.46</v>
      </c>
      <c r="H6" s="53">
        <f>'DOE25'!K203+'DOE25'!K221+'DOE25'!K239</f>
        <v>154</v>
      </c>
      <c r="I6" s="254"/>
    </row>
    <row r="7" spans="1:9" x14ac:dyDescent="0.2">
      <c r="A7" s="32">
        <v>2200</v>
      </c>
      <c r="B7" t="s">
        <v>821</v>
      </c>
      <c r="C7" s="273">
        <f t="shared" si="0"/>
        <v>864160.15</v>
      </c>
      <c r="D7" s="20">
        <f>'DOE25'!L204+'DOE25'!L222+'DOE25'!L240-F7-G7-H7</f>
        <v>823061.56</v>
      </c>
      <c r="E7" s="243"/>
      <c r="F7" s="244"/>
      <c r="G7" s="53">
        <f>'DOE25'!J204+'DOE25'!J222+'DOE25'!J240</f>
        <v>41098.589999999997</v>
      </c>
      <c r="H7" s="53">
        <f>'DOE25'!K204+'DOE25'!K222+'DOE25'!K240</f>
        <v>0</v>
      </c>
      <c r="I7" s="254"/>
    </row>
    <row r="8" spans="1:9" x14ac:dyDescent="0.2">
      <c r="A8" s="32">
        <v>2300</v>
      </c>
      <c r="B8" t="s">
        <v>797</v>
      </c>
      <c r="C8" s="273">
        <f t="shared" si="0"/>
        <v>790181.78000000014</v>
      </c>
      <c r="D8" s="243"/>
      <c r="E8" s="20">
        <f>'DOE25'!L205+'DOE25'!L223+'DOE25'!L241-F8-G8-H8-D9-D11</f>
        <v>746737.40000000014</v>
      </c>
      <c r="F8" s="244">
        <v>25000</v>
      </c>
      <c r="G8" s="53">
        <f>'DOE25'!J205+'DOE25'!J223+'DOE25'!J241</f>
        <v>0</v>
      </c>
      <c r="H8" s="53">
        <f>'DOE25'!K205+'DOE25'!K223+'DOE25'!K241</f>
        <v>18444.379999999997</v>
      </c>
      <c r="I8" s="254"/>
    </row>
    <row r="9" spans="1:9" ht="14.25" x14ac:dyDescent="0.2">
      <c r="A9" s="32">
        <v>2310</v>
      </c>
      <c r="B9" s="185" t="s">
        <v>888</v>
      </c>
      <c r="C9" s="273">
        <f t="shared" si="0"/>
        <v>130955.6</v>
      </c>
      <c r="D9" s="244">
        <v>130955.6</v>
      </c>
      <c r="E9" s="243"/>
      <c r="F9" s="251"/>
      <c r="G9" s="251"/>
      <c r="H9" s="251"/>
      <c r="I9" s="254"/>
    </row>
    <row r="10" spans="1:9" ht="14.25" x14ac:dyDescent="0.2">
      <c r="A10" s="32">
        <v>2317</v>
      </c>
      <c r="B10" s="185" t="s">
        <v>889</v>
      </c>
      <c r="C10" s="273">
        <f t="shared" si="0"/>
        <v>28750</v>
      </c>
      <c r="D10" s="243"/>
      <c r="E10" s="244">
        <v>28750</v>
      </c>
      <c r="F10" s="251"/>
      <c r="G10" s="251"/>
      <c r="H10" s="251"/>
      <c r="I10" s="254"/>
    </row>
    <row r="11" spans="1:9" ht="14.25" x14ac:dyDescent="0.2">
      <c r="A11" s="32">
        <v>2321</v>
      </c>
      <c r="B11" s="185" t="s">
        <v>890</v>
      </c>
      <c r="C11" s="273">
        <f t="shared" si="0"/>
        <v>665882.72</v>
      </c>
      <c r="D11" s="244">
        <v>665882.72</v>
      </c>
      <c r="E11" s="243"/>
      <c r="F11" s="251"/>
      <c r="G11" s="251"/>
      <c r="H11" s="251"/>
      <c r="I11" s="254"/>
    </row>
    <row r="12" spans="1:9" x14ac:dyDescent="0.2">
      <c r="A12" s="32">
        <v>2400</v>
      </c>
      <c r="B12" t="s">
        <v>711</v>
      </c>
      <c r="C12" s="273">
        <f t="shared" si="0"/>
        <v>1895786.52</v>
      </c>
      <c r="D12" s="20">
        <f>'DOE25'!L206+'DOE25'!L224+'DOE25'!L242-F12-G12-H12</f>
        <v>1887320.52</v>
      </c>
      <c r="E12" s="243"/>
      <c r="F12" s="244"/>
      <c r="G12" s="53">
        <f>'DOE25'!J206+'DOE25'!J224+'DOE25'!J242</f>
        <v>355.01</v>
      </c>
      <c r="H12" s="53">
        <f>'DOE25'!K206+'DOE25'!K224+'DOE25'!K242</f>
        <v>8110.99</v>
      </c>
      <c r="I12" s="254"/>
    </row>
    <row r="13" spans="1:9" x14ac:dyDescent="0.2">
      <c r="A13" s="32">
        <v>2500</v>
      </c>
      <c r="B13" t="s">
        <v>798</v>
      </c>
      <c r="C13" s="273">
        <f t="shared" si="0"/>
        <v>523221.53</v>
      </c>
      <c r="D13" s="243"/>
      <c r="E13" s="20">
        <f>'DOE25'!L207+'DOE25'!L225+'DOE25'!L243-F13-G13-H13</f>
        <v>510068.5</v>
      </c>
      <c r="F13" s="244"/>
      <c r="G13" s="53">
        <f>'DOE25'!J207+'DOE25'!J225+'DOE25'!J243</f>
        <v>0</v>
      </c>
      <c r="H13" s="53">
        <f>'DOE25'!K207+'DOE25'!K225+'DOE25'!K243</f>
        <v>13153.029999999999</v>
      </c>
      <c r="I13" s="254"/>
    </row>
    <row r="14" spans="1:9" x14ac:dyDescent="0.2">
      <c r="A14" s="32">
        <v>2600</v>
      </c>
      <c r="B14" t="s">
        <v>819</v>
      </c>
      <c r="C14" s="273">
        <f t="shared" si="0"/>
        <v>3921809.71</v>
      </c>
      <c r="D14" s="20">
        <f>'DOE25'!L208+'DOE25'!L226+'DOE25'!L244-F14-G14-H14</f>
        <v>3509215.67</v>
      </c>
      <c r="E14" s="243"/>
      <c r="F14" s="244">
        <v>375113.13</v>
      </c>
      <c r="G14" s="53">
        <f>'DOE25'!J208+'DOE25'!J226+'DOE25'!J244</f>
        <v>37480.910000000003</v>
      </c>
      <c r="H14" s="53">
        <f>'DOE25'!K208+'DOE25'!K226+'DOE25'!K244</f>
        <v>0</v>
      </c>
      <c r="I14" s="254"/>
    </row>
    <row r="15" spans="1:9" x14ac:dyDescent="0.2">
      <c r="A15" s="32">
        <v>2700</v>
      </c>
      <c r="B15" t="s">
        <v>799</v>
      </c>
      <c r="C15" s="273">
        <f t="shared" si="0"/>
        <v>1629065.8200000003</v>
      </c>
      <c r="D15" s="20">
        <f>'DOE25'!L209+'DOE25'!L227+'DOE25'!L245-F15-G15-H15</f>
        <v>1552986.1200000003</v>
      </c>
      <c r="E15" s="243"/>
      <c r="F15" s="244">
        <v>57687.199999999997</v>
      </c>
      <c r="G15" s="53">
        <f>'DOE25'!J209+'DOE25'!J227+'DOE25'!J245</f>
        <v>17460.5</v>
      </c>
      <c r="H15" s="53">
        <f>'DOE25'!K209+'DOE25'!K227+'DOE25'!K245</f>
        <v>932</v>
      </c>
      <c r="I15" s="254"/>
    </row>
    <row r="16" spans="1:9" x14ac:dyDescent="0.2">
      <c r="A16" s="32">
        <v>2800</v>
      </c>
      <c r="B16" t="s">
        <v>800</v>
      </c>
      <c r="C16" s="273">
        <f t="shared" si="0"/>
        <v>1829286.0999999996</v>
      </c>
      <c r="D16" s="243"/>
      <c r="E16" s="20">
        <f>'DOE25'!L210+'DOE25'!L228+'DOE25'!L246-F16-G16-H16</f>
        <v>1541876.6699999997</v>
      </c>
      <c r="F16" s="244"/>
      <c r="G16" s="53">
        <f>'DOE25'!J210+'DOE25'!J228+'DOE25'!J246</f>
        <v>283607.93</v>
      </c>
      <c r="H16" s="53">
        <f>'DOE25'!K210+'DOE25'!K228+'DOE25'!K246</f>
        <v>3801.5</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503772.91</v>
      </c>
      <c r="D22" s="243"/>
      <c r="E22" s="243"/>
      <c r="F22" s="243"/>
      <c r="G22" s="53">
        <f>'DOE25'!L256+'DOE25'!L337</f>
        <v>503772.91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1788108.09</v>
      </c>
      <c r="D25" s="243"/>
      <c r="E25" s="243"/>
      <c r="F25" s="253"/>
      <c r="G25" s="251"/>
      <c r="H25" s="251"/>
      <c r="I25" s="252">
        <f>'DOE25'!L261+'DOE25'!L262+'DOE25'!L342+'DOE25'!L343</f>
        <v>1788108.09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441653.09999999992</v>
      </c>
      <c r="D29" s="281">
        <f>'DOE25'!L359+'DOE25'!L360+'DOE25'!L361-'DOE25'!I368-F29-G29-H29</f>
        <v>438255.86999999994</v>
      </c>
      <c r="E29" s="243"/>
      <c r="F29" s="244"/>
      <c r="G29" s="53">
        <f>'DOE25'!J359+'DOE25'!J360+'DOE25'!J361</f>
        <v>2907.23</v>
      </c>
      <c r="H29" s="53">
        <f>'DOE25'!K359+'DOE25'!K360+'DOE25'!K361</f>
        <v>490</v>
      </c>
      <c r="I29" s="254"/>
    </row>
    <row r="30" spans="1:9" x14ac:dyDescent="0.2">
      <c r="A30" s="32"/>
      <c r="C30" s="274"/>
      <c r="D30" s="20"/>
      <c r="E30" s="278"/>
      <c r="F30" s="268"/>
      <c r="G30" s="53"/>
      <c r="H30" s="53"/>
      <c r="I30" s="254"/>
    </row>
    <row r="31" spans="1:9" x14ac:dyDescent="0.2">
      <c r="A31" s="32" t="s">
        <v>818</v>
      </c>
      <c r="B31" t="s">
        <v>817</v>
      </c>
      <c r="C31" s="273">
        <f>SUM(D31:I31)</f>
        <v>1094743.27</v>
      </c>
      <c r="D31" s="20">
        <f>'DOE25'!L291+'DOE25'!L310+'DOE25'!L329+'DOE25'!L334+'DOE25'!L335+'DOE25'!L336-F31-G31-H31</f>
        <v>1080664.21</v>
      </c>
      <c r="E31" s="243"/>
      <c r="F31" s="244"/>
      <c r="G31" s="53">
        <f>'DOE25'!J291+'DOE25'!J310+'DOE25'!J329+'DOE25'!J334+'DOE25'!J335+'DOE25'!J336</f>
        <v>14079.06</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40585096.619999997</v>
      </c>
      <c r="E33" s="245">
        <f t="shared" si="1"/>
        <v>2827432.57</v>
      </c>
      <c r="F33" s="245">
        <f t="shared" si="1"/>
        <v>1084125.6300000001</v>
      </c>
      <c r="G33" s="245">
        <f t="shared" si="1"/>
        <v>1132433.19</v>
      </c>
      <c r="H33" s="245">
        <f t="shared" si="1"/>
        <v>89255</v>
      </c>
      <c r="I33" s="245">
        <f t="shared" si="1"/>
        <v>1788108.09</v>
      </c>
    </row>
    <row r="35" spans="1:9" ht="12" thickBot="1" x14ac:dyDescent="0.25">
      <c r="B35" s="249" t="s">
        <v>831</v>
      </c>
      <c r="D35" s="250">
        <f>E33</f>
        <v>2827432.57</v>
      </c>
      <c r="E35" s="246"/>
      <c r="F35" s="333" t="s">
        <v>1632</v>
      </c>
      <c r="G35" s="334"/>
      <c r="H35" s="334"/>
      <c r="I35" s="334"/>
    </row>
    <row r="36" spans="1:9" ht="12" thickTop="1" x14ac:dyDescent="0.2">
      <c r="B36" t="s">
        <v>810</v>
      </c>
      <c r="D36" s="20">
        <f>D33</f>
        <v>40585096.619999997</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3" sqref="A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Oyster River Cooperative School District</v>
      </c>
      <c r="B2" s="126">
        <f>'DOE25'!B2</f>
        <v>423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14363043.899999999</v>
      </c>
      <c r="G4" s="300">
        <f>'DOE25'!L212+'DOE25'!L291</f>
        <v>14363043.900000002</v>
      </c>
      <c r="H4" s="353">
        <f>F4-G4</f>
        <v>0</v>
      </c>
      <c r="I4" s="372" t="str">
        <f>IF(H4=0,"","ISSUES!! Please review page 7 and 11 totals in comparison with total on this page")</f>
        <v/>
      </c>
      <c r="N4"/>
    </row>
    <row r="5" spans="1:18" x14ac:dyDescent="0.2">
      <c r="A5" s="21" t="s">
        <v>1342</v>
      </c>
      <c r="B5" s="301">
        <f>IFERROR(VLOOKUP(A5,'School Tables'!$C$3:$D$365,2,FALSE),"")</f>
        <v>22805</v>
      </c>
      <c r="C5" s="294" t="str">
        <f>IFERROR(INDEX('School Tables'!$B$3:$B$365,MATCH('School Level Expenditures'!B5,'School Tables'!$D$3:$D$365,0)),"")</f>
        <v>Oyster River Coop</v>
      </c>
      <c r="D5" s="291">
        <v>6892750.5299999993</v>
      </c>
      <c r="E5" s="291">
        <v>140918.40999999997</v>
      </c>
      <c r="F5" s="304">
        <f>D5+E5</f>
        <v>7033668.9399999995</v>
      </c>
      <c r="G5" s="294"/>
      <c r="H5" s="294"/>
      <c r="I5" s="373"/>
      <c r="N5"/>
    </row>
    <row r="6" spans="1:18" x14ac:dyDescent="0.2">
      <c r="A6" s="21" t="s">
        <v>1680</v>
      </c>
      <c r="B6" s="301">
        <f>IFERROR(VLOOKUP(A6,'School Tables'!$C$3:$D$365,2,FALSE),"")</f>
        <v>26660</v>
      </c>
      <c r="C6" s="294" t="str">
        <f>IFERROR(INDEX('School Tables'!$B$3:$B$365,MATCH('School Level Expenditures'!B6,'School Tables'!$D$3:$D$365,0)),"")</f>
        <v>Oyster River Coop</v>
      </c>
      <c r="D6" s="291">
        <v>7252469.839999998</v>
      </c>
      <c r="E6" s="291">
        <v>76905.12000000001</v>
      </c>
      <c r="F6" s="304">
        <f t="shared" ref="F6:F20" si="0">D6+E6</f>
        <v>7329374.9599999981</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14145220.369999997</v>
      </c>
      <c r="E21" s="351">
        <f>SUM(E5:E20)</f>
        <v>217823.52999999997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13408775</v>
      </c>
      <c r="G24" s="300">
        <f>'DOE25'!L230+'DOE25'!L310</f>
        <v>13408775.000000002</v>
      </c>
      <c r="H24" s="353">
        <f>F24-G24</f>
        <v>0</v>
      </c>
      <c r="I24" s="372" t="str">
        <f>IF(H24=0,"","ISSUES!! Please review page 8 and 12 totals in comparison with total on this page")</f>
        <v/>
      </c>
      <c r="N24"/>
    </row>
    <row r="25" spans="1:14" x14ac:dyDescent="0.2">
      <c r="A25" s="21" t="s">
        <v>1340</v>
      </c>
      <c r="B25" s="301">
        <f>IFERROR(VLOOKUP(A25,'School Tables'!$I$3:$J$80,2,FALSE),"")</f>
        <v>22790</v>
      </c>
      <c r="C25" s="294" t="str">
        <f t="array" ref="C25">IFERROR(INDEX('School Tables'!$H$3:$H$80,MATCH('School Level Expenditures'!B25,'School Tables'!$J$3:$J$80,0)),"")</f>
        <v>Oyster River Coop</v>
      </c>
      <c r="D25" s="291">
        <v>12952174.369999999</v>
      </c>
      <c r="E25" s="291">
        <v>456600.63</v>
      </c>
      <c r="F25" s="304">
        <f>D25+E25</f>
        <v>13408775</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12952174.369999999</v>
      </c>
      <c r="E33" s="351">
        <f>SUM(E25:E32)</f>
        <v>456600.63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16972348.100000001</v>
      </c>
      <c r="G36" s="300">
        <f>'DOE25'!L248+'DOE25'!L329</f>
        <v>16972348.100000001</v>
      </c>
      <c r="H36" s="353">
        <f>F36-G36</f>
        <v>0</v>
      </c>
      <c r="I36" s="372" t="str">
        <f>IF(H36=0,"","ISSUES!! Please review page 9 and 13 totals in comparison with total on this page")</f>
        <v/>
      </c>
      <c r="N36"/>
    </row>
    <row r="37" spans="1:14" x14ac:dyDescent="0.2">
      <c r="A37" s="21" t="s">
        <v>1341</v>
      </c>
      <c r="B37" s="301">
        <f>IFERROR(VLOOKUP(A37,'School Tables'!$O$3:$P$118,2,FALSE),"")</f>
        <v>22800</v>
      </c>
      <c r="C37" s="294" t="str">
        <f t="array" ref="C37">IFERROR(INDEX('School Tables'!$N$3:$N$118,MATCH('School Level Expenditures'!B37,'School Tables'!$P$3:$P$118,0)),"")</f>
        <v>Oyster River Coop</v>
      </c>
      <c r="D37" s="291">
        <v>16552028.99</v>
      </c>
      <c r="E37" s="291">
        <v>420319.11</v>
      </c>
      <c r="F37" s="304">
        <f t="shared" ref="F37:F42" si="2">D37+E37</f>
        <v>16972348.100000001</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16552028.99</v>
      </c>
      <c r="E43" s="352">
        <f>SUM(E37:E42)</f>
        <v>420319.11</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D156" sqref="D15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Oyster River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557786.05900000001</v>
      </c>
      <c r="D8" s="95">
        <f>'DOE25'!G9</f>
        <v>0</v>
      </c>
      <c r="E8" s="95">
        <f>'DOE25'!H9</f>
        <v>0</v>
      </c>
      <c r="F8" s="95">
        <f>'DOE25'!I9</f>
        <v>1119670.96</v>
      </c>
      <c r="G8" s="95">
        <f>'DOE25'!J9</f>
        <v>0</v>
      </c>
      <c r="H8" s="124"/>
      <c r="I8" s="124"/>
    </row>
    <row r="9" spans="1:9" x14ac:dyDescent="0.2">
      <c r="A9" s="1" t="s">
        <v>140</v>
      </c>
      <c r="B9" s="6">
        <v>110</v>
      </c>
      <c r="C9" s="95">
        <f>'DOE25'!F10</f>
        <v>0</v>
      </c>
      <c r="D9" s="95">
        <f>'DOE25'!G10</f>
        <v>0</v>
      </c>
      <c r="E9" s="95">
        <f>'DOE25'!H10</f>
        <v>0</v>
      </c>
      <c r="F9" s="95">
        <f>'DOE25'!I10</f>
        <v>0</v>
      </c>
      <c r="G9" s="95">
        <f>'DOE25'!J10</f>
        <v>1686483.65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2874347.72</v>
      </c>
      <c r="D11" s="95">
        <f>'DOE25'!G12</f>
        <v>5802.39</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42945.599999999999</v>
      </c>
      <c r="D13" s="95">
        <f>'DOE25'!G14</f>
        <v>51509.95</v>
      </c>
      <c r="E13" s="95">
        <f>'DOE25'!H14</f>
        <v>163930.09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20200.189999999999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3495279.5690000001</v>
      </c>
      <c r="D18" s="41">
        <f>SUM(D8:D17)</f>
        <v>57312.34</v>
      </c>
      <c r="E18" s="41">
        <f>SUM(E8:E17)</f>
        <v>163930.09</v>
      </c>
      <c r="F18" s="41">
        <f>SUM(F8:F17)</f>
        <v>1119670.96</v>
      </c>
      <c r="G18" s="41">
        <f>SUM(G8:G17)</f>
        <v>1686483.65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116293.57</v>
      </c>
      <c r="F21" s="95">
        <f>'DOE25'!I22</f>
        <v>2763280.54</v>
      </c>
      <c r="G21" s="95">
        <f>'DOE25'!J22</f>
        <v>11951</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249292.73</v>
      </c>
      <c r="D23" s="95">
        <f>'DOE25'!G24</f>
        <v>962.65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917952.96</v>
      </c>
      <c r="D28" s="95">
        <f>'DOE25'!G29</f>
        <v>0</v>
      </c>
      <c r="E28" s="95">
        <f>'DOE25'!H29</f>
        <v>0</v>
      </c>
      <c r="F28" s="95">
        <f>'DOE25'!I29</f>
        <v>0</v>
      </c>
      <c r="G28" s="24" t="s">
        <v>288</v>
      </c>
      <c r="H28" s="124"/>
      <c r="I28" s="124"/>
    </row>
    <row r="29" spans="1:9" x14ac:dyDescent="0.2">
      <c r="A29" s="1" t="s">
        <v>158</v>
      </c>
      <c r="B29" s="6">
        <v>480</v>
      </c>
      <c r="C29" s="95">
        <f>'DOE25'!F30</f>
        <v>0</v>
      </c>
      <c r="D29" s="95">
        <f>'DOE25'!G30</f>
        <v>56349.75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1167245.69</v>
      </c>
      <c r="D31" s="41">
        <f>SUM(D21:D30)</f>
        <v>57312.4</v>
      </c>
      <c r="E31" s="41">
        <f>SUM(E21:E30)</f>
        <v>116293.57</v>
      </c>
      <c r="F31" s="41">
        <f>SUM(F21:F30)</f>
        <v>2763280.54</v>
      </c>
      <c r="G31" s="41">
        <f>SUM(G21:G30)</f>
        <v>11951</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20200.189999999999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-0.06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125000</v>
      </c>
      <c r="D43" s="95">
        <f>'DOE25'!G44</f>
        <v>0</v>
      </c>
      <c r="E43" s="95">
        <f>'DOE25'!H44</f>
        <v>0</v>
      </c>
      <c r="F43" s="95">
        <f>'DOE25'!I44</f>
        <v>0</v>
      </c>
      <c r="G43" s="24" t="s">
        <v>288</v>
      </c>
      <c r="H43" s="124"/>
      <c r="I43" s="124"/>
    </row>
    <row r="44" spans="1:9" x14ac:dyDescent="0.2">
      <c r="A44" s="1" t="s">
        <v>864</v>
      </c>
      <c r="B44" s="6">
        <v>753</v>
      </c>
      <c r="C44" s="95">
        <f>'DOE25'!F45</f>
        <v>266966.75</v>
      </c>
      <c r="D44" s="95">
        <f>'DOE25'!G45</f>
        <v>0</v>
      </c>
      <c r="E44" s="95">
        <f>'DOE25'!H45</f>
        <v>0</v>
      </c>
      <c r="F44" s="95">
        <f>'DOE25'!I45</f>
        <v>0</v>
      </c>
      <c r="G44" s="95">
        <f>'DOE25'!J45</f>
        <v>0</v>
      </c>
      <c r="H44" s="124"/>
      <c r="I44" s="124"/>
    </row>
    <row r="45" spans="1:9" x14ac:dyDescent="0.2">
      <c r="A45" s="1" t="s">
        <v>880</v>
      </c>
      <c r="B45" s="6"/>
      <c r="C45" s="95">
        <f>'DOE25'!F46</f>
        <v>900000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47636.52</v>
      </c>
      <c r="F47" s="95">
        <f>'DOE25'!I48</f>
        <v>-1643609.58</v>
      </c>
      <c r="G47" s="95">
        <f>'DOE25'!J48</f>
        <v>1674532.65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1015866.94</v>
      </c>
      <c r="D49" s="24" t="s">
        <v>288</v>
      </c>
      <c r="E49" s="24" t="s">
        <v>288</v>
      </c>
      <c r="F49" s="24" t="s">
        <v>288</v>
      </c>
      <c r="G49" s="24" t="s">
        <v>288</v>
      </c>
      <c r="H49" s="124"/>
      <c r="I49" s="124"/>
    </row>
    <row r="50" spans="1:9" ht="12.75" thickTop="1" thickBot="1" x14ac:dyDescent="0.25">
      <c r="A50" s="38" t="s">
        <v>884</v>
      </c>
      <c r="B50" s="48"/>
      <c r="C50" s="41">
        <f>SUM(C34:C49)</f>
        <v>2328033.88</v>
      </c>
      <c r="D50" s="41">
        <f>SUM(D34:D49)</f>
        <v>-0.06</v>
      </c>
      <c r="E50" s="41">
        <f>SUM(E34:E49)</f>
        <v>47636.52</v>
      </c>
      <c r="F50" s="41">
        <f>SUM(F34:F49)</f>
        <v>-1643609.58</v>
      </c>
      <c r="G50" s="41">
        <f>SUM(G34:G49)</f>
        <v>1674532.65</v>
      </c>
      <c r="H50" s="124"/>
      <c r="I50" s="124"/>
    </row>
    <row r="51" spans="1:9" ht="12" thickTop="1" x14ac:dyDescent="0.2">
      <c r="A51" s="38" t="s">
        <v>885</v>
      </c>
      <c r="B51" s="2"/>
      <c r="C51" s="41">
        <f>C50+C31</f>
        <v>3495279.57</v>
      </c>
      <c r="D51" s="41">
        <f>D50+D31</f>
        <v>57312.340000000004</v>
      </c>
      <c r="E51" s="41">
        <f>E50+E31</f>
        <v>163930.09</v>
      </c>
      <c r="F51" s="41">
        <f>F50+F31</f>
        <v>1119670.96</v>
      </c>
      <c r="G51" s="41">
        <f>G50+G31</f>
        <v>1686483.65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32985911.039999999</v>
      </c>
      <c r="D56" s="95">
        <f>'DOE25'!G60</f>
        <v>0</v>
      </c>
      <c r="E56" s="95">
        <f>'DOE25'!H60</f>
        <v>0</v>
      </c>
      <c r="F56" s="95">
        <f>'DOE25'!I60</f>
        <v>0</v>
      </c>
      <c r="G56" s="95">
        <f>'DOE25'!J60</f>
        <v>0</v>
      </c>
      <c r="H56"/>
      <c r="I56"/>
    </row>
    <row r="57" spans="1:9" x14ac:dyDescent="0.2">
      <c r="A57" s="1" t="s">
        <v>164</v>
      </c>
      <c r="B57" s="6" t="s">
        <v>165</v>
      </c>
      <c r="C57" s="95">
        <f>'DOE25'!F79</f>
        <v>3237705.58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5108.83</v>
      </c>
      <c r="D59" s="95">
        <f>'DOE25'!G96</f>
        <v>0</v>
      </c>
      <c r="E59" s="95">
        <f>'DOE25'!H96</f>
        <v>0</v>
      </c>
      <c r="F59" s="95">
        <f>'DOE25'!I96</f>
        <v>16328.38</v>
      </c>
      <c r="G59" s="95">
        <f>'DOE25'!J96</f>
        <v>92521.65</v>
      </c>
      <c r="H59"/>
      <c r="I59"/>
    </row>
    <row r="60" spans="1:9" x14ac:dyDescent="0.2">
      <c r="A60" s="1" t="s">
        <v>170</v>
      </c>
      <c r="B60" s="118" t="s">
        <v>171</v>
      </c>
      <c r="C60" s="24" t="s">
        <v>288</v>
      </c>
      <c r="D60" s="95">
        <f>'DOE25'!G97</f>
        <v>32537.01</v>
      </c>
      <c r="E60" s="24" t="s">
        <v>288</v>
      </c>
      <c r="F60" s="24" t="s">
        <v>288</v>
      </c>
      <c r="G60" s="24" t="s">
        <v>288</v>
      </c>
      <c r="H60"/>
      <c r="I60"/>
    </row>
    <row r="61" spans="1:9" ht="12" thickBot="1" x14ac:dyDescent="0.25">
      <c r="A61" s="1" t="s">
        <v>172</v>
      </c>
      <c r="B61" s="118" t="s">
        <v>173</v>
      </c>
      <c r="C61" s="95">
        <f>SUM('DOE25'!F98:F110)</f>
        <v>65616.83</v>
      </c>
      <c r="D61" s="95">
        <f>SUM('DOE25'!G98:G110)</f>
        <v>4542.71</v>
      </c>
      <c r="E61" s="95">
        <f>SUM('DOE25'!H98:H110)</f>
        <v>56887</v>
      </c>
      <c r="F61" s="95">
        <f>SUM('DOE25'!I98:I110)</f>
        <v>0</v>
      </c>
      <c r="G61" s="95">
        <f>SUM('DOE25'!J98:J110)</f>
        <v>6542.18</v>
      </c>
      <c r="H61"/>
      <c r="I61"/>
    </row>
    <row r="62" spans="1:9" ht="12.75" thickTop="1" thickBot="1" x14ac:dyDescent="0.25">
      <c r="A62" s="29" t="s">
        <v>174</v>
      </c>
      <c r="B62" s="6"/>
      <c r="C62" s="130">
        <f>SUM(C57:C61)</f>
        <v>3308431.24</v>
      </c>
      <c r="D62" s="130">
        <f>SUM(D57:D61)</f>
        <v>37079.72</v>
      </c>
      <c r="E62" s="130">
        <f>SUM(E57:E61)</f>
        <v>56887</v>
      </c>
      <c r="F62" s="130">
        <f>SUM(F57:F61)</f>
        <v>16328.38</v>
      </c>
      <c r="G62" s="130">
        <f>SUM(G57:G61)</f>
        <v>99063.829999999987</v>
      </c>
      <c r="H62"/>
      <c r="I62"/>
    </row>
    <row r="63" spans="1:9" ht="12" thickTop="1" x14ac:dyDescent="0.2">
      <c r="A63" s="29" t="s">
        <v>175</v>
      </c>
      <c r="B63" s="6"/>
      <c r="C63" s="22">
        <f>C56+C62</f>
        <v>36294342.280000001</v>
      </c>
      <c r="D63" s="22">
        <f>D56+D62</f>
        <v>37079.72</v>
      </c>
      <c r="E63" s="22">
        <f>E56+E62</f>
        <v>56887</v>
      </c>
      <c r="F63" s="22">
        <f>F56+F62</f>
        <v>16328.38</v>
      </c>
      <c r="G63" s="22">
        <f>G56+G62</f>
        <v>99063.829999999987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5950004.7400000002</v>
      </c>
      <c r="D66" s="24" t="s">
        <v>288</v>
      </c>
      <c r="E66" s="24" t="s">
        <v>288</v>
      </c>
      <c r="F66" s="24" t="s">
        <v>288</v>
      </c>
      <c r="G66" s="24" t="s">
        <v>288</v>
      </c>
      <c r="H66"/>
      <c r="I66"/>
    </row>
    <row r="67" spans="1:9" x14ac:dyDescent="0.2">
      <c r="A67" s="1" t="s">
        <v>770</v>
      </c>
      <c r="B67" s="6">
        <v>3112</v>
      </c>
      <c r="C67" s="95">
        <f>'DOE25'!F118</f>
        <v>3894347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9844351.7400000002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523742.09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64621.45</v>
      </c>
      <c r="D75" s="24" t="s">
        <v>288</v>
      </c>
      <c r="E75" s="24" t="s">
        <v>288</v>
      </c>
      <c r="F75" s="24" t="s">
        <v>288</v>
      </c>
      <c r="G75" s="24" t="s">
        <v>288</v>
      </c>
      <c r="H75"/>
      <c r="I75"/>
    </row>
    <row r="76" spans="1:9" x14ac:dyDescent="0.2">
      <c r="A76" s="1" t="s">
        <v>257</v>
      </c>
      <c r="B76" s="6" t="s">
        <v>179</v>
      </c>
      <c r="C76" s="95">
        <f>SUM('DOE25'!F127:F130)</f>
        <v>4636.7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11943.12</v>
      </c>
      <c r="F77" s="95">
        <f>SUM('DOE25'!I131:I135)</f>
        <v>0</v>
      </c>
      <c r="G77" s="95">
        <f>SUM('DOE25'!J131:J135)</f>
        <v>0</v>
      </c>
      <c r="H77"/>
      <c r="I77"/>
    </row>
    <row r="78" spans="1:9" ht="12.75" thickTop="1" thickBot="1" x14ac:dyDescent="0.25">
      <c r="A78" s="29" t="s">
        <v>259</v>
      </c>
      <c r="B78" s="6"/>
      <c r="C78" s="130">
        <f>SUM(C72:C77)</f>
        <v>593000.24</v>
      </c>
      <c r="D78" s="130">
        <f>SUM(D72:D77)</f>
        <v>0</v>
      </c>
      <c r="E78" s="130">
        <f>SUM(E72:E77)</f>
        <v>11943.12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10437351.98</v>
      </c>
      <c r="D81" s="130">
        <f>SUM(D79:D80)+D78+D70</f>
        <v>0</v>
      </c>
      <c r="E81" s="130">
        <f>SUM(E79:E80)+E78+E70</f>
        <v>11943.12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94270.21</v>
      </c>
      <c r="D88" s="331">
        <f>SUM('DOE25'!G153:G162)</f>
        <v>357180.01</v>
      </c>
      <c r="E88" s="331">
        <f>SUM('DOE25'!H153:H162)</f>
        <v>1025958.35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94270.21</v>
      </c>
      <c r="D91" s="131">
        <f>SUM(D85:D90)</f>
        <v>357180.01</v>
      </c>
      <c r="E91" s="131">
        <f>SUM(E85:E90)</f>
        <v>1025958.35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28000000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80700.820000000007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80700.820000000007</v>
      </c>
      <c r="E103" s="86">
        <f>SUM(E93:E102)</f>
        <v>0</v>
      </c>
      <c r="F103" s="86">
        <f>SUM(F93:F102)</f>
        <v>28000000</v>
      </c>
      <c r="G103" s="86">
        <f>SUM(G93:G102)</f>
        <v>0</v>
      </c>
    </row>
    <row r="104" spans="1:7" ht="12.75" thickTop="1" thickBot="1" x14ac:dyDescent="0.25">
      <c r="A104" s="33" t="s">
        <v>761</v>
      </c>
      <c r="C104" s="86">
        <f>C63+C81+C91+C103</f>
        <v>46825964.470000006</v>
      </c>
      <c r="D104" s="86">
        <f>D63+D81+D91+D103</f>
        <v>474960.55</v>
      </c>
      <c r="E104" s="86">
        <f>E63+E81+E91+E103</f>
        <v>1094788.47</v>
      </c>
      <c r="F104" s="86">
        <f>F63+F81+F91+F103</f>
        <v>28016328.379999999</v>
      </c>
      <c r="G104" s="86">
        <f>G63+G81+G103</f>
        <v>99063.829999999987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19694357.57</v>
      </c>
      <c r="D109" s="24" t="s">
        <v>288</v>
      </c>
      <c r="E109" s="95">
        <f>('DOE25'!L277)+('DOE25'!L296)+('DOE25'!L315)</f>
        <v>470221.22000000003</v>
      </c>
      <c r="F109" s="24" t="s">
        <v>288</v>
      </c>
      <c r="G109" s="24" t="s">
        <v>288</v>
      </c>
    </row>
    <row r="110" spans="1:7" x14ac:dyDescent="0.2">
      <c r="A110" t="s">
        <v>198</v>
      </c>
      <c r="B110" s="32" t="s">
        <v>199</v>
      </c>
      <c r="C110" s="95">
        <f>('DOE25'!L199)+('DOE25'!L217)+('DOE25'!L235)</f>
        <v>6637160.3299999982</v>
      </c>
      <c r="D110" s="24" t="s">
        <v>288</v>
      </c>
      <c r="E110" s="95">
        <f>('DOE25'!L278)+('DOE25'!L297)+('DOE25'!L316)</f>
        <v>508366</v>
      </c>
      <c r="F110" s="24" t="s">
        <v>288</v>
      </c>
      <c r="G110" s="24" t="s">
        <v>288</v>
      </c>
    </row>
    <row r="111" spans="1:7" x14ac:dyDescent="0.2">
      <c r="A111" t="s">
        <v>200</v>
      </c>
      <c r="B111" s="32" t="s">
        <v>165</v>
      </c>
      <c r="C111" s="95">
        <f>('DOE25'!L200)+('DOE25'!L218)+('DOE25'!L236)</f>
        <v>59818.52</v>
      </c>
      <c r="D111" s="24" t="s">
        <v>288</v>
      </c>
      <c r="E111" s="95">
        <f>('DOE25'!L279)+('DOE25'!L298)+('DOE25'!L317)</f>
        <v>0</v>
      </c>
      <c r="F111" s="24" t="s">
        <v>288</v>
      </c>
      <c r="G111" s="24" t="s">
        <v>288</v>
      </c>
    </row>
    <row r="112" spans="1:7" x14ac:dyDescent="0.2">
      <c r="A112" t="s">
        <v>201</v>
      </c>
      <c r="B112" s="32" t="s">
        <v>167</v>
      </c>
      <c r="C112" s="95">
        <f>('DOE25'!L201)+('DOE25'!L219)+('DOE25'!L237)</f>
        <v>682328.24000000011</v>
      </c>
      <c r="D112" s="24" t="s">
        <v>288</v>
      </c>
      <c r="E112" s="95">
        <f>+('DOE25'!L280)+('DOE25'!L299)+('DOE25'!L318)</f>
        <v>17425.199999999997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27073664.659999996</v>
      </c>
      <c r="D115" s="86">
        <f>SUM(D109:D114)</f>
        <v>0</v>
      </c>
      <c r="E115" s="86">
        <f>SUM(E109:E114)</f>
        <v>996012.41999999993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4325409.1400000006</v>
      </c>
      <c r="D118" s="24" t="s">
        <v>288</v>
      </c>
      <c r="E118" s="95">
        <f>+('DOE25'!L282)+('DOE25'!L301)+('DOE25'!L320)</f>
        <v>0</v>
      </c>
      <c r="F118" s="24" t="s">
        <v>288</v>
      </c>
      <c r="G118" s="24" t="s">
        <v>288</v>
      </c>
    </row>
    <row r="119" spans="1:7" x14ac:dyDescent="0.2">
      <c r="A119" t="s">
        <v>208</v>
      </c>
      <c r="B119" s="32" t="s">
        <v>209</v>
      </c>
      <c r="C119" s="95">
        <f>('DOE25'!L204)+('DOE25'!L222)+('DOE25'!L240)</f>
        <v>864160.15</v>
      </c>
      <c r="D119" s="24" t="s">
        <v>288</v>
      </c>
      <c r="E119" s="95">
        <f>+('DOE25'!L283)+('DOE25'!L302)+('DOE25'!L321)</f>
        <v>82661.13</v>
      </c>
      <c r="F119" s="24" t="s">
        <v>288</v>
      </c>
      <c r="G119" s="24" t="s">
        <v>288</v>
      </c>
    </row>
    <row r="120" spans="1:7" x14ac:dyDescent="0.2">
      <c r="A120" t="s">
        <v>210</v>
      </c>
      <c r="B120" s="32" t="s">
        <v>211</v>
      </c>
      <c r="C120" s="95">
        <f>('DOE25'!L205)+('DOE25'!L223)+('DOE25'!L241)</f>
        <v>1587020.1</v>
      </c>
      <c r="D120" s="24" t="s">
        <v>288</v>
      </c>
      <c r="E120" s="95">
        <f>+('DOE25'!L284)+('DOE25'!L303)+('DOE25'!L322)</f>
        <v>0</v>
      </c>
      <c r="F120" s="24" t="s">
        <v>288</v>
      </c>
      <c r="G120" s="24" t="s">
        <v>288</v>
      </c>
    </row>
    <row r="121" spans="1:7" x14ac:dyDescent="0.2">
      <c r="A121" t="s">
        <v>212</v>
      </c>
      <c r="B121" s="32" t="s">
        <v>213</v>
      </c>
      <c r="C121" s="95">
        <f>('DOE25'!L206)+('DOE25'!L224)+('DOE25'!L242)</f>
        <v>1895786.52</v>
      </c>
      <c r="D121" s="24" t="s">
        <v>288</v>
      </c>
      <c r="E121" s="95">
        <f>+('DOE25'!L285)+('DOE25'!L304)+('DOE25'!L323)</f>
        <v>0</v>
      </c>
      <c r="F121" s="24" t="s">
        <v>288</v>
      </c>
      <c r="G121" s="24" t="s">
        <v>288</v>
      </c>
    </row>
    <row r="122" spans="1:7" x14ac:dyDescent="0.2">
      <c r="A122" t="s">
        <v>214</v>
      </c>
      <c r="B122" s="32" t="s">
        <v>215</v>
      </c>
      <c r="C122" s="95">
        <f>('DOE25'!L207)+('DOE25'!L225)+('DOE25'!L243)</f>
        <v>523221.53</v>
      </c>
      <c r="D122" s="24" t="s">
        <v>288</v>
      </c>
      <c r="E122" s="95">
        <f>+('DOE25'!L286)+('DOE25'!L305)+('DOE25'!L324)</f>
        <v>0</v>
      </c>
      <c r="F122" s="24" t="s">
        <v>288</v>
      </c>
      <c r="G122" s="24" t="s">
        <v>288</v>
      </c>
    </row>
    <row r="123" spans="1:7" x14ac:dyDescent="0.2">
      <c r="A123" t="s">
        <v>216</v>
      </c>
      <c r="B123" s="32" t="s">
        <v>217</v>
      </c>
      <c r="C123" s="95">
        <f>('DOE25'!L208)+('DOE25'!L226)+('DOE25'!L244)</f>
        <v>3921809.71</v>
      </c>
      <c r="D123" s="24" t="s">
        <v>288</v>
      </c>
      <c r="E123" s="95">
        <f>+('DOE25'!L287)+('DOE25'!L306)+('DOE25'!L325)</f>
        <v>0</v>
      </c>
      <c r="F123" s="24" t="s">
        <v>288</v>
      </c>
      <c r="G123" s="24" t="s">
        <v>288</v>
      </c>
    </row>
    <row r="124" spans="1:7" x14ac:dyDescent="0.2">
      <c r="A124" t="s">
        <v>218</v>
      </c>
      <c r="B124" s="32" t="s">
        <v>219</v>
      </c>
      <c r="C124" s="95">
        <f>('DOE25'!L209)+('DOE25'!L227)+('DOE25'!L245+'DOE25'!L255)</f>
        <v>1629065.8200000003</v>
      </c>
      <c r="D124" s="24" t="s">
        <v>288</v>
      </c>
      <c r="E124" s="95">
        <f>+('DOE25'!L288)+('DOE25'!L307)+('DOE25'!L326)</f>
        <v>0</v>
      </c>
      <c r="F124" s="24" t="s">
        <v>288</v>
      </c>
      <c r="G124" s="24" t="s">
        <v>288</v>
      </c>
    </row>
    <row r="125" spans="1:7" x14ac:dyDescent="0.2">
      <c r="A125" t="s">
        <v>220</v>
      </c>
      <c r="B125" s="32" t="s">
        <v>221</v>
      </c>
      <c r="C125" s="95">
        <f>('DOE25'!L210)+('DOE25'!L228)+('DOE25'!L246)</f>
        <v>1829286.0999999996</v>
      </c>
      <c r="D125" s="24" t="s">
        <v>288</v>
      </c>
      <c r="E125" s="95">
        <f>+('DOE25'!L289)+('DOE25'!L308)+('DOE25'!L327)</f>
        <v>16069.719999999998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538605.54999999993</v>
      </c>
      <c r="E127" s="24" t="s">
        <v>288</v>
      </c>
      <c r="F127" s="24" t="s">
        <v>288</v>
      </c>
      <c r="G127" s="24" t="s">
        <v>288</v>
      </c>
    </row>
    <row r="128" spans="1:7" ht="12.75" thickTop="1" thickBot="1" x14ac:dyDescent="0.25">
      <c r="A128" s="33" t="s">
        <v>226</v>
      </c>
      <c r="C128" s="86">
        <f>SUM(C118:C127)</f>
        <v>16575759.069999998</v>
      </c>
      <c r="D128" s="86">
        <f>SUM(D118:D127)</f>
        <v>538605.54999999993</v>
      </c>
      <c r="E128" s="86">
        <f>SUM(E118:E127)</f>
        <v>98730.85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503772.91</v>
      </c>
      <c r="D130" s="24" t="s">
        <v>288</v>
      </c>
      <c r="E130" s="129">
        <f>'DOE25'!L337</f>
        <v>0</v>
      </c>
      <c r="F130" s="129">
        <f>SUM('DOE25'!L375:'DOE25'!L381)</f>
        <v>24742600.789999999</v>
      </c>
      <c r="G130" s="24" t="s">
        <v>288</v>
      </c>
    </row>
    <row r="131" spans="1:7" x14ac:dyDescent="0.2">
      <c r="A131" t="s">
        <v>229</v>
      </c>
      <c r="B131" s="32">
        <v>5110</v>
      </c>
      <c r="C131" s="95">
        <f>'DOE25'!L261</f>
        <v>1285000</v>
      </c>
      <c r="D131" s="24" t="s">
        <v>288</v>
      </c>
      <c r="E131" s="129">
        <f>'DOE25'!L342</f>
        <v>0</v>
      </c>
      <c r="F131" s="24" t="s">
        <v>288</v>
      </c>
      <c r="G131" s="24" t="s">
        <v>288</v>
      </c>
    </row>
    <row r="132" spans="1:7" x14ac:dyDescent="0.2">
      <c r="A132" t="s">
        <v>230</v>
      </c>
      <c r="B132" s="32">
        <v>5120</v>
      </c>
      <c r="C132" s="95">
        <f>'DOE25'!L262</f>
        <v>503108.09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3009916.67</v>
      </c>
      <c r="G134" s="95">
        <f>'DOE25'!K435</f>
        <v>23000</v>
      </c>
    </row>
    <row r="135" spans="1:7" x14ac:dyDescent="0.2">
      <c r="A135" t="s">
        <v>233</v>
      </c>
      <c r="B135" s="32" t="s">
        <v>234</v>
      </c>
      <c r="C135" s="95">
        <f>'DOE25'!L264</f>
        <v>80700.820000000007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24402.44</v>
      </c>
      <c r="D138" s="24" t="s">
        <v>288</v>
      </c>
      <c r="E138" s="24" t="s">
        <v>288</v>
      </c>
      <c r="F138" s="24" t="s">
        <v>288</v>
      </c>
      <c r="G138" s="24" t="s">
        <v>288</v>
      </c>
    </row>
    <row r="139" spans="1:7" x14ac:dyDescent="0.2">
      <c r="A139" t="s">
        <v>239</v>
      </c>
      <c r="B139" s="32">
        <v>5252</v>
      </c>
      <c r="C139" s="95">
        <f>'DOE25'!L402</f>
        <v>74661.390000000014</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-99063.830000000016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2372581.8199999998</v>
      </c>
      <c r="D144" s="141">
        <f>SUM(D130:D143)</f>
        <v>0</v>
      </c>
      <c r="E144" s="141">
        <f>SUM(E130:E143)</f>
        <v>0</v>
      </c>
      <c r="F144" s="141">
        <f>SUM(F130:F143)</f>
        <v>27752517.460000001</v>
      </c>
      <c r="G144" s="141">
        <f>SUM(G130:G143)</f>
        <v>23000</v>
      </c>
    </row>
    <row r="145" spans="1:9" ht="12.75" thickTop="1" thickBot="1" x14ac:dyDescent="0.25">
      <c r="A145" s="33" t="s">
        <v>244</v>
      </c>
      <c r="C145" s="86">
        <f>(C115+C128+C144)</f>
        <v>46022005.549999997</v>
      </c>
      <c r="D145" s="86">
        <f>(D115+D128+D144)</f>
        <v>538605.54999999993</v>
      </c>
      <c r="E145" s="86">
        <f>(E115+E128+E144)</f>
        <v>1094743.27</v>
      </c>
      <c r="F145" s="86">
        <f>(F115+F128+F144)</f>
        <v>27752517.460000001</v>
      </c>
      <c r="G145" s="86">
        <f>(G115+G128+G144)</f>
        <v>23000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25</v>
      </c>
      <c r="D151" s="153">
        <f>'DOE25'!H491</f>
        <v>0</v>
      </c>
      <c r="E151" s="153">
        <f>'DOE25'!I491</f>
        <v>20</v>
      </c>
      <c r="F151" s="153">
        <f>'DOE25'!J491</f>
        <v>20</v>
      </c>
      <c r="G151" s="24" t="s">
        <v>288</v>
      </c>
    </row>
    <row r="152" spans="1:9" x14ac:dyDescent="0.2">
      <c r="A152" s="136" t="s">
        <v>28</v>
      </c>
      <c r="B152" s="152" t="str">
        <f>'DOE25'!F492</f>
        <v>6/16</v>
      </c>
      <c r="C152" s="152" t="str">
        <f>'DOE25'!G492</f>
        <v>07/20</v>
      </c>
      <c r="D152" s="152">
        <f>'DOE25'!H492</f>
        <v>0</v>
      </c>
      <c r="E152" s="152" t="str">
        <f>'DOE25'!I492</f>
        <v>11/01</v>
      </c>
      <c r="F152" s="152" t="str">
        <f>'DOE25'!J492</f>
        <v>08/03</v>
      </c>
      <c r="G152" s="24" t="s">
        <v>288</v>
      </c>
    </row>
    <row r="153" spans="1:9" x14ac:dyDescent="0.2">
      <c r="A153" s="136" t="s">
        <v>29</v>
      </c>
      <c r="B153" s="152" t="str">
        <f>'DOE25'!F493</f>
        <v>07/26</v>
      </c>
      <c r="C153" s="152" t="str">
        <f>'DOE25'!G493</f>
        <v>08/45</v>
      </c>
      <c r="D153" s="152">
        <f>'DOE25'!H493</f>
        <v>0</v>
      </c>
      <c r="E153" s="152" t="str">
        <f>'DOE25'!I493</f>
        <v>11/21</v>
      </c>
      <c r="F153" s="152" t="str">
        <f>'DOE25'!J493</f>
        <v>02/23</v>
      </c>
      <c r="G153" s="24" t="s">
        <v>288</v>
      </c>
    </row>
    <row r="154" spans="1:9" x14ac:dyDescent="0.2">
      <c r="A154" s="136" t="s">
        <v>30</v>
      </c>
      <c r="B154" s="137">
        <f>'DOE25'!F494</f>
        <v>1500000</v>
      </c>
      <c r="C154" s="137">
        <f>'DOE25'!G494</f>
        <v>23041800</v>
      </c>
      <c r="D154" s="137">
        <f>'DOE25'!H494</f>
        <v>0</v>
      </c>
      <c r="E154" s="137">
        <f>'DOE25'!I494</f>
        <v>2300000</v>
      </c>
      <c r="F154" s="137">
        <f>'DOE25'!J494</f>
        <v>20406711</v>
      </c>
      <c r="G154" s="24" t="s">
        <v>288</v>
      </c>
    </row>
    <row r="155" spans="1:9" x14ac:dyDescent="0.2">
      <c r="A155" s="136" t="s">
        <v>31</v>
      </c>
      <c r="B155" s="137">
        <f>'DOE25'!F495</f>
        <v>1.88</v>
      </c>
      <c r="C155" s="137">
        <f>'DOE25'!G495</f>
        <v>1.97</v>
      </c>
      <c r="D155" s="137">
        <f>'DOE25'!H495</f>
        <v>0</v>
      </c>
      <c r="E155" s="137">
        <f>'DOE25'!I495</f>
        <v>4.22</v>
      </c>
      <c r="F155" s="137">
        <f>'DOE25'!J495</f>
        <v>4.09</v>
      </c>
      <c r="G155" s="24" t="s">
        <v>288</v>
      </c>
    </row>
    <row r="156" spans="1:9" x14ac:dyDescent="0.2">
      <c r="A156" s="22" t="s">
        <v>32</v>
      </c>
      <c r="B156" s="137">
        <f>'DOE25'!F496</f>
        <v>1050000</v>
      </c>
      <c r="C156" s="137">
        <f>'DOE25'!G496</f>
        <v>0</v>
      </c>
      <c r="D156" s="137">
        <f>'DOE25'!H496</f>
        <v>0</v>
      </c>
      <c r="E156" s="137">
        <f>'DOE25'!I496</f>
        <v>230000</v>
      </c>
      <c r="F156" s="137">
        <f>'DOE25'!J496</f>
        <v>3060000</v>
      </c>
      <c r="G156" s="138">
        <f>SUM(B156:F156)</f>
        <v>4340000</v>
      </c>
    </row>
    <row r="157" spans="1:9" x14ac:dyDescent="0.2">
      <c r="A157" s="22" t="s">
        <v>33</v>
      </c>
      <c r="B157" s="137">
        <f>'DOE25'!F497</f>
        <v>0</v>
      </c>
      <c r="C157" s="137">
        <f>'DOE25'!G497</f>
        <v>23041800</v>
      </c>
      <c r="D157" s="137">
        <f>'DOE25'!H497</f>
        <v>0</v>
      </c>
      <c r="E157" s="137">
        <f>'DOE25'!I497</f>
        <v>0</v>
      </c>
      <c r="F157" s="137">
        <f>'DOE25'!J497</f>
        <v>0</v>
      </c>
      <c r="G157" s="138">
        <f t="shared" ref="G157:G164" si="0">SUM(B157:F157)</f>
        <v>23041800</v>
      </c>
    </row>
    <row r="158" spans="1:9" x14ac:dyDescent="0.2">
      <c r="A158" s="22" t="s">
        <v>34</v>
      </c>
      <c r="B158" s="137">
        <f>'DOE25'!F498</f>
        <v>150000</v>
      </c>
      <c r="C158" s="137">
        <f>'DOE25'!G498</f>
        <v>0</v>
      </c>
      <c r="D158" s="137">
        <f>'DOE25'!H498</f>
        <v>0</v>
      </c>
      <c r="E158" s="137">
        <f>'DOE25'!I498</f>
        <v>115000</v>
      </c>
      <c r="F158" s="137">
        <f>'DOE25'!J498</f>
        <v>1020000</v>
      </c>
      <c r="G158" s="138">
        <f t="shared" si="0"/>
        <v>1285000</v>
      </c>
    </row>
    <row r="159" spans="1:9" x14ac:dyDescent="0.2">
      <c r="A159" s="22" t="s">
        <v>35</v>
      </c>
      <c r="B159" s="137">
        <f>'DOE25'!F499</f>
        <v>900000</v>
      </c>
      <c r="C159" s="137">
        <f>'DOE25'!G499</f>
        <v>23041800</v>
      </c>
      <c r="D159" s="137">
        <f>'DOE25'!H499</f>
        <v>0</v>
      </c>
      <c r="E159" s="137">
        <f>'DOE25'!I499</f>
        <v>115000</v>
      </c>
      <c r="F159" s="137">
        <f>'DOE25'!J499</f>
        <v>2040000</v>
      </c>
      <c r="G159" s="138">
        <f t="shared" si="0"/>
        <v>26096800</v>
      </c>
    </row>
    <row r="160" spans="1:9" x14ac:dyDescent="0.2">
      <c r="A160" s="22" t="s">
        <v>36</v>
      </c>
      <c r="B160" s="137">
        <f>'DOE25'!F500</f>
        <v>0</v>
      </c>
      <c r="C160" s="137">
        <f>'DOE25'!G500</f>
        <v>8768719.1099999994</v>
      </c>
      <c r="D160" s="137">
        <f>'DOE25'!H500</f>
        <v>0</v>
      </c>
      <c r="E160" s="137">
        <f>'DOE25'!I500</f>
        <v>0</v>
      </c>
      <c r="F160" s="137">
        <f>'DOE25'!J500</f>
        <v>0</v>
      </c>
      <c r="G160" s="138">
        <f t="shared" si="0"/>
        <v>8768719.1099999994</v>
      </c>
    </row>
    <row r="161" spans="1:7" x14ac:dyDescent="0.2">
      <c r="A161" s="22" t="s">
        <v>37</v>
      </c>
      <c r="B161" s="137">
        <f>'DOE25'!F501</f>
        <v>900000</v>
      </c>
      <c r="C161" s="137">
        <f>'DOE25'!G501</f>
        <v>31810519.109999999</v>
      </c>
      <c r="D161" s="137">
        <f>'DOE25'!H501</f>
        <v>0</v>
      </c>
      <c r="E161" s="137">
        <f>'DOE25'!I501</f>
        <v>115000</v>
      </c>
      <c r="F161" s="137">
        <f>'DOE25'!J501</f>
        <v>2040000</v>
      </c>
      <c r="G161" s="138">
        <f t="shared" si="0"/>
        <v>34865519.109999999</v>
      </c>
    </row>
    <row r="162" spans="1:7" x14ac:dyDescent="0.2">
      <c r="A162" s="22" t="s">
        <v>38</v>
      </c>
      <c r="B162" s="137">
        <f>'DOE25'!F502</f>
        <v>150000</v>
      </c>
      <c r="C162" s="137">
        <f>'DOE25'!G502</f>
        <v>0</v>
      </c>
      <c r="D162" s="137">
        <f>'DOE25'!H502</f>
        <v>0</v>
      </c>
      <c r="E162" s="137">
        <f>'DOE25'!I502</f>
        <v>115000</v>
      </c>
      <c r="F162" s="137">
        <f>'DOE25'!J502</f>
        <v>1020000</v>
      </c>
      <c r="G162" s="138">
        <f t="shared" si="0"/>
        <v>1285000</v>
      </c>
    </row>
    <row r="163" spans="1:7" x14ac:dyDescent="0.2">
      <c r="A163" s="22" t="s">
        <v>39</v>
      </c>
      <c r="B163" s="137">
        <f>'DOE25'!F503</f>
        <v>16920</v>
      </c>
      <c r="C163" s="137">
        <f>'DOE25'!G503</f>
        <v>703238.06</v>
      </c>
      <c r="D163" s="137">
        <f>'DOE25'!H503</f>
        <v>0</v>
      </c>
      <c r="E163" s="137">
        <f>'DOE25'!I503</f>
        <v>2702.5</v>
      </c>
      <c r="F163" s="137">
        <f>'DOE25'!J503</f>
        <v>71400</v>
      </c>
      <c r="G163" s="138">
        <f t="shared" si="0"/>
        <v>794260.56</v>
      </c>
    </row>
    <row r="164" spans="1:7" x14ac:dyDescent="0.2">
      <c r="A164" s="22" t="s">
        <v>246</v>
      </c>
      <c r="B164" s="137">
        <f>'DOE25'!F504</f>
        <v>166920</v>
      </c>
      <c r="C164" s="137">
        <f>'DOE25'!G504</f>
        <v>703238.06</v>
      </c>
      <c r="D164" s="137">
        <f>'DOE25'!H504</f>
        <v>0</v>
      </c>
      <c r="E164" s="137">
        <f>'DOE25'!I504</f>
        <v>117702.5</v>
      </c>
      <c r="F164" s="137">
        <f>'DOE25'!J504</f>
        <v>1091400</v>
      </c>
      <c r="G164" s="138">
        <f t="shared" si="0"/>
        <v>2079260.56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A2" sqref="A2:D4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Oyster River Cooperative School District</v>
      </c>
    </row>
    <row r="3" spans="1:4" x14ac:dyDescent="0.2">
      <c r="B3" s="188" t="s">
        <v>1666</v>
      </c>
    </row>
    <row r="4" spans="1:4" x14ac:dyDescent="0.2">
      <c r="B4" t="s">
        <v>61</v>
      </c>
      <c r="C4" s="179">
        <f>IF('DOE25'!F666+'DOE25'!F671=0,0,ROUND('DOE25'!F673,0))</f>
        <v>21573</v>
      </c>
    </row>
    <row r="5" spans="1:4" x14ac:dyDescent="0.2">
      <c r="B5" t="s">
        <v>700</v>
      </c>
      <c r="C5" s="179">
        <f>IF('DOE25'!G666+'DOE25'!G671=0,0,ROUND('DOE25'!G673,0))</f>
        <v>19393</v>
      </c>
    </row>
    <row r="6" spans="1:4" x14ac:dyDescent="0.2">
      <c r="B6" t="s">
        <v>62</v>
      </c>
      <c r="C6" s="179">
        <f>IF('DOE25'!H666+'DOE25'!H671=0,0,ROUND('DOE25'!H673,0))</f>
        <v>19547</v>
      </c>
    </row>
    <row r="7" spans="1:4" x14ac:dyDescent="0.2">
      <c r="B7" t="s">
        <v>701</v>
      </c>
      <c r="C7" s="179">
        <f>IF('DOE25'!I666+'DOE25'!I671=0,0,ROUND('DOE25'!I673,0))</f>
        <v>20105</v>
      </c>
    </row>
    <row r="9" spans="1:4" x14ac:dyDescent="0.2">
      <c r="A9" s="187" t="s">
        <v>94</v>
      </c>
      <c r="B9" s="188" t="s">
        <v>1671</v>
      </c>
      <c r="C9" s="181" t="s">
        <v>720</v>
      </c>
      <c r="D9" s="181" t="s">
        <v>721</v>
      </c>
    </row>
    <row r="10" spans="1:4" x14ac:dyDescent="0.2">
      <c r="A10">
        <v>1100</v>
      </c>
      <c r="B10" t="s">
        <v>702</v>
      </c>
      <c r="C10" s="179">
        <f>ROUND('DOE25'!L198+'DOE25'!L216+'DOE25'!L234+'DOE25'!L277+'DOE25'!L296+'DOE25'!L315,0)</f>
        <v>20164579</v>
      </c>
      <c r="D10" s="182">
        <f>ROUND((C10/$C$28)*100,1)</f>
        <v>44.1</v>
      </c>
    </row>
    <row r="11" spans="1:4" x14ac:dyDescent="0.2">
      <c r="A11">
        <v>1200</v>
      </c>
      <c r="B11" t="s">
        <v>703</v>
      </c>
      <c r="C11" s="179">
        <f>ROUND('DOE25'!L199+'DOE25'!L217+'DOE25'!L235+'DOE25'!L278+'DOE25'!L297+'DOE25'!L316,0)</f>
        <v>7145526</v>
      </c>
      <c r="D11" s="182">
        <f>ROUND((C11/$C$28)*100,1)</f>
        <v>15.6</v>
      </c>
    </row>
    <row r="12" spans="1:4" x14ac:dyDescent="0.2">
      <c r="A12">
        <v>1300</v>
      </c>
      <c r="B12" t="s">
        <v>704</v>
      </c>
      <c r="C12" s="179">
        <f>ROUND('DOE25'!L200+'DOE25'!L218+'DOE25'!L236+'DOE25'!L279+'DOE25'!L298+'DOE25'!L317,0)</f>
        <v>59819</v>
      </c>
      <c r="D12" s="182">
        <f>ROUND((C12/$C$28)*100,1)</f>
        <v>0.1</v>
      </c>
    </row>
    <row r="13" spans="1:4" x14ac:dyDescent="0.2">
      <c r="A13">
        <v>1400</v>
      </c>
      <c r="B13" t="s">
        <v>705</v>
      </c>
      <c r="C13" s="179">
        <f>ROUND('DOE25'!L201+'DOE25'!L219+'DOE25'!L237+'DOE25'!L280+'DOE25'!L299+'DOE25'!L318,0)</f>
        <v>699753</v>
      </c>
      <c r="D13" s="182">
        <f>ROUND((C13/$C$28)*100,1)</f>
        <v>1.5</v>
      </c>
    </row>
    <row r="14" spans="1:4" x14ac:dyDescent="0.2">
      <c r="D14" s="182"/>
    </row>
    <row r="15" spans="1:4" x14ac:dyDescent="0.2">
      <c r="A15">
        <v>2100</v>
      </c>
      <c r="B15" t="s">
        <v>706</v>
      </c>
      <c r="C15" s="179">
        <f>ROUND('DOE25'!L203+'DOE25'!L221+'DOE25'!L239+'DOE25'!L282+'DOE25'!L301+'DOE25'!L320,0)</f>
        <v>4325409</v>
      </c>
      <c r="D15" s="182">
        <f t="shared" ref="D15:D27" si="0">ROUND((C15/$C$28)*100,1)</f>
        <v>9.5</v>
      </c>
    </row>
    <row r="16" spans="1:4" x14ac:dyDescent="0.2">
      <c r="A16">
        <v>2200</v>
      </c>
      <c r="B16" t="s">
        <v>707</v>
      </c>
      <c r="C16" s="179">
        <f>ROUND('DOE25'!L204+'DOE25'!L222+'DOE25'!L240+'DOE25'!L283+'DOE25'!L302+'DOE25'!L321,0)</f>
        <v>946821</v>
      </c>
      <c r="D16" s="182">
        <f t="shared" si="0"/>
        <v>2.1</v>
      </c>
    </row>
    <row r="17" spans="1:4" x14ac:dyDescent="0.2">
      <c r="A17" s="183" t="s">
        <v>723</v>
      </c>
      <c r="B17" t="s">
        <v>738</v>
      </c>
      <c r="C17" s="179">
        <f>ROUND('DOE25'!L205+'DOE25'!L210+'DOE25'!L223+'DOE25'!L228+'DOE25'!L241+'DOE25'!L246+'DOE25'!L284+'DOE25'!L289+'DOE25'!L303+'DOE25'!L308+'DOE25'!L322+'DOE25'!L327,0)</f>
        <v>3432376</v>
      </c>
      <c r="D17" s="182">
        <f t="shared" si="0"/>
        <v>7.5</v>
      </c>
    </row>
    <row r="18" spans="1:4" x14ac:dyDescent="0.2">
      <c r="A18">
        <v>2400</v>
      </c>
      <c r="B18" t="s">
        <v>711</v>
      </c>
      <c r="C18" s="179">
        <f>ROUND('DOE25'!L206+'DOE25'!L224+'DOE25'!L242+'DOE25'!L285+'DOE25'!L304+'DOE25'!L323,0)</f>
        <v>1895787</v>
      </c>
      <c r="D18" s="182">
        <f t="shared" si="0"/>
        <v>4.0999999999999996</v>
      </c>
    </row>
    <row r="19" spans="1:4" x14ac:dyDescent="0.2">
      <c r="A19">
        <v>2500</v>
      </c>
      <c r="B19" t="s">
        <v>708</v>
      </c>
      <c r="C19" s="179">
        <f>ROUND('DOE25'!L207+'DOE25'!L225+'DOE25'!L243+'DOE25'!L286+'DOE25'!L305+'DOE25'!L324,0)</f>
        <v>523222</v>
      </c>
      <c r="D19" s="182">
        <f t="shared" si="0"/>
        <v>1.1000000000000001</v>
      </c>
    </row>
    <row r="20" spans="1:4" x14ac:dyDescent="0.2">
      <c r="A20">
        <v>2600</v>
      </c>
      <c r="B20" t="s">
        <v>709</v>
      </c>
      <c r="C20" s="179">
        <f>ROUND('DOE25'!L208+'DOE25'!L226+'DOE25'!L244+'DOE25'!L287+'DOE25'!L306+'DOE25'!L325,0)</f>
        <v>3921810</v>
      </c>
      <c r="D20" s="182">
        <f t="shared" si="0"/>
        <v>8.6</v>
      </c>
    </row>
    <row r="21" spans="1:4" x14ac:dyDescent="0.2">
      <c r="A21">
        <v>2700</v>
      </c>
      <c r="B21" t="s">
        <v>710</v>
      </c>
      <c r="C21" s="179">
        <f>ROUND('DOE25'!L209+'DOE25'!L227+'DOE25'!L245+'DOE25'!L288+'DOE25'!L307+'DOE25'!L326,0)</f>
        <v>1629066</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503108</v>
      </c>
      <c r="D25" s="182">
        <f t="shared" si="0"/>
        <v>1.1000000000000001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501526.28</v>
      </c>
      <c r="D27" s="182">
        <f t="shared" si="0"/>
        <v>1.1000000000000001</v>
      </c>
    </row>
    <row r="28" spans="1:4" x14ac:dyDescent="0.2">
      <c r="B28" s="187" t="s">
        <v>719</v>
      </c>
      <c r="C28" s="180">
        <f>SUM(C10:C27)</f>
        <v>45748802.280000001</v>
      </c>
      <c r="D28" s="184">
        <f>ROUND(SUM(D10:D27),0)</f>
        <v>100</v>
      </c>
    </row>
    <row r="29" spans="1:4" x14ac:dyDescent="0.2">
      <c r="A29">
        <v>4000</v>
      </c>
      <c r="B29" t="s">
        <v>724</v>
      </c>
      <c r="C29" s="179">
        <f>ROUND('DOE25'!L256+'DOE25'!L337+'DOE25'!L375+'DOE25'!L376+'DOE25'!L377+'DOE25'!L378+'DOE25'!L379+'DOE25'!L380+'DOE25'!L381,0)</f>
        <v>25246374</v>
      </c>
    </row>
    <row r="30" spans="1:4" x14ac:dyDescent="0.2">
      <c r="B30" s="187" t="s">
        <v>725</v>
      </c>
      <c r="C30" s="180">
        <f>SUM(C28:C29)</f>
        <v>70995176.280000001</v>
      </c>
    </row>
    <row r="31" spans="1:4" x14ac:dyDescent="0.2">
      <c r="B31" s="33"/>
      <c r="C31" s="180"/>
    </row>
    <row r="32" spans="1:4" x14ac:dyDescent="0.2">
      <c r="A32">
        <v>5100</v>
      </c>
      <c r="B32" s="33" t="s">
        <v>726</v>
      </c>
      <c r="C32" s="180">
        <f>ROUND('DOE25'!L261+'DOE25'!L342,0)</f>
        <v>1285000</v>
      </c>
    </row>
    <row r="34" spans="1:4" x14ac:dyDescent="0.2">
      <c r="A34" s="187" t="s">
        <v>94</v>
      </c>
      <c r="B34" s="188" t="s">
        <v>1667</v>
      </c>
      <c r="C34" s="181" t="s">
        <v>720</v>
      </c>
      <c r="D34" s="181" t="s">
        <v>721</v>
      </c>
    </row>
    <row r="35" spans="1:4" x14ac:dyDescent="0.2">
      <c r="A35">
        <v>1100</v>
      </c>
      <c r="B35" s="185" t="s">
        <v>727</v>
      </c>
      <c r="C35" s="179">
        <f>ROUND('DOE25'!F60+'DOE25'!G60+'DOE25'!H60+'DOE25'!I60+'DOE25'!J60,0)</f>
        <v>32985911</v>
      </c>
      <c r="D35" s="182">
        <f t="shared" ref="D35:D40" si="1">ROUND((C35/$C$41)*100,1)</f>
        <v>68.2</v>
      </c>
    </row>
    <row r="36" spans="1:4" x14ac:dyDescent="0.2">
      <c r="B36" s="185" t="s">
        <v>739</v>
      </c>
      <c r="C36" s="179">
        <f>SUM('DOE25'!F112:J112)-SUM('DOE25'!G97:G110)+('DOE25'!F175+'DOE25'!F176+'DOE25'!I175+'DOE25'!I176)-C35</f>
        <v>3480710.4899999946</v>
      </c>
      <c r="D36" s="182">
        <f t="shared" si="1"/>
        <v>7.2</v>
      </c>
    </row>
    <row r="37" spans="1:4" x14ac:dyDescent="0.2">
      <c r="A37" s="183" t="s">
        <v>835</v>
      </c>
      <c r="B37" s="185" t="s">
        <v>728</v>
      </c>
      <c r="C37" s="179">
        <f>ROUND('DOE25'!F117+'DOE25'!F118,0)</f>
        <v>9844352</v>
      </c>
      <c r="D37" s="182">
        <f t="shared" si="1"/>
        <v>20.3</v>
      </c>
    </row>
    <row r="38" spans="1:4" x14ac:dyDescent="0.2">
      <c r="A38" s="183" t="s">
        <v>734</v>
      </c>
      <c r="B38" s="185" t="s">
        <v>729</v>
      </c>
      <c r="C38" s="179">
        <f>ROUND(SUM('DOE25'!F140:J140)-SUM('DOE25'!F117:F119),0)</f>
        <v>604943</v>
      </c>
      <c r="D38" s="182">
        <f t="shared" si="1"/>
        <v>1.3</v>
      </c>
    </row>
    <row r="39" spans="1:4" x14ac:dyDescent="0.2">
      <c r="A39">
        <v>4000</v>
      </c>
      <c r="B39" s="185" t="s">
        <v>730</v>
      </c>
      <c r="C39" s="179">
        <f>ROUND('DOE25'!F170+'DOE25'!G170+'DOE25'!H170+'DOE25'!I170,0)</f>
        <v>1477409</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48393325.489999995</v>
      </c>
      <c r="D41" s="184">
        <f>SUM(D35:D40)</f>
        <v>100.1</v>
      </c>
    </row>
    <row r="42" spans="1:4" x14ac:dyDescent="0.2">
      <c r="A42" s="183" t="s">
        <v>737</v>
      </c>
      <c r="B42" s="185" t="s">
        <v>733</v>
      </c>
      <c r="C42" s="179">
        <f>ROUND('DOE25'!F174+'DOE25'!I174+'DOE25'!F177+'DOE25'!I177,0)</f>
        <v>28000000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0" sqref="C10:M10"/>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Oyster River Cooperative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t="s">
        <v>1681</v>
      </c>
      <c r="B4" s="219"/>
      <c r="C4" s="376" t="s">
        <v>1682</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1683</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t="s">
        <v>1684</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5B22B72BDA5246BF0CFDC84A97EFBB" ma:contentTypeVersion="8" ma:contentTypeDescription="Create a new document." ma:contentTypeScope="" ma:versionID="be11709b70f2cf51b3e0e8f2b06d603b">
  <xsd:schema xmlns:xsd="http://www.w3.org/2001/XMLSchema" xmlns:xs="http://www.w3.org/2001/XMLSchema" xmlns:p="http://schemas.microsoft.com/office/2006/metadata/properties" xmlns:ns1="http://schemas.microsoft.com/sharepoint/v3" xmlns:ns2="86161344-e70c-4b40-a606-940b20161c66" xmlns:ns3="85adda8a-f750-48e0-b64f-d9c72bb7b55e" targetNamespace="http://schemas.microsoft.com/office/2006/metadata/properties" ma:root="true" ma:fieldsID="5dbb61d860789d0ec92b92a8fffd970b" ns1:_="" ns2:_="" ns3:_="">
    <xsd:import namespace="http://schemas.microsoft.com/sharepoint/v3"/>
    <xsd:import namespace="86161344-e70c-4b40-a606-940b20161c66"/>
    <xsd:import namespace="85adda8a-f750-48e0-b64f-d9c72bb7b55e"/>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161344-e70c-4b40-a606-940b20161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5adda8a-f750-48e0-b64f-d9c72bb7b5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1C37C-43E2-4EA4-85CD-BADA9E349947}">
  <ds:schemaRefs>
    <ds:schemaRef ds:uri="http://schemas.microsoft.com/sharepoint/v3/contenttype/forms"/>
  </ds:schemaRefs>
</ds:datastoreItem>
</file>

<file path=customXml/itemProps2.xml><?xml version="1.0" encoding="utf-8"?>
<ds:datastoreItem xmlns:ds="http://schemas.openxmlformats.org/officeDocument/2006/customXml" ds:itemID="{B36A68DB-F1DC-4D22-A79B-94B80B410B40}">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85adda8a-f750-48e0-b64f-d9c72bb7b55e"/>
    <ds:schemaRef ds:uri="86161344-e70c-4b40-a606-940b20161c66"/>
    <ds:schemaRef ds:uri="http://www.w3.org/XML/1998/namespace"/>
  </ds:schemaRefs>
</ds:datastoreItem>
</file>

<file path=customXml/itemProps3.xml><?xml version="1.0" encoding="utf-8"?>
<ds:datastoreItem xmlns:ds="http://schemas.openxmlformats.org/officeDocument/2006/customXml" ds:itemID="{2412A4CC-DD40-4DAB-9021-E12062D747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161344-e70c-4b40-a606-940b20161c66"/>
    <ds:schemaRef ds:uri="85adda8a-f750-48e0-b64f-d9c72bb7b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2021-09-01T17:22:40Z</cp:lastPrinted>
  <dcterms:created xsi:type="dcterms:W3CDTF">1997-12-04T19:04:30Z</dcterms:created>
  <dcterms:modified xsi:type="dcterms:W3CDTF">2021-12-14T19:15:52Z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0x010100EA5B22B72BDA5246BF0CFDC84A97EFBB</vt:lpwstr>
  </property>
</Properties>
</file>