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12960" windowHeight="699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248" i="1" l="1"/>
  <c r="I248" i="1"/>
  <c r="J248" i="1"/>
  <c r="K248" i="1"/>
  <c r="F580" i="1" l="1"/>
  <c r="E5" i="14" l="1"/>
  <c r="D5" i="14" l="1"/>
  <c r="H544" i="1" l="1"/>
  <c r="H529" i="1" l="1"/>
  <c r="H527" i="1"/>
  <c r="F15" i="13"/>
  <c r="D6" i="14" l="1"/>
  <c r="D37" i="14"/>
  <c r="E37" i="14"/>
  <c r="F199" i="1"/>
  <c r="F235" i="1"/>
  <c r="K206" i="1" l="1"/>
  <c r="H605" i="1" l="1"/>
  <c r="H473" i="1"/>
  <c r="H13" i="1"/>
  <c r="H18" i="1"/>
  <c r="I287" i="1"/>
  <c r="J315" i="1" l="1"/>
  <c r="H282" i="1"/>
  <c r="H320" i="1"/>
  <c r="G282" i="1"/>
  <c r="G320" i="1"/>
  <c r="I280" i="1"/>
  <c r="J287" i="1"/>
  <c r="J321" i="1"/>
  <c r="J283" i="1"/>
  <c r="I286" i="1"/>
  <c r="H278" i="1"/>
  <c r="H159" i="1" l="1"/>
  <c r="F29" i="1" l="1"/>
  <c r="J469" i="1"/>
  <c r="J96" i="1"/>
  <c r="J593" i="1"/>
  <c r="H593" i="1"/>
  <c r="H592" i="1"/>
  <c r="G469" i="1" l="1"/>
  <c r="G9" i="1" l="1"/>
  <c r="F563" i="1"/>
  <c r="H401" i="1"/>
  <c r="I361" i="1"/>
  <c r="I359" i="1"/>
  <c r="H361" i="1"/>
  <c r="H359" i="1"/>
  <c r="H542" i="1"/>
  <c r="G524" i="1"/>
  <c r="H524" i="1"/>
  <c r="I524" i="1"/>
  <c r="J524" i="1"/>
  <c r="K524" i="1"/>
  <c r="F524" i="1"/>
  <c r="G522" i="1"/>
  <c r="H522" i="1"/>
  <c r="I522" i="1"/>
  <c r="J522" i="1"/>
  <c r="K522" i="1"/>
  <c r="F522" i="1"/>
  <c r="H469" i="1" l="1"/>
  <c r="F473" i="1"/>
  <c r="F469" i="1"/>
  <c r="F98" i="1"/>
  <c r="F68" i="1"/>
  <c r="F14" i="1" l="1"/>
  <c r="F13" i="1"/>
  <c r="F9"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C131" i="2" s="1"/>
  <c r="L262" i="1"/>
  <c r="C132" i="2" s="1"/>
  <c r="L342" i="1"/>
  <c r="E131" i="2"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L613" i="1"/>
  <c r="G664" i="1" s="1"/>
  <c r="L612" i="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F147" i="1"/>
  <c r="F170" i="1" s="1"/>
  <c r="G147" i="1"/>
  <c r="H147" i="1"/>
  <c r="H170" i="1" s="1"/>
  <c r="I147" i="1"/>
  <c r="F85" i="2" s="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4" i="2"/>
  <c r="C125" i="2"/>
  <c r="F128" i="2"/>
  <c r="G128"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H5" i="13" s="1"/>
  <c r="F230" i="1"/>
  <c r="G230" i="1"/>
  <c r="H230" i="1"/>
  <c r="I230" i="1"/>
  <c r="J230" i="1"/>
  <c r="K230" i="1"/>
  <c r="F248" i="1"/>
  <c r="G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G655" i="1"/>
  <c r="H655" i="1"/>
  <c r="H656" i="1"/>
  <c r="J656" i="1" s="1"/>
  <c r="I170" i="1"/>
  <c r="G477" i="1"/>
  <c r="E112" i="2" l="1"/>
  <c r="F664" i="1"/>
  <c r="G5" i="13"/>
  <c r="G62" i="2"/>
  <c r="G409" i="1"/>
  <c r="H646" i="1" s="1"/>
  <c r="G662" i="1"/>
  <c r="C119" i="2"/>
  <c r="C13" i="10"/>
  <c r="K258" i="1"/>
  <c r="K272" i="1" s="1"/>
  <c r="C112" i="2"/>
  <c r="J605" i="1"/>
  <c r="H663" i="1"/>
  <c r="A40" i="12"/>
  <c r="H477" i="1"/>
  <c r="H625" i="1" s="1"/>
  <c r="J625" i="1" s="1"/>
  <c r="H409" i="1"/>
  <c r="H645" i="1" s="1"/>
  <c r="J645" i="1" s="1"/>
  <c r="E121" i="2"/>
  <c r="I409" i="1"/>
  <c r="F409" i="1"/>
  <c r="H644" i="1" s="1"/>
  <c r="J644" i="1" s="1"/>
  <c r="G646" i="1"/>
  <c r="E111" i="2"/>
  <c r="C12" i="10"/>
  <c r="C110" i="2"/>
  <c r="J652" i="1"/>
  <c r="J140" i="1"/>
  <c r="C32" i="10"/>
  <c r="E123" i="2"/>
  <c r="E110" i="2"/>
  <c r="D18" i="13"/>
  <c r="C18" i="13" s="1"/>
  <c r="D15" i="13"/>
  <c r="C15" i="13" s="1"/>
  <c r="C121" i="2"/>
  <c r="C120" i="2"/>
  <c r="D50" i="2"/>
  <c r="G553" i="1"/>
  <c r="E119" i="2"/>
  <c r="D6" i="13"/>
  <c r="C6" i="13" s="1"/>
  <c r="E13" i="13"/>
  <c r="C13" i="13" s="1"/>
  <c r="J572" i="1"/>
  <c r="K339" i="1"/>
  <c r="K353" i="1" s="1"/>
  <c r="G339" i="1"/>
  <c r="G353" i="1" s="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H258" i="1"/>
  <c r="H272" i="1" s="1"/>
  <c r="I52" i="1"/>
  <c r="H621" i="1" s="1"/>
  <c r="J621" i="1" s="1"/>
  <c r="D31" i="2"/>
  <c r="E31" i="2"/>
  <c r="C18" i="2"/>
  <c r="F18" i="2"/>
  <c r="L271" i="1"/>
  <c r="F662" i="1"/>
  <c r="F572" i="1"/>
  <c r="L420" i="1"/>
  <c r="D91" i="2"/>
  <c r="D81" i="2"/>
  <c r="E78" i="2"/>
  <c r="E81" i="2" s="1"/>
  <c r="G5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3" i="1" l="1"/>
  <c r="J258" i="1"/>
  <c r="J272" i="1" s="1"/>
  <c r="K605" i="1"/>
  <c r="K606" i="1" s="1"/>
  <c r="G649" i="1" s="1"/>
  <c r="H606" i="1"/>
  <c r="D51" i="2"/>
  <c r="J646" i="1"/>
  <c r="F661" i="1"/>
  <c r="F665" i="1" s="1"/>
  <c r="F668" i="1" s="1"/>
  <c r="E115" i="2"/>
  <c r="C141" i="2"/>
  <c r="C144" i="2" s="1"/>
  <c r="H649" i="1"/>
  <c r="E128" i="2"/>
  <c r="E51" i="2"/>
  <c r="H661" i="1"/>
  <c r="F194" i="1"/>
  <c r="G628" i="1" s="1"/>
  <c r="J628" i="1" s="1"/>
  <c r="G24" i="14"/>
  <c r="H24" i="14" s="1"/>
  <c r="I24" i="14" s="1"/>
  <c r="C81" i="2"/>
  <c r="L572" i="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J649" i="1"/>
  <c r="J606" i="1"/>
  <c r="H664" i="1"/>
  <c r="I664" i="1" s="1"/>
  <c r="C104" i="2"/>
  <c r="F673" i="1"/>
  <c r="C4" i="10" s="1"/>
  <c r="I661" i="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5" i="1" l="1"/>
  <c r="I673" i="1" s="1"/>
  <c r="C7" i="10" s="1"/>
  <c r="H665" i="1"/>
  <c r="H657" i="1"/>
  <c r="D28" i="10"/>
  <c r="D37" i="10"/>
  <c r="D36" i="10"/>
  <c r="D35" i="10"/>
  <c r="D40" i="10"/>
  <c r="D39" i="10"/>
  <c r="I668" i="1" l="1"/>
  <c r="H668" i="1"/>
  <c r="H673" i="1"/>
  <c r="C6" i="10" s="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<sst xmlns="http://schemas.openxmlformats.org/spreadsheetml/2006/main" count="5575" uniqueCount="1674">
  <si>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</si>
  <si>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</si>
  <si>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</si>
  <si>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</si>
  <si>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</si>
  <si>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</si>
  <si>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</si>
  <si>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</si>
  <si>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</si>
  <si>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</si>
  <si>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</si>
  <si>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</si>
  <si>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</si>
  <si>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</si>
  <si>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</si>
  <si>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</si>
  <si>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</si>
  <si>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</si>
  <si>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</si>
  <si>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</si>
  <si>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</si>
  <si>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</si>
  <si>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</si>
  <si>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</si>
  <si>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</si>
  <si>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</si>
  <si>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</si>
  <si>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</si>
  <si>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</si>
  <si>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</si>
  <si>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</si>
  <si>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</si>
  <si>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</si>
  <si>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</si>
  <si>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</si>
  <si>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</si>
  <si>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</si>
  <si>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</si>
  <si>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</si>
  <si>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</si>
  <si>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</si>
  <si>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</si>
  <si>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</si>
  <si>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</si>
  <si>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</si>
  <si>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</si>
  <si>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</si>
  <si>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</si>
  <si>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</si>
  <si>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</si>
  <si>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</si>
  <si>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</si>
  <si>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</si>
  <si>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</si>
  <si>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</si>
  <si>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</si>
  <si>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</si>
  <si>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</si>
  <si>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</si>
  <si>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</si>
  <si>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</si>
  <si>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</si>
  <si>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</si>
  <si>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</si>
  <si>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</si>
  <si>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</si>
  <si>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</si>
  <si>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</si>
  <si>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</si>
  <si>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</si>
  <si>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</si>
  <si>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</si>
  <si>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</si>
  <si>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</si>
  <si>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</si>
  <si>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</si>
  <si>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</si>
  <si>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</si>
  <si>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</si>
  <si>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</si>
  <si>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</si>
  <si>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</si>
  <si>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</si>
  <si>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</si>
  <si>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</si>
  <si>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</si>
  <si>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</si>
  <si>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</si>
  <si>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</si>
  <si>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</si>
  <si>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</si>
  <si>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</si>
  <si>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</si>
  <si>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</si>
  <si>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</si>
  <si>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</si>
  <si>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</si>
  <si>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</si>
  <si>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</si>
  <si>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</si>
  <si>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</si>
  <si>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</si>
  <si>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</si>
  <si>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</si>
  <si>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</si>
  <si>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</si>
  <si>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</si>
  <si>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</si>
  <si>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</si>
  <si>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</si>
  <si>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</si>
  <si>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</si>
  <si>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</si>
  <si>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</si>
  <si>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</si>
  <si>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</si>
  <si>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</si>
  <si>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</si>
  <si>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</si>
  <si>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</si>
  <si>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</si>
  <si>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</si>
  <si>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</si>
  <si>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</si>
  <si>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</si>
  <si>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</si>
  <si>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</si>
  <si>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</si>
  <si>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</si>
  <si>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</si>
  <si>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</si>
  <si>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</si>
  <si>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</si>
  <si>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</si>
  <si>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</si>
  <si>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</si>
  <si>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</si>
  <si>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</si>
  <si>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</si>
  <si>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</si>
  <si>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</si>
  <si>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</si>
  <si>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</si>
  <si>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</si>
  <si>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</si>
  <si>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</si>
  <si>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</si>
  <si>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</si>
  <si>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</si>
  <si>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</si>
  <si>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</si>
  <si>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</si>
  <si>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</si>
  <si>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</si>
  <si>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</si>
  <si>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</si>
  <si>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</si>
  <si>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</si>
  <si>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</si>
  <si>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</si>
  <si>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</si>
  <si>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</si>
  <si>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</si>
  <si>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</si>
  <si>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</si>
  <si>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</si>
  <si>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</si>
  <si>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</si>
  <si>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</si>
  <si>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</si>
  <si>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</si>
  <si>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</si>
  <si>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</si>
  <si>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</si>
  <si>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</si>
  <si>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</si>
  <si>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</si>
  <si>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</si>
  <si>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</si>
  <si>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</si>
  <si>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</si>
  <si>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</si>
  <si>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</si>
  <si>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</si>
  <si>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</si>
  <si>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</si>
  <si>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</si>
  <si>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</si>
  <si>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</si>
  <si>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</si>
  <si>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</si>
  <si>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</si>
  <si>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</si>
  <si>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</si>
  <si>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</si>
  <si>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</si>
  <si>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</si>
  <si>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</si>
  <si>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</si>
  <si>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</si>
  <si>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</si>
  <si>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</si>
  <si>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</si>
  <si>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</si>
  <si>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</si>
  <si>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</si>
  <si>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</si>
  <si>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</si>
  <si>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</si>
  <si>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</si>
  <si>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</si>
  <si>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</si>
  <si>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</si>
  <si>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</si>
  <si>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</si>
  <si>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</si>
  <si>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</si>
  <si>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</si>
  <si>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</si>
  <si>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</si>
  <si>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</si>
  <si>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</si>
  <si>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</si>
  <si>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</si>
  <si>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</si>
  <si>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</si>
  <si>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</si>
  <si>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</si>
  <si>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</si>
  <si>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</si>
  <si>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</si>
  <si>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</si>
  <si>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</si>
  <si>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</si>
  <si>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</si>
  <si>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</si>
  <si>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</si>
  <si>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</si>
  <si>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</si>
  <si>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</si>
  <si>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</si>
  <si>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</si>
  <si>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</si>
  <si>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</si>
  <si>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</si>
  <si>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</si>
  <si>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</si>
  <si>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</si>
  <si>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</si>
  <si>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</si>
  <si>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</si>
  <si>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</si>
  <si>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</si>
  <si>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</si>
  <si>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</si>
  <si>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</si>
  <si>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</si>
  <si>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</si>
  <si>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</si>
  <si>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</si>
  <si>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</si>
  <si>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</si>
  <si>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</si>
  <si>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</si>
  <si>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</si>
  <si>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</si>
  <si>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</si>
  <si>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</si>
  <si>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</si>
  <si>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</si>
  <si>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</si>
  <si>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</si>
  <si>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</si>
  <si>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</si>
  <si>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</si>
  <si>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</si>
  <si>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</si>
  <si>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</si>
  <si>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</si>
  <si>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</si>
  <si>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</si>
  <si>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</si>
  <si>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</si>
  <si>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</si>
  <si>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</si>
  <si>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</si>
  <si>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</si>
  <si>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</si>
  <si>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</si>
  <si>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</si>
  <si>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</si>
  <si>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</si>
  <si>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</si>
  <si>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</si>
  <si>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</si>
  <si>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</si>
  <si>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</si>
  <si>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</si>
  <si>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</si>
  <si>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</si>
  <si>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</si>
  <si>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</si>
  <si>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</si>
  <si>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</si>
  <si>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</si>
  <si>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</si>
  <si>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</si>
  <si>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</si>
  <si>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</si>
  <si>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</si>
  <si>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</si>
  <si>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</si>
  <si>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</si>
  <si>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</si>
  <si>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</si>
  <si>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</si>
  <si>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</si>
  <si>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</si>
  <si>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</si>
  <si>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</si>
  <si>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</si>
  <si>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</si>
  <si>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</si>
  <si>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</si>
  <si>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</si>
  <si>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</si>
  <si>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</si>
  <si>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</si>
  <si>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</si>
  <si>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</si>
  <si>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</si>
  <si>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</si>
  <si>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</si>
  <si>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</si>
  <si>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</si>
  <si>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</si>
  <si>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</si>
  <si>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</si>
  <si>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</si>
  <si>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</si>
  <si>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</si>
  <si>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</si>
  <si>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</si>
  <si>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</si>
  <si>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</si>
  <si>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</si>
  <si>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</si>
  <si>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</si>
  <si>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</si>
  <si>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</si>
  <si>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</si>
  <si>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</si>
  <si>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</si>
  <si>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</si>
  <si>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</si>
  <si>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</si>
  <si>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</si>
  <si>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</si>
  <si>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</si>
  <si>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</si>
  <si>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</si>
  <si>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</si>
  <si>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</si>
  <si>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</si>
  <si>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</si>
  <si>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</si>
  <si>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</si>
  <si>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</si>
  <si>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</si>
  <si>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</si>
  <si>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</si>
  <si>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</si>
  <si>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</si>
  <si>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</si>
  <si>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</si>
  <si>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</si>
  <si>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</si>
  <si>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</si>
  <si>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</si>
  <si>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</si>
  <si>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</si>
  <si>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</si>
  <si>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</si>
  <si>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</si>
  <si>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</si>
  <si>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</si>
  <si>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</si>
  <si>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</si>
  <si>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</si>
  <si>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</si>
  <si>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</si>
  <si>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</si>
  <si>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</si>
  <si>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</si>
  <si>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</si>
  <si>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</si>
  <si>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</si>
  <si>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</si>
  <si>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</si>
  <si>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</si>
  <si>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</si>
  <si>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</si>
  <si>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</si>
  <si>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</si>
  <si>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</si>
  <si>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</si>
  <si>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</si>
  <si>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</si>
  <si>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</si>
  <si>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</si>
  <si>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</si>
  <si>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</si>
  <si>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</si>
  <si>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</si>
  <si>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</si>
  <si>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</si>
  <si>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</si>
  <si>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</si>
  <si>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</si>
  <si>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</si>
  <si>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</si>
  <si>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</si>
  <si>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</si>
  <si>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</si>
  <si>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</si>
  <si>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</si>
  <si>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</si>
  <si>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</si>
  <si>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</si>
  <si>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</si>
  <si>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</si>
  <si>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</si>
  <si>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</si>
  <si>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</si>
  <si>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</si>
  <si>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</si>
  <si>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</si>
  <si>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</si>
  <si>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</si>
  <si>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</si>
  <si>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</si>
  <si>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</si>
  <si>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</si>
  <si>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</si>
  <si>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</si>
  <si>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</si>
  <si>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</si>
  <si>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</si>
  <si>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</si>
  <si>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</si>
  <si>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</si>
  <si>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</si>
  <si>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</si>
  <si>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</si>
  <si>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</si>
  <si>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</si>
  <si>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</si>
  <si>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</si>
  <si>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</si>
  <si>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</si>
  <si>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</si>
  <si>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</si>
  <si>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</si>
  <si>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</si>
  <si>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</si>
  <si>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</si>
  <si>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</si>
  <si>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</si>
  <si>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</si>
  <si>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</si>
  <si>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</si>
  <si>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</si>
  <si>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</si>
  <si>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</si>
  <si>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</si>
  <si>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</si>
  <si>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</si>
  <si>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</si>
  <si>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</si>
  <si>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</si>
  <si>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</si>
  <si>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</si>
  <si>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</si>
  <si>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</si>
  <si>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</si>
  <si>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</si>
  <si>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</si>
  <si>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</si>
  <si>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</si>
  <si>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</si>
  <si>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</si>
  <si>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</si>
  <si>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</si>
  <si>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</si>
  <si>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</si>
  <si>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</si>
  <si>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</si>
  <si>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</si>
  <si>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</si>
  <si>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</si>
  <si>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</si>
  <si>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</si>
  <si>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</si>
  <si>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</si>
  <si>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</si>
  <si>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</si>
  <si>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</si>
  <si>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</si>
  <si>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</si>
  <si>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</si>
  <si>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</si>
  <si>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</si>
  <si>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</si>
  <si>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</si>
  <si>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</si>
  <si>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</si>
  <si>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</si>
  <si>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</si>
  <si>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</si>
  <si>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</si>
  <si>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</si>
  <si>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</si>
  <si>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</si>
  <si>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</si>
  <si>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</si>
  <si>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</si>
  <si>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</si>
  <si>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</si>
  <si>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</si>
  <si>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</si>
  <si>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</si>
  <si>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</si>
  <si>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</si>
  <si>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</si>
  <si>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</si>
  <si>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</si>
  <si>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</si>
  <si>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</si>
  <si>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</si>
  <si>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</si>
  <si>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</si>
  <si>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</si>
  <si>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</si>
  <si>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</si>
  <si>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</si>
  <si>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</si>
  <si>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</si>
  <si>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</si>
  <si>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</si>
  <si>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</si>
  <si>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</si>
  <si>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</si>
  <si>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</si>
  <si>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</si>
  <si>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</si>
  <si>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</si>
  <si>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</si>
  <si>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</si>
  <si>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</si>
  <si>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</si>
  <si>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</si>
  <si>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</si>
  <si>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</si>
  <si>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</si>
  <si>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</si>
  <si>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</si>
  <si>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</si>
  <si>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</si>
  <si>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</si>
  <si>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</si>
  <si>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</si>
  <si>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</si>
  <si>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</si>
  <si>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</si>
  <si>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</si>
  <si>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</si>
  <si>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</si>
  <si>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</si>
  <si>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</si>
  <si>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</si>
  <si>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</si>
  <si>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</si>
  <si>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</si>
  <si>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</si>
  <si>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</si>
  <si>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</si>
  <si>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</si>
  <si>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</si>
  <si>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</si>
  <si>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</si>
  <si>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</si>
  <si>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</si>
  <si>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</si>
  <si>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</si>
  <si>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</si>
  <si>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</si>
  <si>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</si>
  <si>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</si>
  <si>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</si>
  <si>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</si>
  <si>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</si>
  <si>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</si>
  <si>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</si>
  <si>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</si>
  <si>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</si>
  <si>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</si>
  <si>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</si>
  <si>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</si>
  <si>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</si>
  <si>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</si>
  <si>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</si>
  <si>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</si>
  <si>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</si>
  <si>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</si>
  <si>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</si>
  <si>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</si>
  <si>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</si>
  <si>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</si>
  <si>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</si>
  <si>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</si>
  <si>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</si>
  <si>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</si>
  <si>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</si>
  <si>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</si>
  <si>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</si>
  <si>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</si>
  <si>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</si>
  <si>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</si>
  <si>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</si>
  <si>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</si>
  <si>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</si>
  <si>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</si>
  <si>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</si>
  <si>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</si>
  <si>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</si>
  <si>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</si>
  <si>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</si>
  <si>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</si>
  <si>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</si>
  <si>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</si>
  <si>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</si>
  <si>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</si>
  <si>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</si>
  <si>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</si>
  <si>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</si>
  <si>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</si>
  <si>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</si>
  <si>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</si>
  <si>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</si>
  <si>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</si>
  <si>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</si>
  <si>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</si>
  <si>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</si>
  <si>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</si>
  <si>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</si>
  <si>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</si>
  <si>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</si>
  <si>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</si>
  <si>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</si>
  <si>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</si>
  <si>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</si>
  <si>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</si>
  <si>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</si>
  <si>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</si>
  <si>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</si>
  <si>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</si>
  <si>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</si>
  <si>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</si>
  <si>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</si>
  <si>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</si>
  <si>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</si>
  <si>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</si>
  <si>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</si>
  <si>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</si>
  <si>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</si>
  <si>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</si>
  <si>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</si>
  <si>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</si>
  <si>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</si>
  <si>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</si>
  <si>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</si>
  <si>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</si>
  <si>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</si>
  <si>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</si>
  <si>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</si>
  <si>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</si>
  <si>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</si>
  <si>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</si>
  <si>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</si>
  <si>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</si>
  <si>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</si>
  <si>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</si>
  <si>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</si>
  <si>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</si>
  <si>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</si>
  <si>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</si>
  <si>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</si>
  <si>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</si>
  <si>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</si>
  <si>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</si>
  <si>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</si>
  <si>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</si>
  <si>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</si>
  <si>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</si>
  <si>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</si>
  <si>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</si>
  <si>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</si>
  <si>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</si>
  <si>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</si>
  <si>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</si>
  <si>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</si>
  <si>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</si>
  <si>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</si>
  <si>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</si>
  <si>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</si>
  <si>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</si>
  <si>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</si>
  <si>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</si>
  <si>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</si>
  <si>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</si>
  <si>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</si>
  <si>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</si>
  <si>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</si>
  <si>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</si>
  <si>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</si>
  <si>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</si>
  <si>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</si>
  <si>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</si>
  <si>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</si>
  <si>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</si>
  <si>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</si>
  <si>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</si>
  <si>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</si>
  <si>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</si>
  <si>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</si>
  <si>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</si>
  <si>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</si>
  <si>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</si>
  <si>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</si>
  <si>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</si>
  <si>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</si>
  <si>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</si>
  <si>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</si>
  <si>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</si>
  <si>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</si>
  <si>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</si>
  <si>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</si>
  <si>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</si>
  <si>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</si>
  <si>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</si>
  <si>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</si>
  <si>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</si>
  <si>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</si>
  <si>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</si>
  <si>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</si>
  <si>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</si>
  <si>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</si>
  <si>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</si>
  <si>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</si>
  <si>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</si>
  <si>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</si>
  <si>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</si>
  <si>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</si>
  <si>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</si>
  <si>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</si>
  <si>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</si>
  <si>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</si>
  <si>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</si>
  <si>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</si>
  <si>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</si>
  <si>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</si>
  <si>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</si>
  <si>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</si>
  <si>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</si>
  <si>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</si>
  <si>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</si>
  <si>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</si>
  <si>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</si>
  <si>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</si>
  <si>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</si>
  <si>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</si>
  <si>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</si>
  <si>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</si>
  <si>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</si>
  <si>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</si>
  <si>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</si>
  <si>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</si>
  <si>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</si>
  <si>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</si>
  <si>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</si>
  <si>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</si>
  <si>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</si>
  <si>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</si>
  <si>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</si>
  <si>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</si>
  <si>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</si>
  <si>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</si>
  <si>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</si>
  <si>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</si>
  <si>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</si>
  <si>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</si>
  <si>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</si>
  <si>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</si>
  <si>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</si>
  <si>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</si>
  <si>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</si>
  <si>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</si>
  <si>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</si>
  <si>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</si>
  <si>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</si>
  <si>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</si>
  <si>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</si>
  <si>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</si>
  <si>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</si>
  <si>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</si>
  <si>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</si>
  <si>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</si>
  <si>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</si>
  <si>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</si>
  <si>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</si>
  <si>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</si>
  <si>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</si>
  <si>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</si>
  <si>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</si>
  <si>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</si>
  <si>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</si>
  <si>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</si>
  <si>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</si>
  <si>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</si>
  <si>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</si>
  <si>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</si>
  <si>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</si>
  <si>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</si>
  <si>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</si>
  <si>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</si>
  <si>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</si>
  <si>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</si>
  <si>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</si>
  <si>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</si>
  <si>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</si>
  <si>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</si>
  <si>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</si>
  <si>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</si>
  <si>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</si>
  <si>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</si>
  <si>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</si>
  <si>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</si>
  <si>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</si>
  <si>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</si>
  <si>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</si>
  <si>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</si>
  <si>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</si>
  <si>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</si>
  <si>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</si>
  <si>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</si>
  <si>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</si>
  <si>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</si>
  <si>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</si>
  <si>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</si>
  <si>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</si>
  <si>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</si>
  <si>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</si>
  <si>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</si>
  <si>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</si>
  <si>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</si>
  <si>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</si>
  <si>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</si>
  <si>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</si>
  <si>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</si>
  <si>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</si>
  <si>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</si>
  <si>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</si>
  <si>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</si>
  <si>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</si>
  <si>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</si>
  <si>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</si>
  <si>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</si>
  <si>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</si>
  <si>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</si>
  <si>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</si>
  <si>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</si>
  <si>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</si>
  <si>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</si>
  <si>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</si>
  <si>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</si>
  <si>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</si>
  <si>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</si>
  <si>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</si>
  <si>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</si>
  <si>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</si>
  <si>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</si>
  <si>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</si>
  <si>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</si>
  <si>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</si>
  <si>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</si>
  <si>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</si>
  <si>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</si>
  <si>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</si>
  <si>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</si>
  <si>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</si>
  <si>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</si>
  <si>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</si>
  <si>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</si>
  <si>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</si>
  <si>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</si>
  <si>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</si>
  <si>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</si>
  <si>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</si>
  <si>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</si>
  <si>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</si>
  <si>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</si>
  <si>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</si>
  <si>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</si>
  <si>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</si>
  <si>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</si>
  <si>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</si>
  <si>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</si>
  <si>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</si>
  <si>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</si>
  <si>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</si>
  <si>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</si>
  <si>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</si>
  <si>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</si>
  <si>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</si>
  <si>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</si>
  <si>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</si>
  <si>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</si>
  <si>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</si>
  <si>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</si>
  <si>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</si>
  <si>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</si>
  <si>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</si>
  <si>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</si>
  <si>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</si>
  <si>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</si>
  <si>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</si>
  <si>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</si>
  <si>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</si>
  <si>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</si>
  <si>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</si>
  <si>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</si>
  <si>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</si>
  <si>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</si>
  <si>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</si>
  <si>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</si>
  <si>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</si>
  <si>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</si>
  <si>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</si>
  <si>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</si>
  <si>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</si>
  <si>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</si>
  <si>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</si>
  <si>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</si>
  <si>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</si>
  <si>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</si>
  <si>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</si>
  <si>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</si>
  <si>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</si>
  <si>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</si>
  <si>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</si>
  <si>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</si>
  <si>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</si>
  <si>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</si>
  <si>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</si>
  <si>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</si>
  <si>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</si>
  <si>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</si>
  <si>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</si>
  <si>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</si>
  <si>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</si>
  <si>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</si>
  <si>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</si>
  <si>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</si>
  <si>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</si>
  <si>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</si>
  <si>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</si>
  <si>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</si>
  <si>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</si>
  <si>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</si>
  <si>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</si>
  <si>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</si>
  <si>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</si>
  <si>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</si>
  <si>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</si>
  <si>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</si>
  <si>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</si>
  <si>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</si>
  <si>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</si>
  <si>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</si>
  <si>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</si>
  <si>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</si>
  <si>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</si>
  <si>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</si>
  <si>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</si>
  <si>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</si>
  <si>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</si>
  <si>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</si>
  <si>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</si>
  <si>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</si>
  <si>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</si>
  <si>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</si>
  <si>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</si>
  <si>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</si>
  <si>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</si>
  <si>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</si>
  <si>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</si>
  <si>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</si>
  <si>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</si>
  <si>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</si>
  <si>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</si>
  <si>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</si>
  <si>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</si>
  <si>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</si>
  <si>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</si>
  <si>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</si>
  <si>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</si>
  <si>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</si>
  <si>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</si>
  <si>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</si>
  <si>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</si>
  <si>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</si>
  <si>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</si>
  <si>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</si>
  <si>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</si>
  <si>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</si>
  <si>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</si>
  <si>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</si>
  <si>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</si>
  <si>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</si>
  <si>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</si>
  <si>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</si>
  <si>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</si>
  <si>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</si>
  <si>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</si>
  <si>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</si>
  <si>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</si>
  <si>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</si>
  <si>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</si>
  <si>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</si>
  <si>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</si>
  <si>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</si>
  <si>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</si>
  <si>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</si>
  <si>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</si>
  <si>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</si>
  <si>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</si>
  <si>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</si>
  <si>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</si>
  <si>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</si>
  <si>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</si>
  <si>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</si>
  <si>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</si>
  <si>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</si>
  <si>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</si>
  <si>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</si>
  <si>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</si>
  <si>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</si>
  <si>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</si>
  <si>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</si>
  <si>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</si>
  <si>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</si>
  <si>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</si>
  <si>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</si>
  <si>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</si>
  <si>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</si>
  <si>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</si>
  <si>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</si>
  <si>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</si>
  <si>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</si>
  <si>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</si>
  <si>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</si>
  <si>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</si>
  <si>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</si>
  <si>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</si>
  <si>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</si>
  <si>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</si>
  <si>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</si>
  <si>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</si>
  <si>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</si>
  <si>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</si>
  <si>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</si>
  <si>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</si>
  <si>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</si>
  <si>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</si>
  <si>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</si>
  <si>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</si>
  <si>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</si>
  <si>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</si>
  <si>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</si>
  <si>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</si>
  <si>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</si>
  <si>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</si>
  <si>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</si>
  <si>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</si>
  <si>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</si>
  <si>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</si>
  <si>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</si>
  <si>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</si>
  <si>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</si>
  <si>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</si>
  <si>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</si>
  <si>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</si>
  <si>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</si>
  <si>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</si>
  <si>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</si>
  <si>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</si>
  <si>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</si>
  <si>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</si>
  <si>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</si>
  <si>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</si>
  <si>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</si>
  <si>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</si>
  <si>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</si>
  <si>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</si>
  <si>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</si>
  <si>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</si>
  <si>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</si>
  <si>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</si>
  <si>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</si>
  <si>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</si>
  <si>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</si>
  <si>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</si>
  <si>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</si>
  <si>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</si>
  <si>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</si>
  <si>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</si>
  <si>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</si>
  <si>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</si>
  <si>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</si>
  <si>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</si>
  <si>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</si>
  <si>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</si>
  <si>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</si>
  <si>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</si>
  <si>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</si>
  <si>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</si>
  <si>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</si>
  <si>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</si>
  <si>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</si>
  <si>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</si>
  <si>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</si>
  <si>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</si>
  <si>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</si>
  <si>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</si>
  <si>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</si>
  <si>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</si>
  <si>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</si>
  <si>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</si>
  <si>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</si>
  <si>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</si>
  <si>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</si>
  <si>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</si>
  <si>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</si>
  <si>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</si>
  <si>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</si>
  <si>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</si>
  <si>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</si>
  <si>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</si>
  <si>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</si>
  <si>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</si>
  <si>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</si>
  <si>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</si>
  <si>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</si>
  <si>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</si>
  <si>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</si>
  <si>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</si>
  <si>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</si>
  <si>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</si>
  <si>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</si>
  <si>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</si>
  <si>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</si>
  <si>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</si>
  <si>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</si>
  <si>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</si>
  <si>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</si>
  <si>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</si>
  <si>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</si>
  <si>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</si>
  <si>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</si>
  <si>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</si>
  <si>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</si>
  <si>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</si>
  <si>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</si>
  <si>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</si>
  <si>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</si>
  <si>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</si>
  <si>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</si>
  <si>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</si>
  <si>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</si>
  <si>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</si>
  <si>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</si>
  <si>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</si>
  <si>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</si>
  <si>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</si>
  <si>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</si>
  <si>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</si>
  <si>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</si>
  <si>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</si>
  <si>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</si>
  <si>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</si>
  <si>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</si>
  <si>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</si>
  <si>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</si>
  <si>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</si>
  <si>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</si>
  <si>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</si>
  <si>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</si>
  <si>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</si>
  <si>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</si>
  <si>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</si>
  <si>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</si>
  <si>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</si>
  <si>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</si>
  <si>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</si>
  <si>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</si>
  <si>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</si>
  <si>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</si>
  <si>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</si>
  <si>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</si>
  <si>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</si>
  <si>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</si>
  <si>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</si>
  <si>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</si>
  <si>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</si>
  <si>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</si>
  <si>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</si>
  <si>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</si>
  <si>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</si>
  <si>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</si>
  <si>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</si>
  <si>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</si>
  <si>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</si>
  <si>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</si>
  <si>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</si>
  <si>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</si>
  <si>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</si>
  <si>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</si>
  <si>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</si>
  <si>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</si>
  <si>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</si>
  <si>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</si>
  <si>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</si>
  <si>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</si>
  <si>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</si>
  <si>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</si>
  <si>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</si>
  <si>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</si>
  <si>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</si>
  <si>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</si>
  <si>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</si>
  <si>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</si>
  <si>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</si>
  <si>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</si>
  <si>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</si>
  <si>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</si>
  <si>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</si>
  <si>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</si>
  <si>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</si>
  <si>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</si>
  <si>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</si>
  <si>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</si>
  <si>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</si>
  <si>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</si>
  <si>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</si>
  <si>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</si>
  <si>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</si>
  <si>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</si>
  <si>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</si>
  <si>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</si>
  <si>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</si>
  <si>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</si>
  <si>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</si>
  <si>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</si>
  <si>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</si>
  <si>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</si>
  <si>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</si>
  <si>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</si>
  <si>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</si>
  <si>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</si>
  <si>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</si>
  <si>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</si>
  <si>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</si>
  <si>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</si>
  <si>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</si>
  <si>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</si>
  <si>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</si>
  <si>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</si>
  <si>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</si>
  <si>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</si>
  <si>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</si>
  <si>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</si>
  <si>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</si>
  <si>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</si>
  <si>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</si>
  <si>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</si>
  <si>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</si>
  <si>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</si>
  <si>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</si>
  <si>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</si>
  <si>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</si>
  <si>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</si>
  <si>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</si>
  <si>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</si>
  <si>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</si>
  <si>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</si>
  <si>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</si>
  <si>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</si>
  <si>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</si>
  <si>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</si>
  <si>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</si>
  <si>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</si>
  <si>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</si>
  <si>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</si>
  <si>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</si>
  <si>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</si>
  <si>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</si>
  <si>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</si>
  <si>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</si>
  <si>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</si>
  <si>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</si>
  <si>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</si>
  <si>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</si>
  <si>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</si>
  <si>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</si>
  <si>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</si>
  <si>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</si>
  <si>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</si>
  <si>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</si>
  <si>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</si>
  <si>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</si>
  <si>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</si>
  <si>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</si>
  <si>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</si>
  <si>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</si>
  <si>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</si>
  <si>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</si>
  <si>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</si>
  <si>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</si>
  <si>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</si>
  <si>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</si>
  <si>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</si>
  <si>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</si>
  <si>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</si>
  <si>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</si>
  <si>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</si>
  <si>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</si>
  <si>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</si>
  <si>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</si>
  <si>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</si>
  <si>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</si>
  <si>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</si>
  <si>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</si>
  <si>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</si>
  <si>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</si>
  <si>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</si>
  <si>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</si>
  <si>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</si>
  <si>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</si>
  <si>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</si>
  <si>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</si>
  <si>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</si>
  <si>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</si>
  <si>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</si>
  <si>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</si>
  <si>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</si>
  <si>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</si>
  <si>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</si>
  <si>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</si>
  <si>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</si>
  <si>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</si>
  <si>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</si>
  <si>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</si>
  <si>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</si>
  <si>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</si>
  <si>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</si>
  <si>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</si>
  <si>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</si>
  <si>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</si>
  <si>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</si>
  <si>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</si>
  <si>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</si>
  <si>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</si>
  <si>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</si>
  <si>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</si>
  <si>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</si>
  <si>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</si>
  <si>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</si>
  <si>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</si>
  <si>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</si>
  <si>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</si>
  <si>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</si>
  <si>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</si>
  <si>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</si>
  <si>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</si>
  <si>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</si>
  <si>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</si>
  <si>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</si>
  <si>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</si>
  <si>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</si>
  <si>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</si>
  <si>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</si>
  <si>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</si>
  <si>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</si>
  <si>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</si>
  <si>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</si>
  <si>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</si>
  <si>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</si>
  <si>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</si>
  <si>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</si>
  <si>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</si>
  <si>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</si>
  <si>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</si>
  <si>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</si>
  <si>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</si>
  <si>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</si>
  <si>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</si>
  <si>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</si>
  <si>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</si>
  <si>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</si>
  <si>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</si>
  <si>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</si>
  <si>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</si>
  <si>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</si>
  <si>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</si>
  <si>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</si>
  <si>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</si>
  <si>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</si>
  <si>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</si>
  <si>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</si>
  <si>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</si>
  <si>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</si>
  <si>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</si>
  <si>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</si>
  <si>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</si>
  <si>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</si>
  <si>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</si>
  <si>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</si>
  <si>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</si>
  <si>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</si>
  <si>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</si>
  <si>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</si>
  <si>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</si>
  <si>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</si>
  <si>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</si>
  <si>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</si>
  <si>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</si>
  <si>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</si>
  <si>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</si>
  <si>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</si>
  <si>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</si>
  <si>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</si>
  <si>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</si>
  <si>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</si>
  <si>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</si>
  <si>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</si>
  <si>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</si>
  <si>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</si>
  <si>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</si>
  <si>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</si>
  <si>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</si>
  <si>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</si>
  <si>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</si>
  <si>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</si>
  <si>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</si>
  <si>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</si>
  <si>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</si>
  <si>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</si>
  <si>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</si>
  <si>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</si>
  <si>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</si>
  <si>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</si>
  <si>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</si>
  <si>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</si>
  <si>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</si>
  <si>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</si>
  <si>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</si>
  <si>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</si>
  <si>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</si>
  <si>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</si>
  <si>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</si>
  <si>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</si>
  <si>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</si>
  <si>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</si>
  <si>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</si>
  <si>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</si>
  <si>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</si>
  <si>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</si>
  <si>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</si>
  <si>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</si>
  <si>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</si>
  <si>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</si>
  <si>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</si>
  <si>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</si>
  <si>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</si>
  <si>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</si>
  <si>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</si>
  <si>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</si>
  <si>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</si>
  <si>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</si>
  <si>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</si>
  <si>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</si>
  <si>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</si>
  <si>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</si>
  <si>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</si>
  <si>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</si>
  <si>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</si>
  <si>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</si>
  <si>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</si>
  <si>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</si>
  <si>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</si>
  <si>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</si>
  <si>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</si>
  <si>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</si>
  <si>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</si>
  <si>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</si>
  <si>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</si>
  <si>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</si>
  <si>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</si>
  <si>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</si>
  <si>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</si>
  <si>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</si>
  <si>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</si>
  <si>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</si>
  <si>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</si>
  <si>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</si>
  <si>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</si>
  <si>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</si>
  <si>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</si>
  <si>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</si>
  <si>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</si>
  <si>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</si>
  <si>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</si>
  <si>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</si>
  <si>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</si>
  <si>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</si>
  <si>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</si>
  <si>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</si>
  <si>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</si>
  <si>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</si>
  <si>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</si>
  <si>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</si>
  <si>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</si>
  <si>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</si>
  <si>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</si>
  <si>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</si>
  <si>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</si>
  <si>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</si>
  <si>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</si>
  <si>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</si>
  <si>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</si>
  <si>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</si>
  <si>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</si>
  <si>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</si>
  <si>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</si>
  <si>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</si>
  <si>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</si>
  <si>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</si>
  <si>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</si>
  <si>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</si>
  <si>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</si>
  <si>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</si>
  <si>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</si>
  <si>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</si>
  <si>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</si>
  <si>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</si>
  <si>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</si>
  <si>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</si>
  <si>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</si>
  <si>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</si>
  <si>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</si>
  <si>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</si>
  <si>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</si>
  <si>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</si>
  <si>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</si>
  <si>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</si>
  <si>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</si>
  <si>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</si>
  <si>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</si>
  <si>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</si>
  <si>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</si>
  <si>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</si>
  <si>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</si>
  <si>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</si>
  <si>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</si>
  <si>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</si>
  <si>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</si>
  <si>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</si>
  <si>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</si>
  <si>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</si>
  <si>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</si>
  <si>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</si>
  <si>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</si>
  <si>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</si>
  <si>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</si>
  <si>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</si>
  <si>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</si>
  <si>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</si>
  <si>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</si>
  <si>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</si>
  <si>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</si>
  <si>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</si>
  <si>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</si>
  <si>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</si>
  <si>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</si>
  <si>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</si>
  <si>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</si>
  <si>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</si>
  <si>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</si>
  <si>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</si>
  <si>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</si>
  <si>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</si>
  <si>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</si>
  <si>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</si>
  <si>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</si>
  <si>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</si>
  <si>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</si>
  <si>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</si>
  <si>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</si>
  <si>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</si>
  <si>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</si>
  <si>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</si>
  <si>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</si>
  <si>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</si>
  <si>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</si>
  <si>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</si>
  <si>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</si>
  <si>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</si>
  <si>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</si>
  <si>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</si>
  <si>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</si>
  <si>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</si>
  <si>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</si>
  <si>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</si>
  <si>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</si>
  <si>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</si>
  <si>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</si>
  <si>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</si>
  <si>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</si>
  <si>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</si>
  <si>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</si>
  <si>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</si>
  <si>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</si>
  <si>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</si>
  <si>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</si>
  <si>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</si>
  <si>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</si>
  <si>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</si>
  <si>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</si>
  <si>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</si>
  <si>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</si>
  <si>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</si>
  <si>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</si>
  <si>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</si>
  <si>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</si>
  <si>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</si>
  <si>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</si>
  <si>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</si>
  <si>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</si>
  <si>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</si>
  <si>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</si>
  <si>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</si>
  <si>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</si>
  <si>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</si>
  <si>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</si>
  <si>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</si>
  <si>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</si>
  <si>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</si>
  <si>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</si>
  <si>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</si>
  <si>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</si>
  <si>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</si>
  <si>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</si>
  <si>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PEMBROKE SCHOOL DISTRICT</t>
  </si>
  <si>
    <t>IDEA in orior years was reported in General fund 10 not Special Revenue Fund in our finance system it is in Fund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</si>
</sst>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63" activePane="bottomRight" state="frozen"/>
      <selection activeCell="C30" sqref="C30:M30"/>
      <selection pane="topRight" activeCell="C30" sqref="C30:M30"/>
      <selection pane="bottomLeft" activeCell="C30" sqref="C30:M30"/>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427</v>
      </c>
      <c r="C2" s="21">
        <v>427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661088.37+600</f>
        <v>661688.37</v>
      </c>
      <c r="G9" s="18">
        <f>210350.65</f>
        <v>210350.65</v>
      </c>
      <c r="H9" s="18"/>
      <c r="I9" s="18"/>
      <c r="J9" s="67">
        <f>SUM(I440)</f>
        <v>977593.26</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f>-999606.77+708127.49</f>
        <v>-291479.28000000003</v>
      </c>
      <c r="G13" s="18">
        <v>36829</v>
      </c>
      <c r="H13" s="18">
        <f>440918.61+1299</f>
        <v>442217.61</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f>2268985.85-1961.53</f>
        <v>2267024.3200000003</v>
      </c>
      <c r="G14" s="18"/>
      <c r="H14" s="18">
        <v>0</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43168.75</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f>24526.59</f>
        <v>24526.59</v>
      </c>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2637233.41</v>
      </c>
      <c r="G19" s="41">
        <f>SUM(G9:G18)</f>
        <v>290348.40000000002</v>
      </c>
      <c r="H19" s="41">
        <f>SUM(H9:H18)</f>
        <v>466744.2</v>
      </c>
      <c r="I19" s="41">
        <f>SUM(I9:I18)</f>
        <v>0</v>
      </c>
      <c r="J19" s="41">
        <f>SUM(J9:J18)</f>
        <v>977593.26</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1436249.48</v>
      </c>
      <c r="G22" s="18">
        <v>289577.3</v>
      </c>
      <c r="H22" s="18">
        <v>456457.82</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1641.96</v>
      </c>
      <c r="G23" s="18">
        <v>-428.9</v>
      </c>
      <c r="H23" s="18">
        <v>8987.3799999999992</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0</v>
      </c>
      <c r="G24" s="18">
        <v>0</v>
      </c>
      <c r="H24" s="18">
        <v>0</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f>61.8+315.82-875-5250.54-4.39</f>
        <v>-5752.31</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1432139.13</v>
      </c>
      <c r="G32" s="41">
        <f>SUM(G22:G31)</f>
        <v>289148.39999999997</v>
      </c>
      <c r="H32" s="41">
        <f>SUM(H22:H31)</f>
        <v>465445.2</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1200</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32500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v>0</v>
      </c>
      <c r="H48" s="18">
        <v>1299</v>
      </c>
      <c r="I48" s="18"/>
      <c r="J48" s="13">
        <f>SUM(I460)</f>
        <v>977593.26</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1172594.28</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1205094.28</v>
      </c>
      <c r="G51" s="41">
        <f>SUM(G35:G50)</f>
        <v>1200</v>
      </c>
      <c r="H51" s="41">
        <f>SUM(H35:H50)</f>
        <v>1299</v>
      </c>
      <c r="I51" s="41">
        <f>SUM(I35:I50)</f>
        <v>0</v>
      </c>
      <c r="J51" s="41">
        <f>SUM(J35:J50)</f>
        <v>977593.26</v>
      </c>
      <c r="K51" s="45" t="s">
        <v>288</v>
      </c>
      <c r="L51" s="45" t="s">
        <v>288</v>
      </c>
      <c r="N51" s="262"/>
    </row>
    <row r="52" spans="1:14" s="3" customFormat="1" ht="12.2" customHeight="1" thickTop="1" x14ac:dyDescent="0.15">
      <c r="A52" s="38" t="s">
        <v>455</v>
      </c>
      <c r="B52" s="39" t="s">
        <v>289</v>
      </c>
      <c r="C52" s="6">
        <v>37</v>
      </c>
      <c r="D52" s="39" t="s">
        <v>653</v>
      </c>
      <c r="E52" s="39"/>
      <c r="F52" s="41">
        <f>F51+F32</f>
        <v>2637233.41</v>
      </c>
      <c r="G52" s="41">
        <f>G51+G32</f>
        <v>290348.39999999997</v>
      </c>
      <c r="H52" s="41">
        <f>H51+H32</f>
        <v>466744.2</v>
      </c>
      <c r="I52" s="41">
        <f>I51+I32</f>
        <v>0</v>
      </c>
      <c r="J52" s="41">
        <f>J51+J32</f>
        <v>977593.26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11401075</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11401075</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38938.1</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f>5130610.25+110288.94</f>
        <v>5240899.1900000004</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480819.12</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0</v>
      </c>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5760656.4100000001</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1630.52</v>
      </c>
      <c r="G96" s="18">
        <v>1110.01</v>
      </c>
      <c r="H96" s="18"/>
      <c r="I96" s="18"/>
      <c r="J96" s="18">
        <f>-1795.01</f>
        <v>-1795.01</v>
      </c>
      <c r="K96" s="24" t="s">
        <v>288</v>
      </c>
      <c r="L96" s="24" t="s">
        <v>288</v>
      </c>
      <c r="M96" s="8"/>
      <c r="N96" s="264"/>
    </row>
    <row r="97" spans="1:14" s="3" customFormat="1" ht="12.2" customHeight="1" x14ac:dyDescent="0.15">
      <c r="A97" s="1" t="s">
        <v>503</v>
      </c>
      <c r="B97" s="2" t="s">
        <v>315</v>
      </c>
      <c r="C97" s="6">
        <v>12</v>
      </c>
      <c r="D97" s="2" t="s">
        <v>430</v>
      </c>
      <c r="E97" s="6">
        <v>1600</v>
      </c>
      <c r="F97" s="24" t="s">
        <v>288</v>
      </c>
      <c r="G97" s="18">
        <v>7631.73</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f>2262.73+610.04</f>
        <v>2872.77</v>
      </c>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26826.9</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0</v>
      </c>
      <c r="G102" s="18">
        <v>1200</v>
      </c>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0</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96146.28</v>
      </c>
      <c r="G110" s="18">
        <v>1000</v>
      </c>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127476.47</v>
      </c>
      <c r="G111" s="41">
        <f>SUM(G96:G110)</f>
        <v>10941.74</v>
      </c>
      <c r="H111" s="41">
        <f>SUM(H96:H110)</f>
        <v>0</v>
      </c>
      <c r="I111" s="41">
        <f>SUM(I96:I110)</f>
        <v>0</v>
      </c>
      <c r="J111" s="41">
        <f>SUM(J96:J110)</f>
        <v>-1795.01</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17289207.879999999</v>
      </c>
      <c r="G112" s="41">
        <f>G60+G111</f>
        <v>10941.74</v>
      </c>
      <c r="H112" s="41">
        <f>H60+H79+H94+H111</f>
        <v>0</v>
      </c>
      <c r="I112" s="41">
        <f>I60+I111</f>
        <v>0</v>
      </c>
      <c r="J112" s="41">
        <f>J60+J111</f>
        <v>-1795.01</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6290941.6799999997</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1355946</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13966.47</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7660854.1499999994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229213.11</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108707.48</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0</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13981.7</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1442.4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351902.29</v>
      </c>
      <c r="G136" s="41">
        <f>SUM(G123:G135)</f>
        <v>1442.4</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8012756.4399999995</v>
      </c>
      <c r="G140" s="41">
        <f>G121+SUM(G136:G137)</f>
        <v>1442.4</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120706.96</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71566.14</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v>0</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379232.13</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192617.02+52243.4+28008.75</f>
        <v>272869.17</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10414.69</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v>0</v>
      </c>
      <c r="H161" s="18">
        <v>200400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460737.58</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10414.69</v>
      </c>
      <c r="G163" s="41">
        <f>SUM(G150:G162)</f>
        <v>379232.13</v>
      </c>
      <c r="H163" s="41">
        <f>SUM(H150:H162)</f>
        <v>1126279.8500000001</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10414.69</v>
      </c>
      <c r="G170" s="41">
        <f>G147+G163+SUM(G164:G169)</f>
        <v>379232.13</v>
      </c>
      <c r="H170" s="41">
        <f>H147+H163+SUM(H164:H169)</f>
        <v>1126279.8500000001</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87768.24</v>
      </c>
      <c r="H180" s="18"/>
      <c r="I180" s="18"/>
      <c r="J180" s="18">
        <v>82500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v>0</v>
      </c>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87768.24</v>
      </c>
      <c r="H184" s="41">
        <f>SUM(H180:H183)</f>
        <v>0</v>
      </c>
      <c r="I184" s="41">
        <f>SUM(I180:I183)</f>
        <v>0</v>
      </c>
      <c r="J184" s="41">
        <f>SUM(J180:J183)</f>
        <v>82500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0</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87768.24</v>
      </c>
      <c r="H193" s="41">
        <f>+H184+SUM(H189:H192)</f>
        <v>0</v>
      </c>
      <c r="I193" s="41">
        <f>I178+I184+SUM(I189:I192)</f>
        <v>0</v>
      </c>
      <c r="J193" s="41">
        <f>J184</f>
        <v>82500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25312379.010000002</v>
      </c>
      <c r="G194" s="47">
        <f>G112+G140+G170+G193</f>
        <v>479384.51</v>
      </c>
      <c r="H194" s="47">
        <f>H112+H140+H170+H193</f>
        <v>1126279.8500000001</v>
      </c>
      <c r="I194" s="47">
        <f>I112+I140+I170+I193</f>
        <v>0</v>
      </c>
      <c r="J194" s="47">
        <f>J112+J140+J193</f>
        <v>80704.990000000005</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3780333.13</v>
      </c>
      <c r="G198" s="18">
        <v>2029822.16</v>
      </c>
      <c r="H198" s="18">
        <v>118418.23</v>
      </c>
      <c r="I198" s="18">
        <v>81967.95</v>
      </c>
      <c r="J198" s="18">
        <v>124957.67</v>
      </c>
      <c r="K198" s="18">
        <v>0</v>
      </c>
      <c r="L198" s="19">
        <f>SUM(F198:K198)</f>
        <v>6135499.1400000006</v>
      </c>
      <c r="M198" s="8"/>
      <c r="N198" s="264"/>
    </row>
    <row r="199" spans="1:14" s="3" customFormat="1" ht="12.2" customHeight="1" x14ac:dyDescent="0.15">
      <c r="A199" s="1" t="s">
        <v>439</v>
      </c>
      <c r="B199" s="2" t="s">
        <v>341</v>
      </c>
      <c r="C199" s="2" t="s">
        <v>291</v>
      </c>
      <c r="D199" s="2" t="s">
        <v>431</v>
      </c>
      <c r="E199" s="6">
        <v>1200</v>
      </c>
      <c r="F199" s="18">
        <f>1258010.64-128411.35</f>
        <v>1129599.2899999998</v>
      </c>
      <c r="G199" s="18">
        <v>675479.59</v>
      </c>
      <c r="H199" s="18">
        <v>329501.55</v>
      </c>
      <c r="I199" s="18">
        <v>3736.95</v>
      </c>
      <c r="J199" s="18">
        <v>0</v>
      </c>
      <c r="K199" s="18">
        <v>0</v>
      </c>
      <c r="L199" s="19">
        <f>SUM(F199:K199)</f>
        <v>2138317.38</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27925.66</v>
      </c>
      <c r="G201" s="18">
        <v>14994.48</v>
      </c>
      <c r="H201" s="18">
        <v>3689.99</v>
      </c>
      <c r="I201" s="18">
        <v>3188.8</v>
      </c>
      <c r="J201" s="18">
        <v>0</v>
      </c>
      <c r="K201" s="18">
        <v>0</v>
      </c>
      <c r="L201" s="19">
        <f>SUM(F201:K201)</f>
        <v>49798.93</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258155.9</v>
      </c>
      <c r="G203" s="18">
        <v>138614.92000000001</v>
      </c>
      <c r="H203" s="18">
        <v>816852.15</v>
      </c>
      <c r="I203" s="18">
        <v>2029.91</v>
      </c>
      <c r="J203" s="18">
        <v>0</v>
      </c>
      <c r="K203" s="18">
        <v>0</v>
      </c>
      <c r="L203" s="19">
        <f t="shared" ref="L203:L209" si="0">SUM(F203:K203)</f>
        <v>1215652.8799999999</v>
      </c>
      <c r="M203" s="8"/>
      <c r="N203" s="264"/>
    </row>
    <row r="204" spans="1:14" s="3" customFormat="1" ht="12.2" customHeight="1" x14ac:dyDescent="0.15">
      <c r="A204" s="1" t="s">
        <v>443</v>
      </c>
      <c r="B204" s="2" t="s">
        <v>341</v>
      </c>
      <c r="C204" s="2" t="s">
        <v>295</v>
      </c>
      <c r="D204" s="2" t="s">
        <v>431</v>
      </c>
      <c r="E204" s="6">
        <v>2200</v>
      </c>
      <c r="F204" s="18">
        <v>107417.60000000001</v>
      </c>
      <c r="G204" s="18">
        <v>57677.09</v>
      </c>
      <c r="H204" s="18">
        <v>45798.239999999998</v>
      </c>
      <c r="I204" s="18">
        <v>9748</v>
      </c>
      <c r="J204" s="18">
        <v>0</v>
      </c>
      <c r="K204" s="18">
        <v>0</v>
      </c>
      <c r="L204" s="19">
        <f t="shared" si="0"/>
        <v>220640.93</v>
      </c>
      <c r="M204" s="8"/>
      <c r="N204" s="264"/>
    </row>
    <row r="205" spans="1:14" s="3" customFormat="1" ht="12.2" customHeight="1" x14ac:dyDescent="0.15">
      <c r="A205" s="1" t="s">
        <v>444</v>
      </c>
      <c r="B205" s="2" t="s">
        <v>341</v>
      </c>
      <c r="C205" s="2" t="s">
        <v>296</v>
      </c>
      <c r="D205" s="2" t="s">
        <v>431</v>
      </c>
      <c r="E205" s="6">
        <v>2300</v>
      </c>
      <c r="F205" s="18">
        <v>6069.5</v>
      </c>
      <c r="G205" s="18">
        <v>3258.97</v>
      </c>
      <c r="H205" s="18">
        <v>355424.08</v>
      </c>
      <c r="I205" s="18">
        <v>206.22</v>
      </c>
      <c r="J205" s="18">
        <v>0</v>
      </c>
      <c r="K205" s="18">
        <v>4176.74</v>
      </c>
      <c r="L205" s="19">
        <f t="shared" si="0"/>
        <v>369135.50999999995</v>
      </c>
      <c r="M205" s="8"/>
      <c r="N205" s="264"/>
    </row>
    <row r="206" spans="1:14" s="3" customFormat="1" ht="12.2" customHeight="1" x14ac:dyDescent="0.15">
      <c r="A206" s="1" t="s">
        <v>445</v>
      </c>
      <c r="B206" s="2" t="s">
        <v>341</v>
      </c>
      <c r="C206" s="2" t="s">
        <v>297</v>
      </c>
      <c r="D206" s="2" t="s">
        <v>431</v>
      </c>
      <c r="E206" s="6">
        <v>2400</v>
      </c>
      <c r="F206" s="18">
        <v>536024.81000000006</v>
      </c>
      <c r="G206" s="18">
        <v>287814.59000000003</v>
      </c>
      <c r="H206" s="18">
        <v>51693.31</v>
      </c>
      <c r="I206" s="18">
        <v>5400.46</v>
      </c>
      <c r="J206" s="18">
        <v>0</v>
      </c>
      <c r="K206" s="18">
        <f>250+2500+799</f>
        <v>3549</v>
      </c>
      <c r="L206" s="19">
        <f t="shared" si="0"/>
        <v>884482.17000000016</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251054.02</v>
      </c>
      <c r="G208" s="18">
        <v>134801.62</v>
      </c>
      <c r="H208" s="18">
        <v>427360.82</v>
      </c>
      <c r="I208" s="18">
        <v>135167.19</v>
      </c>
      <c r="J208" s="18">
        <v>1452.47</v>
      </c>
      <c r="K208" s="18">
        <v>0</v>
      </c>
      <c r="L208" s="19">
        <f t="shared" si="0"/>
        <v>949836.11999999988</v>
      </c>
      <c r="M208" s="8"/>
      <c r="N208" s="264"/>
    </row>
    <row r="209" spans="1:14" s="3" customFormat="1" ht="12.2" customHeight="1" x14ac:dyDescent="0.15">
      <c r="A209" s="1" t="s">
        <v>448</v>
      </c>
      <c r="B209" s="2" t="s">
        <v>341</v>
      </c>
      <c r="C209" s="2" t="s">
        <v>300</v>
      </c>
      <c r="D209" s="2" t="s">
        <v>431</v>
      </c>
      <c r="E209" s="6">
        <v>2700</v>
      </c>
      <c r="F209" s="18">
        <v>0</v>
      </c>
      <c r="G209" s="18">
        <v>0</v>
      </c>
      <c r="H209" s="18">
        <v>359374.61</v>
      </c>
      <c r="I209" s="18">
        <v>0</v>
      </c>
      <c r="J209" s="18">
        <v>0</v>
      </c>
      <c r="K209" s="18">
        <v>0</v>
      </c>
      <c r="L209" s="19">
        <f t="shared" si="0"/>
        <v>359374.61</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6096579.9100000001</v>
      </c>
      <c r="G212" s="41">
        <f t="shared" si="1"/>
        <v>3342463.42</v>
      </c>
      <c r="H212" s="41">
        <f>SUM(H198:H211)</f>
        <v>2508112.98</v>
      </c>
      <c r="I212" s="41">
        <f>SUM(I198:I211)</f>
        <v>241445.48</v>
      </c>
      <c r="J212" s="41">
        <f>SUM(J198:J211)</f>
        <v>126410.14</v>
      </c>
      <c r="K212" s="41">
        <f>SUM(K198:K211)</f>
        <v>7725.74</v>
      </c>
      <c r="L212" s="41">
        <f t="shared" si="1"/>
        <v>12322737.669999998</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2904150.44</v>
      </c>
      <c r="G234" s="18">
        <v>1571150.57</v>
      </c>
      <c r="H234" s="18">
        <v>45051.9</v>
      </c>
      <c r="I234" s="18">
        <v>53738.13</v>
      </c>
      <c r="J234" s="18">
        <v>181684.13</v>
      </c>
      <c r="K234" s="4">
        <v>275</v>
      </c>
      <c r="L234" s="19">
        <f>SUM(F234:K234)</f>
        <v>4756050.17</v>
      </c>
      <c r="M234" s="8"/>
      <c r="N234" s="264"/>
    </row>
    <row r="235" spans="1:14" s="3" customFormat="1" ht="12.2" customHeight="1" x14ac:dyDescent="0.15">
      <c r="A235" s="1" t="s">
        <v>439</v>
      </c>
      <c r="B235" s="2" t="s">
        <v>350</v>
      </c>
      <c r="C235" s="2" t="s">
        <v>291</v>
      </c>
      <c r="D235" s="2" t="s">
        <v>431</v>
      </c>
      <c r="E235" s="6">
        <v>1200</v>
      </c>
      <c r="F235" s="18">
        <f>842370.98-64205.67</f>
        <v>778165.30999999994</v>
      </c>
      <c r="G235" s="18">
        <v>455724.2</v>
      </c>
      <c r="H235" s="18">
        <v>93498.73</v>
      </c>
      <c r="I235" s="18">
        <v>7828.76</v>
      </c>
      <c r="J235" s="18">
        <v>1395</v>
      </c>
      <c r="K235" s="4">
        <v>555</v>
      </c>
      <c r="L235" s="19">
        <f>SUM(F235:K235)</f>
        <v>1337167</v>
      </c>
      <c r="M235" s="8"/>
      <c r="N235" s="264"/>
    </row>
    <row r="236" spans="1:14" s="3" customFormat="1" ht="12.2" customHeight="1" x14ac:dyDescent="0.15">
      <c r="A236" s="1" t="s">
        <v>440</v>
      </c>
      <c r="B236" s="2" t="s">
        <v>350</v>
      </c>
      <c r="C236" s="2" t="s">
        <v>292</v>
      </c>
      <c r="D236" s="2" t="s">
        <v>431</v>
      </c>
      <c r="E236" s="6">
        <v>1300</v>
      </c>
      <c r="F236" s="18">
        <v>419142.75</v>
      </c>
      <c r="G236" s="18">
        <v>226756.98</v>
      </c>
      <c r="H236" s="18">
        <v>222583</v>
      </c>
      <c r="I236" s="18">
        <v>15093.32</v>
      </c>
      <c r="J236" s="18">
        <v>3635.22</v>
      </c>
      <c r="K236" s="18">
        <v>0</v>
      </c>
      <c r="L236" s="19">
        <f>SUM(F236:K236)</f>
        <v>887211.2699999999</v>
      </c>
      <c r="M236" s="8"/>
      <c r="N236" s="264"/>
    </row>
    <row r="237" spans="1:14" s="3" customFormat="1" ht="12.2" customHeight="1" x14ac:dyDescent="0.15">
      <c r="A237" s="1" t="s">
        <v>441</v>
      </c>
      <c r="B237" s="2" t="s">
        <v>350</v>
      </c>
      <c r="C237" s="2" t="s">
        <v>293</v>
      </c>
      <c r="D237" s="2" t="s">
        <v>431</v>
      </c>
      <c r="E237" s="6">
        <v>1400</v>
      </c>
      <c r="F237" s="18">
        <v>237768.49</v>
      </c>
      <c r="G237" s="18">
        <v>128633.18</v>
      </c>
      <c r="H237" s="18">
        <v>56007.17</v>
      </c>
      <c r="I237" s="18">
        <v>22400</v>
      </c>
      <c r="J237" s="18">
        <v>15000</v>
      </c>
      <c r="K237" s="18">
        <v>25661.96</v>
      </c>
      <c r="L237" s="19">
        <f>SUM(F237:K237)</f>
        <v>485470.8</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411401.44</v>
      </c>
      <c r="G239" s="18">
        <v>222568.91</v>
      </c>
      <c r="H239" s="18">
        <v>130558.73</v>
      </c>
      <c r="I239" s="18">
        <v>780.31</v>
      </c>
      <c r="J239" s="18">
        <v>0</v>
      </c>
      <c r="K239" s="18">
        <v>0</v>
      </c>
      <c r="L239" s="19">
        <f t="shared" ref="L239:L245" si="4">SUM(F239:K239)</f>
        <v>765309.39</v>
      </c>
      <c r="M239" s="8"/>
      <c r="N239" s="264"/>
    </row>
    <row r="240" spans="1:14" s="3" customFormat="1" ht="12.2" customHeight="1" x14ac:dyDescent="0.15">
      <c r="A240" s="1" t="s">
        <v>443</v>
      </c>
      <c r="B240" s="2" t="s">
        <v>350</v>
      </c>
      <c r="C240" s="2" t="s">
        <v>295</v>
      </c>
      <c r="D240" s="2" t="s">
        <v>431</v>
      </c>
      <c r="E240" s="6">
        <v>2200</v>
      </c>
      <c r="F240" s="18">
        <v>76861</v>
      </c>
      <c r="G240" s="18">
        <v>41581.94</v>
      </c>
      <c r="H240" s="18">
        <v>15903.5</v>
      </c>
      <c r="I240" s="18">
        <v>10102.129999999999</v>
      </c>
      <c r="J240" s="18">
        <v>149426.04</v>
      </c>
      <c r="K240" s="18">
        <v>0</v>
      </c>
      <c r="L240" s="19">
        <f t="shared" si="4"/>
        <v>293874.61</v>
      </c>
      <c r="M240" s="8"/>
      <c r="N240" s="264"/>
    </row>
    <row r="241" spans="1:14" s="3" customFormat="1" ht="12.2" customHeight="1" x14ac:dyDescent="0.15">
      <c r="A241" s="1" t="s">
        <v>444</v>
      </c>
      <c r="B241" s="2" t="s">
        <v>350</v>
      </c>
      <c r="C241" s="2" t="s">
        <v>296</v>
      </c>
      <c r="D241" s="2" t="s">
        <v>431</v>
      </c>
      <c r="E241" s="6">
        <v>2300</v>
      </c>
      <c r="F241" s="18">
        <v>5907.5</v>
      </c>
      <c r="G241" s="18">
        <v>3195.97</v>
      </c>
      <c r="H241" s="18">
        <v>372772.11</v>
      </c>
      <c r="I241" s="18">
        <v>206.21</v>
      </c>
      <c r="J241" s="18">
        <v>0</v>
      </c>
      <c r="K241" s="18">
        <v>3720.27</v>
      </c>
      <c r="L241" s="19">
        <f t="shared" si="4"/>
        <v>385802.06</v>
      </c>
      <c r="M241" s="8"/>
      <c r="N241" s="264"/>
    </row>
    <row r="242" spans="1:14" s="3" customFormat="1" ht="12.2" customHeight="1" x14ac:dyDescent="0.15">
      <c r="A242" s="1" t="s">
        <v>445</v>
      </c>
      <c r="B242" s="2" t="s">
        <v>350</v>
      </c>
      <c r="C242" s="2" t="s">
        <v>297</v>
      </c>
      <c r="D242" s="2" t="s">
        <v>431</v>
      </c>
      <c r="E242" s="6">
        <v>2400</v>
      </c>
      <c r="F242" s="18">
        <v>730009.58</v>
      </c>
      <c r="G242" s="18">
        <v>394936.48</v>
      </c>
      <c r="H242" s="18">
        <v>42975.71</v>
      </c>
      <c r="I242" s="18">
        <v>10970.19</v>
      </c>
      <c r="J242" s="18">
        <v>0</v>
      </c>
      <c r="K242" s="18">
        <v>22280.400000000001</v>
      </c>
      <c r="L242" s="19">
        <f t="shared" si="4"/>
        <v>1201172.3599999999</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v>302552.62</v>
      </c>
      <c r="G244" s="18">
        <v>163681.5</v>
      </c>
      <c r="H244" s="18">
        <v>549819.99</v>
      </c>
      <c r="I244" s="18">
        <v>187249.35</v>
      </c>
      <c r="J244" s="18">
        <v>72415.259999999995</v>
      </c>
      <c r="K244" s="18">
        <v>0</v>
      </c>
      <c r="L244" s="19">
        <f t="shared" si="4"/>
        <v>1275718.72</v>
      </c>
      <c r="M244" s="8"/>
      <c r="N244" s="264"/>
    </row>
    <row r="245" spans="1:14" s="3" customFormat="1" ht="12.2" customHeight="1" x14ac:dyDescent="0.15">
      <c r="A245" s="1" t="s">
        <v>448</v>
      </c>
      <c r="B245" s="2" t="s">
        <v>350</v>
      </c>
      <c r="C245" s="2" t="s">
        <v>300</v>
      </c>
      <c r="D245" s="2" t="s">
        <v>431</v>
      </c>
      <c r="E245" s="6">
        <v>2700</v>
      </c>
      <c r="F245" s="18"/>
      <c r="G245" s="18"/>
      <c r="H245" s="18">
        <v>144885.03</v>
      </c>
      <c r="I245" s="18"/>
      <c r="J245" s="18"/>
      <c r="K245" s="18"/>
      <c r="L245" s="19">
        <f t="shared" si="4"/>
        <v>144885.03</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5865959.1300000008</v>
      </c>
      <c r="G248" s="41">
        <f t="shared" si="5"/>
        <v>3208229.7300000004</v>
      </c>
      <c r="H248" s="41">
        <f t="shared" si="5"/>
        <v>1674055.8699999999</v>
      </c>
      <c r="I248" s="41">
        <f t="shared" si="5"/>
        <v>308368.40000000002</v>
      </c>
      <c r="J248" s="41">
        <f t="shared" si="5"/>
        <v>423555.65</v>
      </c>
      <c r="K248" s="41">
        <f t="shared" si="5"/>
        <v>52492.630000000005</v>
      </c>
      <c r="L248" s="41">
        <f t="shared" si="5"/>
        <v>11532661.409999998</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v>0</v>
      </c>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665689</v>
      </c>
      <c r="I256" s="18"/>
      <c r="J256" s="18"/>
      <c r="K256" s="18"/>
      <c r="L256" s="19">
        <f t="shared" si="6"/>
        <v>665689</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665689</v>
      </c>
      <c r="I257" s="41">
        <f t="shared" si="7"/>
        <v>0</v>
      </c>
      <c r="J257" s="41">
        <f t="shared" si="7"/>
        <v>0</v>
      </c>
      <c r="K257" s="41">
        <f t="shared" si="7"/>
        <v>0</v>
      </c>
      <c r="L257" s="41">
        <f>SUM(F257:K257)</f>
        <v>665689</v>
      </c>
      <c r="M257" s="8"/>
      <c r="N257" s="264"/>
    </row>
    <row r="258" spans="1:14" s="3" customFormat="1" ht="12.2" customHeight="1" thickTop="1" x14ac:dyDescent="0.15">
      <c r="A258" s="38" t="s">
        <v>462</v>
      </c>
      <c r="B258" s="40">
        <v>10</v>
      </c>
      <c r="C258" s="40">
        <v>8</v>
      </c>
      <c r="D258" s="39" t="s">
        <v>431</v>
      </c>
      <c r="E258" s="40"/>
      <c r="F258" s="41">
        <f t="shared" ref="F258:L258" si="8">F212+F230+F248+F257</f>
        <v>11962539.040000001</v>
      </c>
      <c r="G258" s="41">
        <f t="shared" si="8"/>
        <v>6550693.1500000004</v>
      </c>
      <c r="H258" s="41">
        <f t="shared" si="8"/>
        <v>4847857.8499999996</v>
      </c>
      <c r="I258" s="41">
        <f t="shared" si="8"/>
        <v>549813.88</v>
      </c>
      <c r="J258" s="41">
        <f t="shared" si="8"/>
        <v>549965.79</v>
      </c>
      <c r="K258" s="41">
        <f t="shared" si="8"/>
        <v>60218.37</v>
      </c>
      <c r="L258" s="41">
        <f t="shared" si="8"/>
        <v>24521088.079999998</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45000</v>
      </c>
      <c r="L261" s="19">
        <f>SUM(F261:K261)</f>
        <v>45000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3600</v>
      </c>
      <c r="L262" s="19">
        <f>SUM(F262:K262)</f>
        <v>3600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87768.24</v>
      </c>
      <c r="L264" s="19">
        <f>SUM(F264:K264)</f>
        <v>87768.24</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82500</v>
      </c>
      <c r="L267" s="19">
        <f t="shared" si="9"/>
        <v>82500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127587.55</v>
      </c>
      <c r="L269" s="19">
        <f t="shared" si="9"/>
        <v>127587.55</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346455.79</v>
      </c>
      <c r="L271" s="41">
        <f t="shared" si="9"/>
        <v>346455.79</v>
      </c>
      <c r="M271" s="8"/>
      <c r="N271" s="264"/>
    </row>
    <row r="272" spans="1:14" s="34" customFormat="1" ht="12.2" customHeight="1" thickTop="1" x14ac:dyDescent="0.2">
      <c r="A272" s="43" t="s">
        <v>464</v>
      </c>
      <c r="B272" s="40">
        <v>10</v>
      </c>
      <c r="C272" s="40">
        <v>18</v>
      </c>
      <c r="D272" s="39" t="s">
        <v>431</v>
      </c>
      <c r="E272" s="40"/>
      <c r="F272" s="42">
        <f t="shared" ref="F272:L272" si="11">F258+F271</f>
        <v>11962539.040000001</v>
      </c>
      <c r="G272" s="42">
        <f t="shared" si="11"/>
        <v>6550693.1500000004</v>
      </c>
      <c r="H272" s="42">
        <f t="shared" si="11"/>
        <v>4847857.8499999996</v>
      </c>
      <c r="I272" s="42">
        <f t="shared" si="11"/>
        <v>549813.88</v>
      </c>
      <c r="J272" s="42">
        <f t="shared" si="11"/>
        <v>549965.79</v>
      </c>
      <c r="K272" s="42">
        <f t="shared" si="11"/>
        <v>406674.16</v>
      </c>
      <c r="L272" s="42">
        <f t="shared" si="11"/>
        <v>24867543.869999997</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59030.75</v>
      </c>
      <c r="G277" s="18">
        <v>5003.3100000000004</v>
      </c>
      <c r="H277" s="18">
        <v>0</v>
      </c>
      <c r="I277" s="18">
        <v>30724.51</v>
      </c>
      <c r="J277" s="18">
        <v>124966.55</v>
      </c>
      <c r="K277" s="18"/>
      <c r="L277" s="19">
        <f>SUM(F277:K277)</f>
        <v>219725.12</v>
      </c>
      <c r="M277" s="8"/>
      <c r="N277" s="264"/>
    </row>
    <row r="278" spans="1:14" s="3" customFormat="1" ht="12.2" customHeight="1" x14ac:dyDescent="0.15">
      <c r="A278" s="1" t="s">
        <v>439</v>
      </c>
      <c r="B278" s="2" t="s">
        <v>357</v>
      </c>
      <c r="C278" s="2" t="s">
        <v>291</v>
      </c>
      <c r="D278" s="2" t="s">
        <v>431</v>
      </c>
      <c r="E278" s="6">
        <v>1200</v>
      </c>
      <c r="F278" s="18">
        <v>128411.35</v>
      </c>
      <c r="G278" s="18"/>
      <c r="H278" s="18">
        <f>20934.38+10659.58+166.32</f>
        <v>31760.28</v>
      </c>
      <c r="I278" s="18">
        <v>5311.12</v>
      </c>
      <c r="J278" s="18">
        <v>2838.14</v>
      </c>
      <c r="K278" s="18">
        <v>28008.75</v>
      </c>
      <c r="L278" s="19">
        <f>SUM(F278:K278)</f>
        <v>196329.64</v>
      </c>
      <c r="M278" s="8"/>
      <c r="N278" s="264"/>
    </row>
    <row r="279" spans="1:14" s="3" customFormat="1" ht="12.2" customHeight="1" x14ac:dyDescent="0.15">
      <c r="A279" s="1" t="s">
        <v>440</v>
      </c>
      <c r="B279" s="2" t="s">
        <v>357</v>
      </c>
      <c r="C279" s="2" t="s">
        <v>292</v>
      </c>
      <c r="D279" s="2" t="s">
        <v>431</v>
      </c>
      <c r="E279" s="6">
        <v>1300</v>
      </c>
      <c r="F279" s="18">
        <v>0</v>
      </c>
      <c r="G279" s="18">
        <v>0</v>
      </c>
      <c r="H279" s="18"/>
      <c r="I279" s="18">
        <v>0</v>
      </c>
      <c r="J279" s="18"/>
      <c r="K279" s="18"/>
      <c r="L279" s="19">
        <f>SUM(F279:K279)</f>
        <v>0</v>
      </c>
      <c r="M279" s="8"/>
      <c r="N279" s="264"/>
    </row>
    <row r="280" spans="1:14" s="3" customFormat="1" ht="12.2" customHeight="1" x14ac:dyDescent="0.15">
      <c r="A280" s="1" t="s">
        <v>441</v>
      </c>
      <c r="B280" s="2" t="s">
        <v>357</v>
      </c>
      <c r="C280" s="2" t="s">
        <v>293</v>
      </c>
      <c r="D280" s="2" t="s">
        <v>431</v>
      </c>
      <c r="E280" s="6">
        <v>1400</v>
      </c>
      <c r="F280" s="18">
        <v>1499.84</v>
      </c>
      <c r="G280" s="18"/>
      <c r="H280" s="18"/>
      <c r="I280" s="18">
        <f>3077.43+141</f>
        <v>3218.43</v>
      </c>
      <c r="J280" s="18"/>
      <c r="K280" s="18"/>
      <c r="L280" s="19">
        <f>SUM(F280:K280)</f>
        <v>4718.2699999999995</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0</v>
      </c>
      <c r="G282" s="18">
        <f>2200+3777.34+3250+5335.6</f>
        <v>14562.94</v>
      </c>
      <c r="H282" s="18">
        <f>981.94+1423.76+722.32</f>
        <v>3128.02</v>
      </c>
      <c r="I282" s="18">
        <v>0</v>
      </c>
      <c r="J282" s="18"/>
      <c r="K282" s="18"/>
      <c r="L282" s="19">
        <f t="shared" ref="L282:L288" si="12">SUM(F282:K282)</f>
        <v>17690.96</v>
      </c>
      <c r="M282" s="8"/>
      <c r="N282" s="264"/>
    </row>
    <row r="283" spans="1:14" s="3" customFormat="1" ht="12.2" customHeight="1" x14ac:dyDescent="0.15">
      <c r="A283" s="1" t="s">
        <v>443</v>
      </c>
      <c r="B283" s="2" t="s">
        <v>357</v>
      </c>
      <c r="C283" s="2" t="s">
        <v>295</v>
      </c>
      <c r="D283" s="2" t="s">
        <v>431</v>
      </c>
      <c r="E283" s="6">
        <v>2200</v>
      </c>
      <c r="F283" s="18">
        <v>725</v>
      </c>
      <c r="G283" s="18">
        <v>186.49</v>
      </c>
      <c r="H283" s="18">
        <v>16744</v>
      </c>
      <c r="I283" s="18">
        <v>6161.22</v>
      </c>
      <c r="J283" s="18">
        <f>95104.98+23820.73</f>
        <v>118925.70999999999</v>
      </c>
      <c r="K283" s="18">
        <v>0</v>
      </c>
      <c r="L283" s="19">
        <f t="shared" si="12"/>
        <v>142742.41999999998</v>
      </c>
      <c r="M283" s="8"/>
      <c r="N283" s="264"/>
    </row>
    <row r="284" spans="1:14" s="3" customFormat="1" ht="12.2" customHeight="1" x14ac:dyDescent="0.15">
      <c r="A284" s="1" t="s">
        <v>444</v>
      </c>
      <c r="B284" s="2" t="s">
        <v>357</v>
      </c>
      <c r="C284" s="2" t="s">
        <v>296</v>
      </c>
      <c r="D284" s="2" t="s">
        <v>431</v>
      </c>
      <c r="E284" s="6">
        <v>2300</v>
      </c>
      <c r="F284" s="18">
        <v>8969.5300000000007</v>
      </c>
      <c r="G284" s="18">
        <v>0</v>
      </c>
      <c r="H284" s="18"/>
      <c r="I284" s="18"/>
      <c r="J284" s="18"/>
      <c r="K284" s="18">
        <v>8711.2099999999991</v>
      </c>
      <c r="L284" s="19">
        <f t="shared" si="12"/>
        <v>17680.739999999998</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v>7621.6</v>
      </c>
      <c r="G286" s="18">
        <v>280.94</v>
      </c>
      <c r="H286" s="18">
        <v>650</v>
      </c>
      <c r="I286" s="18">
        <f>3248.17+1004.85</f>
        <v>4253.0200000000004</v>
      </c>
      <c r="J286" s="18"/>
      <c r="K286" s="18"/>
      <c r="L286" s="19">
        <f t="shared" si="12"/>
        <v>12805.560000000001</v>
      </c>
      <c r="M286" s="8"/>
      <c r="N286" s="264"/>
    </row>
    <row r="287" spans="1:14" s="3" customFormat="1" ht="12.2" customHeight="1" x14ac:dyDescent="0.15">
      <c r="A287" s="1" t="s">
        <v>447</v>
      </c>
      <c r="B287" s="2" t="s">
        <v>357</v>
      </c>
      <c r="C287" s="2" t="s">
        <v>299</v>
      </c>
      <c r="D287" s="2" t="s">
        <v>431</v>
      </c>
      <c r="E287" s="6">
        <v>2600</v>
      </c>
      <c r="F287" s="18"/>
      <c r="G287" s="18"/>
      <c r="H287" s="18">
        <v>19239</v>
      </c>
      <c r="I287" s="18">
        <f>6267.86+32727.16</f>
        <v>38995.019999999997</v>
      </c>
      <c r="J287" s="18">
        <f>699.7+749.35+6361.63+8460.2</f>
        <v>16270.880000000001</v>
      </c>
      <c r="K287" s="18"/>
      <c r="L287" s="19">
        <f t="shared" si="12"/>
        <v>74504.899999999994</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206258.07</v>
      </c>
      <c r="G291" s="42">
        <f t="shared" si="13"/>
        <v>20033.68</v>
      </c>
      <c r="H291" s="42">
        <f t="shared" si="13"/>
        <v>71521.299999999988</v>
      </c>
      <c r="I291" s="42">
        <f t="shared" si="13"/>
        <v>88663.32</v>
      </c>
      <c r="J291" s="42">
        <f t="shared" si="13"/>
        <v>263001.27999999997</v>
      </c>
      <c r="K291" s="42">
        <f t="shared" si="13"/>
        <v>36719.96</v>
      </c>
      <c r="L291" s="41">
        <f t="shared" si="13"/>
        <v>686197.6100000001</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17598.75</v>
      </c>
      <c r="G315" s="18">
        <v>3731.71</v>
      </c>
      <c r="H315" s="18">
        <v>0</v>
      </c>
      <c r="I315" s="18">
        <v>5427.05</v>
      </c>
      <c r="J315" s="18">
        <f>179503.98+5144.09</f>
        <v>184648.07</v>
      </c>
      <c r="K315" s="18"/>
      <c r="L315" s="19">
        <f>SUM(F315:K315)</f>
        <v>211405.58000000002</v>
      </c>
      <c r="M315" s="8"/>
      <c r="N315" s="264"/>
    </row>
    <row r="316" spans="1:14" s="3" customFormat="1" ht="12.2" customHeight="1" x14ac:dyDescent="0.15">
      <c r="A316" s="1" t="s">
        <v>439</v>
      </c>
      <c r="B316" s="2" t="s">
        <v>359</v>
      </c>
      <c r="C316" s="2" t="s">
        <v>291</v>
      </c>
      <c r="D316" s="2" t="s">
        <v>431</v>
      </c>
      <c r="E316" s="6">
        <v>1200</v>
      </c>
      <c r="F316" s="18">
        <v>64205.67</v>
      </c>
      <c r="G316" s="18"/>
      <c r="H316" s="18">
        <v>11456.64</v>
      </c>
      <c r="I316" s="18"/>
      <c r="J316" s="18"/>
      <c r="K316" s="18"/>
      <c r="L316" s="19">
        <f>SUM(F316:K316)</f>
        <v>75662.31</v>
      </c>
      <c r="M316" s="8"/>
      <c r="N316" s="2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c r="L317" s="19">
        <f>SUM(F317:K317)</f>
        <v>0</v>
      </c>
      <c r="M317" s="8"/>
      <c r="N317" s="264"/>
    </row>
    <row r="318" spans="1:14" s="3" customFormat="1" ht="12.2" customHeight="1" x14ac:dyDescent="0.15">
      <c r="A318" s="1" t="s">
        <v>441</v>
      </c>
      <c r="B318" s="2" t="s">
        <v>359</v>
      </c>
      <c r="C318" s="2" t="s">
        <v>293</v>
      </c>
      <c r="D318" s="2" t="s">
        <v>431</v>
      </c>
      <c r="E318" s="6">
        <v>1400</v>
      </c>
      <c r="F318" s="18">
        <v>12200</v>
      </c>
      <c r="G318" s="18">
        <v>3163.61</v>
      </c>
      <c r="H318" s="18"/>
      <c r="I318" s="18">
        <v>764.66</v>
      </c>
      <c r="J318" s="18"/>
      <c r="K318" s="18"/>
      <c r="L318" s="19">
        <f>SUM(F318:K318)</f>
        <v>16128.27</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f>4585+1888.66+2667.8</f>
        <v>9141.4599999999991</v>
      </c>
      <c r="H320" s="18">
        <f>331.32+490.96</f>
        <v>822.28</v>
      </c>
      <c r="I320" s="18"/>
      <c r="J320" s="18"/>
      <c r="K320" s="18"/>
      <c r="L320" s="19">
        <f t="shared" ref="L320:L326" si="16">SUM(F320:K320)</f>
        <v>9963.74</v>
      </c>
      <c r="M320" s="8"/>
      <c r="N320" s="264"/>
    </row>
    <row r="321" spans="1:14" s="3" customFormat="1" ht="12.2" customHeight="1" x14ac:dyDescent="0.15">
      <c r="A321" s="1" t="s">
        <v>443</v>
      </c>
      <c r="B321" s="2" t="s">
        <v>359</v>
      </c>
      <c r="C321" s="2" t="s">
        <v>295</v>
      </c>
      <c r="D321" s="2" t="s">
        <v>431</v>
      </c>
      <c r="E321" s="6">
        <v>2200</v>
      </c>
      <c r="F321" s="18"/>
      <c r="G321" s="18"/>
      <c r="H321" s="18">
        <v>5710</v>
      </c>
      <c r="I321" s="18">
        <v>0</v>
      </c>
      <c r="J321" s="18">
        <f>11910.36+35424.43</f>
        <v>47334.79</v>
      </c>
      <c r="K321" s="18">
        <v>0</v>
      </c>
      <c r="L321" s="19">
        <f t="shared" si="16"/>
        <v>53044.79</v>
      </c>
      <c r="M321" s="8"/>
      <c r="N321" s="264"/>
    </row>
    <row r="322" spans="1:14" s="3" customFormat="1" ht="12.2" customHeight="1" x14ac:dyDescent="0.15">
      <c r="A322" s="1" t="s">
        <v>444</v>
      </c>
      <c r="B322" s="2" t="s">
        <v>359</v>
      </c>
      <c r="C322" s="2" t="s">
        <v>296</v>
      </c>
      <c r="D322" s="2" t="s">
        <v>431</v>
      </c>
      <c r="E322" s="6">
        <v>2300</v>
      </c>
      <c r="F322" s="18">
        <v>4484.7700000000004</v>
      </c>
      <c r="G322" s="18"/>
      <c r="H322" s="18"/>
      <c r="I322" s="18"/>
      <c r="J322" s="18"/>
      <c r="K322" s="18">
        <v>4355.6000000000004</v>
      </c>
      <c r="L322" s="19">
        <f>SUM(F322:K322)</f>
        <v>8840.3700000000008</v>
      </c>
      <c r="M322" s="8"/>
      <c r="N322" s="264"/>
    </row>
    <row r="323" spans="1:14" s="3" customFormat="1" ht="12.2" customHeight="1" x14ac:dyDescent="0.15">
      <c r="A323" s="1" t="s">
        <v>445</v>
      </c>
      <c r="B323" s="2" t="s">
        <v>359</v>
      </c>
      <c r="C323" s="2" t="s">
        <v>297</v>
      </c>
      <c r="D323" s="2" t="s">
        <v>431</v>
      </c>
      <c r="E323" s="6">
        <v>2400</v>
      </c>
      <c r="F323" s="18">
        <v>1000</v>
      </c>
      <c r="G323" s="18">
        <v>64.819999999999993</v>
      </c>
      <c r="H323" s="18"/>
      <c r="I323" s="18"/>
      <c r="J323" s="18"/>
      <c r="K323" s="4"/>
      <c r="L323" s="19">
        <f t="shared" si="16"/>
        <v>1064.82</v>
      </c>
      <c r="M323" s="8"/>
      <c r="N323" s="264"/>
    </row>
    <row r="324" spans="1:14" s="3" customFormat="1" ht="12.2" customHeight="1" x14ac:dyDescent="0.15">
      <c r="A324" s="1" t="s">
        <v>446</v>
      </c>
      <c r="B324" s="2" t="s">
        <v>359</v>
      </c>
      <c r="C324" s="2" t="s">
        <v>298</v>
      </c>
      <c r="D324" s="2" t="s">
        <v>431</v>
      </c>
      <c r="E324" s="6">
        <v>2500</v>
      </c>
      <c r="F324" s="18">
        <v>7500</v>
      </c>
      <c r="G324" s="18">
        <v>280.94</v>
      </c>
      <c r="H324" s="18">
        <v>1294</v>
      </c>
      <c r="I324" s="18">
        <v>12258.99</v>
      </c>
      <c r="J324" s="18"/>
      <c r="K324" s="18"/>
      <c r="L324" s="19">
        <f t="shared" si="16"/>
        <v>21333.93</v>
      </c>
      <c r="M324" s="8"/>
      <c r="N324" s="264"/>
    </row>
    <row r="325" spans="1:14" s="3" customFormat="1" ht="12.2" customHeight="1" x14ac:dyDescent="0.15">
      <c r="A325" s="1" t="s">
        <v>447</v>
      </c>
      <c r="B325" s="2" t="s">
        <v>359</v>
      </c>
      <c r="C325" s="2" t="s">
        <v>299</v>
      </c>
      <c r="D325" s="2" t="s">
        <v>431</v>
      </c>
      <c r="E325" s="6">
        <v>2600</v>
      </c>
      <c r="F325" s="18"/>
      <c r="G325" s="18"/>
      <c r="H325" s="18">
        <v>10203.5</v>
      </c>
      <c r="I325" s="18">
        <v>16363.58</v>
      </c>
      <c r="J325" s="18">
        <v>3180.81</v>
      </c>
      <c r="K325" s="18"/>
      <c r="L325" s="19">
        <f t="shared" si="16"/>
        <v>29747.890000000003</v>
      </c>
      <c r="M325" s="8"/>
      <c r="N325" s="264"/>
    </row>
    <row r="326" spans="1:14" s="3" customFormat="1" ht="12.2" customHeight="1" x14ac:dyDescent="0.15">
      <c r="A326" s="1" t="s">
        <v>448</v>
      </c>
      <c r="B326" s="2" t="s">
        <v>359</v>
      </c>
      <c r="C326" s="2" t="s">
        <v>300</v>
      </c>
      <c r="D326" s="2" t="s">
        <v>431</v>
      </c>
      <c r="E326" s="6">
        <v>2700</v>
      </c>
      <c r="F326" s="18"/>
      <c r="G326" s="18"/>
      <c r="H326" s="18">
        <v>12890.54</v>
      </c>
      <c r="I326" s="18"/>
      <c r="J326" s="18"/>
      <c r="K326" s="18"/>
      <c r="L326" s="19">
        <f t="shared" si="16"/>
        <v>12890.54</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106989.19</v>
      </c>
      <c r="G329" s="42">
        <f t="shared" si="17"/>
        <v>16382.539999999999</v>
      </c>
      <c r="H329" s="42">
        <f t="shared" si="17"/>
        <v>42376.959999999999</v>
      </c>
      <c r="I329" s="42">
        <f t="shared" si="17"/>
        <v>34814.28</v>
      </c>
      <c r="J329" s="42">
        <f t="shared" si="17"/>
        <v>235163.67</v>
      </c>
      <c r="K329" s="42">
        <f t="shared" si="17"/>
        <v>4355.6000000000004</v>
      </c>
      <c r="L329" s="41">
        <f t="shared" si="17"/>
        <v>440082.24</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313247.26</v>
      </c>
      <c r="G339" s="41">
        <f t="shared" si="20"/>
        <v>36416.22</v>
      </c>
      <c r="H339" s="41">
        <f t="shared" si="20"/>
        <v>113898.25999999998</v>
      </c>
      <c r="I339" s="41">
        <f t="shared" si="20"/>
        <v>123477.6</v>
      </c>
      <c r="J339" s="41">
        <f t="shared" si="20"/>
        <v>498164.94999999995</v>
      </c>
      <c r="K339" s="41">
        <f t="shared" si="20"/>
        <v>41075.56</v>
      </c>
      <c r="L339" s="41">
        <f t="shared" si="20"/>
        <v>1126279.8500000001</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313247.26</v>
      </c>
      <c r="G353" s="41">
        <f>G339</f>
        <v>36416.22</v>
      </c>
      <c r="H353" s="41">
        <f>H339</f>
        <v>113898.25999999998</v>
      </c>
      <c r="I353" s="41">
        <f>I339</f>
        <v>123477.6</v>
      </c>
      <c r="J353" s="41">
        <f>J339</f>
        <v>498164.94999999995</v>
      </c>
      <c r="K353" s="47">
        <f>K339+K352</f>
        <v>41075.56</v>
      </c>
      <c r="L353" s="41">
        <f>L339+L352</f>
        <v>1126279.8500000001</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58034.82</v>
      </c>
      <c r="G359" s="18">
        <v>111755.08</v>
      </c>
      <c r="H359" s="18">
        <f>3749.05+23.85</f>
        <v>3772.9</v>
      </c>
      <c r="I359" s="18">
        <f>7001.3+58723.43</f>
        <v>65724.73</v>
      </c>
      <c r="J359" s="18">
        <v>1428.78</v>
      </c>
      <c r="K359" s="18">
        <v>543.15</v>
      </c>
      <c r="L359" s="13">
        <f>SUM(F359:K359)</f>
        <v>241259.45999999996</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v>70931.45</v>
      </c>
      <c r="G361" s="18">
        <v>136589.54999999999</v>
      </c>
      <c r="H361" s="18">
        <f>4582.17+29.15</f>
        <v>4611.32</v>
      </c>
      <c r="I361" s="18">
        <f>8557.15+71773.08</f>
        <v>80330.23</v>
      </c>
      <c r="J361" s="18">
        <v>1746.28</v>
      </c>
      <c r="K361" s="18">
        <v>663.85</v>
      </c>
      <c r="L361" s="19">
        <f>SUM(F361:K361)</f>
        <v>294872.68</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128966.26999999999</v>
      </c>
      <c r="G363" s="47">
        <f t="shared" si="22"/>
        <v>248344.63</v>
      </c>
      <c r="H363" s="47">
        <f t="shared" si="22"/>
        <v>8384.2199999999993</v>
      </c>
      <c r="I363" s="47">
        <f t="shared" si="22"/>
        <v>146054.96</v>
      </c>
      <c r="J363" s="47">
        <f t="shared" si="22"/>
        <v>3175.06</v>
      </c>
      <c r="K363" s="47">
        <f t="shared" si="22"/>
        <v>1207</v>
      </c>
      <c r="L363" s="47">
        <f t="shared" si="22"/>
        <v>536132.1399999999</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58723.43</v>
      </c>
      <c r="G368" s="18"/>
      <c r="H368" s="18">
        <v>71773.08</v>
      </c>
      <c r="I368" s="56">
        <f>SUM(F368:H368)</f>
        <v>130496.51000000001</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7001.3</v>
      </c>
      <c r="G369" s="63"/>
      <c r="H369" s="63">
        <v>8557.15</v>
      </c>
      <c r="I369" s="56">
        <f>SUM(F369:H369)</f>
        <v>15558.45</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65724.73</v>
      </c>
      <c r="G370" s="47">
        <f>SUM(G368:G369)</f>
        <v>0</v>
      </c>
      <c r="H370" s="47">
        <f>SUM(H368:H369)</f>
        <v>80330.23</v>
      </c>
      <c r="I370" s="47">
        <f>SUM(I368:I369)</f>
        <v>146054.96000000002</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v>0</v>
      </c>
      <c r="H390" s="18">
        <v>-332.24</v>
      </c>
      <c r="I390" s="18"/>
      <c r="J390" s="24" t="s">
        <v>288</v>
      </c>
      <c r="K390" s="24" t="s">
        <v>288</v>
      </c>
      <c r="L390" s="56">
        <f t="shared" si="25"/>
        <v>-332.24</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-332.24</v>
      </c>
      <c r="I394" s="65">
        <f>SUM(I388:I393)</f>
        <v>0</v>
      </c>
      <c r="J394" s="45" t="s">
        <v>288</v>
      </c>
      <c r="K394" s="45" t="s">
        <v>288</v>
      </c>
      <c r="L394" s="47">
        <f>SUM(L388:L393)</f>
        <v>-332.24</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35000</v>
      </c>
      <c r="H397" s="18">
        <v>-316.27999999999997</v>
      </c>
      <c r="I397" s="18"/>
      <c r="J397" s="24" t="s">
        <v>288</v>
      </c>
      <c r="K397" s="24" t="s">
        <v>288</v>
      </c>
      <c r="L397" s="56">
        <f t="shared" si="26"/>
        <v>34683.72</v>
      </c>
      <c r="M397" s="8"/>
      <c r="N397" s="264"/>
    </row>
    <row r="398" spans="1:14" s="3" customFormat="1" ht="12.2" customHeight="1" x14ac:dyDescent="0.15">
      <c r="A398" s="79" t="s">
        <v>515</v>
      </c>
      <c r="B398" s="2" t="s">
        <v>381</v>
      </c>
      <c r="C398" s="6">
        <v>10</v>
      </c>
      <c r="D398" s="2" t="s">
        <v>432</v>
      </c>
      <c r="E398" s="6"/>
      <c r="F398" s="18"/>
      <c r="G398" s="18"/>
      <c r="H398" s="18">
        <v>-709.1</v>
      </c>
      <c r="I398" s="18"/>
      <c r="J398" s="24" t="s">
        <v>288</v>
      </c>
      <c r="K398" s="24" t="s">
        <v>288</v>
      </c>
      <c r="L398" s="56">
        <f t="shared" si="26"/>
        <v>-709.1</v>
      </c>
      <c r="M398" s="8"/>
      <c r="N398" s="264"/>
    </row>
    <row r="399" spans="1:14" s="3" customFormat="1" ht="12.2" customHeight="1" x14ac:dyDescent="0.15">
      <c r="A399" s="79" t="s">
        <v>558</v>
      </c>
      <c r="B399" s="2" t="s">
        <v>381</v>
      </c>
      <c r="C399" s="6">
        <v>11</v>
      </c>
      <c r="D399" s="2" t="s">
        <v>432</v>
      </c>
      <c r="E399" s="6"/>
      <c r="F399" s="18"/>
      <c r="G399" s="18"/>
      <c r="H399" s="18">
        <v>0</v>
      </c>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v>10000</v>
      </c>
      <c r="H400" s="18">
        <v>-106.82</v>
      </c>
      <c r="I400" s="18"/>
      <c r="J400" s="24" t="s">
        <v>288</v>
      </c>
      <c r="K400" s="24" t="s">
        <v>288</v>
      </c>
      <c r="L400" s="56">
        <f t="shared" si="26"/>
        <v>9893.18</v>
      </c>
      <c r="M400" s="8"/>
      <c r="N400" s="264"/>
    </row>
    <row r="401" spans="1:21" s="3" customFormat="1" ht="12.2" customHeight="1" thickBot="1" x14ac:dyDescent="0.2">
      <c r="A401" s="79" t="s">
        <v>510</v>
      </c>
      <c r="B401" s="2" t="s">
        <v>381</v>
      </c>
      <c r="C401" s="6">
        <v>13</v>
      </c>
      <c r="D401" s="2" t="s">
        <v>432</v>
      </c>
      <c r="E401" s="6"/>
      <c r="F401" s="18"/>
      <c r="G401" s="18">
        <v>37500</v>
      </c>
      <c r="H401" s="18">
        <f>-174.24-156.33</f>
        <v>-330.57000000000005</v>
      </c>
      <c r="I401" s="18"/>
      <c r="J401" s="24" t="s">
        <v>288</v>
      </c>
      <c r="K401" s="24" t="s">
        <v>288</v>
      </c>
      <c r="L401" s="56">
        <f t="shared" si="26"/>
        <v>37169.43</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82500</v>
      </c>
      <c r="H402" s="47">
        <f>SUM(H396:H401)</f>
        <v>-1462.77</v>
      </c>
      <c r="I402" s="47">
        <f>SUM(I396:I401)</f>
        <v>0</v>
      </c>
      <c r="J402" s="45" t="s">
        <v>288</v>
      </c>
      <c r="K402" s="45" t="s">
        <v>288</v>
      </c>
      <c r="L402" s="47">
        <f>SUM(L396:L401)</f>
        <v>81037.23000000001</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82500</v>
      </c>
      <c r="H409" s="47">
        <f>H394+H402+H408</f>
        <v>-1795.01</v>
      </c>
      <c r="I409" s="47">
        <f>I394+I402+I408</f>
        <v>0</v>
      </c>
      <c r="J409" s="24" t="s">
        <v>288</v>
      </c>
      <c r="K409" s="24" t="s">
        <v>288</v>
      </c>
      <c r="L409" s="47">
        <f>L394+L402+L408</f>
        <v>80704.990000000005</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172806.02</v>
      </c>
      <c r="G440" s="18">
        <v>804787.24</v>
      </c>
      <c r="H440" s="18"/>
      <c r="I440" s="56">
        <f t="shared" ref="I440:I446" si="33">SUM(F440:H440)</f>
        <v>977593.26</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172806.02</v>
      </c>
      <c r="G447" s="13">
        <f>SUM(G440:G446)</f>
        <v>804787.24</v>
      </c>
      <c r="H447" s="13">
        <f>SUM(H440:H446)</f>
        <v>0</v>
      </c>
      <c r="I447" s="13">
        <f>SUM(I440:I446)</f>
        <v>977593.26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172806.02</v>
      </c>
      <c r="G460" s="18">
        <v>804787.24</v>
      </c>
      <c r="H460" s="18"/>
      <c r="I460" s="56">
        <f t="shared" si="34"/>
        <v>977593.26</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172806.02</v>
      </c>
      <c r="G461" s="83">
        <f>SUM(G455:G460)</f>
        <v>804787.24</v>
      </c>
      <c r="H461" s="83">
        <f>SUM(H455:H460)</f>
        <v>0</v>
      </c>
      <c r="I461" s="83">
        <f>SUM(I455:I460)</f>
        <v>977593.26</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172806.02</v>
      </c>
      <c r="G462" s="42">
        <f>G453+G461</f>
        <v>804787.24</v>
      </c>
      <c r="H462" s="42">
        <f>H453+H461</f>
        <v>0</v>
      </c>
      <c r="I462" s="42">
        <f>I453+I461</f>
        <v>977593.26</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760259.14</v>
      </c>
      <c r="G466" s="18">
        <v>57947.63</v>
      </c>
      <c r="H466" s="18">
        <v>1299</v>
      </c>
      <c r="I466" s="18"/>
      <c r="J466" s="18">
        <v>896888.27</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25504996.03-192617.02</f>
        <v>25312379.010000002</v>
      </c>
      <c r="G469" s="18">
        <f>478184.51+1200</f>
        <v>479384.51</v>
      </c>
      <c r="H469" s="18">
        <f>933662.83+192617.02</f>
        <v>1126279.8499999999</v>
      </c>
      <c r="I469" s="18"/>
      <c r="J469" s="18">
        <f>82500-1795.01</f>
        <v>80704.990000000005</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25312379.010000002</v>
      </c>
      <c r="G471" s="53">
        <f>SUM(G469:G470)</f>
        <v>479384.51</v>
      </c>
      <c r="H471" s="53">
        <f>SUM(H469:H470)</f>
        <v>1126279.8499999999</v>
      </c>
      <c r="I471" s="53">
        <f>SUM(I469:I470)</f>
        <v>0</v>
      </c>
      <c r="J471" s="53">
        <f>SUM(J469:J470)</f>
        <v>80704.990000000005</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25060160.89-192617.02</f>
        <v>24867543.870000001</v>
      </c>
      <c r="G473" s="18">
        <v>536132.14</v>
      </c>
      <c r="H473" s="18">
        <f>933662.83+192617.02</f>
        <v>1126279.8499999999</v>
      </c>
      <c r="I473" s="18"/>
      <c r="J473" s="18">
        <v>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24867543.870000001</v>
      </c>
      <c r="G475" s="53">
        <f>SUM(G473:G474)</f>
        <v>536132.14</v>
      </c>
      <c r="H475" s="53">
        <f>SUM(H473:H474)</f>
        <v>1126279.8499999999</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1205094.2800000012</v>
      </c>
      <c r="G477" s="53">
        <f>(G466+G471)- G475</f>
        <v>1200</v>
      </c>
      <c r="H477" s="53">
        <f>(H466+H471)- H475</f>
        <v>1299</v>
      </c>
      <c r="I477" s="53">
        <f>(I466+I471)- I475</f>
        <v>0</v>
      </c>
      <c r="J477" s="53">
        <f>(J466+J471)- J475</f>
        <v>977593.26</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F199</f>
        <v>1129599.2899999998</v>
      </c>
      <c r="G522" s="18">
        <f t="shared" ref="G522:K522" si="36">G199</f>
        <v>675479.59</v>
      </c>
      <c r="H522" s="18">
        <f t="shared" si="36"/>
        <v>329501.55</v>
      </c>
      <c r="I522" s="18">
        <f t="shared" si="36"/>
        <v>3736.95</v>
      </c>
      <c r="J522" s="18">
        <f t="shared" si="36"/>
        <v>0</v>
      </c>
      <c r="K522" s="18">
        <f t="shared" si="36"/>
        <v>0</v>
      </c>
      <c r="L522" s="88">
        <f>SUM(F522:K522)</f>
        <v>2138317.38</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f>F235</f>
        <v>778165.30999999994</v>
      </c>
      <c r="G524" s="18">
        <f t="shared" ref="G524:K524" si="37">G235</f>
        <v>455724.2</v>
      </c>
      <c r="H524" s="18">
        <f t="shared" si="37"/>
        <v>93498.73</v>
      </c>
      <c r="I524" s="18">
        <f t="shared" si="37"/>
        <v>7828.76</v>
      </c>
      <c r="J524" s="18">
        <f t="shared" si="37"/>
        <v>1395</v>
      </c>
      <c r="K524" s="18">
        <f t="shared" si="37"/>
        <v>555</v>
      </c>
      <c r="L524" s="88">
        <f>SUM(F524:K524)</f>
        <v>1337167</v>
      </c>
      <c r="N524" s="263"/>
    </row>
    <row r="525" spans="1:14" s="52" customFormat="1" ht="12.2" customHeight="1" thickTop="1" x14ac:dyDescent="0.2">
      <c r="A525" s="139" t="s">
        <v>63</v>
      </c>
      <c r="B525" s="107">
        <v>21</v>
      </c>
      <c r="C525" s="195">
        <v>4</v>
      </c>
      <c r="D525" s="196" t="s">
        <v>432</v>
      </c>
      <c r="E525" s="195"/>
      <c r="F525" s="108">
        <f>SUM(F522:F524)</f>
        <v>1907764.5999999996</v>
      </c>
      <c r="G525" s="108">
        <f t="shared" ref="G525:L525" si="38">SUM(G522:G524)</f>
        <v>1131203.79</v>
      </c>
      <c r="H525" s="108">
        <f t="shared" si="38"/>
        <v>423000.27999999997</v>
      </c>
      <c r="I525" s="108">
        <f t="shared" si="38"/>
        <v>11565.71</v>
      </c>
      <c r="J525" s="108">
        <f t="shared" si="38"/>
        <v>1395</v>
      </c>
      <c r="K525" s="108">
        <f t="shared" si="38"/>
        <v>555</v>
      </c>
      <c r="L525" s="89">
        <f t="shared" si="38"/>
        <v>3475484.38</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f>H199+H278</f>
        <v>361261.82999999996</v>
      </c>
      <c r="I527" s="18"/>
      <c r="J527" s="18"/>
      <c r="K527" s="18"/>
      <c r="L527" s="88">
        <f>SUM(F527:K527)</f>
        <v>361261.82999999996</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f>H235+H316</f>
        <v>104955.37</v>
      </c>
      <c r="I529" s="18"/>
      <c r="J529" s="18"/>
      <c r="K529" s="18"/>
      <c r="L529" s="88">
        <f>SUM(F529:K529)</f>
        <v>104955.37</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9">SUM(G527:G529)</f>
        <v>0</v>
      </c>
      <c r="H530" s="89">
        <f t="shared" si="39"/>
        <v>466217.19999999995</v>
      </c>
      <c r="I530" s="89">
        <f t="shared" si="39"/>
        <v>0</v>
      </c>
      <c r="J530" s="89">
        <f t="shared" si="39"/>
        <v>0</v>
      </c>
      <c r="K530" s="89">
        <f t="shared" si="39"/>
        <v>0</v>
      </c>
      <c r="L530" s="89">
        <f t="shared" si="39"/>
        <v>466217.19999999995</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34320</v>
      </c>
      <c r="G532" s="18">
        <v>15435.16</v>
      </c>
      <c r="H532" s="18"/>
      <c r="I532" s="18"/>
      <c r="J532" s="18"/>
      <c r="K532" s="18"/>
      <c r="L532" s="88">
        <f>SUM(F532:K532)</f>
        <v>49755.16</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v>8580</v>
      </c>
      <c r="G534" s="18">
        <v>3858.79</v>
      </c>
      <c r="H534" s="18"/>
      <c r="I534" s="18"/>
      <c r="J534" s="18"/>
      <c r="K534" s="18"/>
      <c r="L534" s="88">
        <f>SUM(F534:K534)</f>
        <v>12438.79</v>
      </c>
      <c r="M534" s="8"/>
      <c r="N534" s="264"/>
    </row>
    <row r="535" spans="1:14" s="3" customFormat="1" ht="12.2" customHeight="1" thickTop="1" x14ac:dyDescent="0.15">
      <c r="A535" s="139" t="s">
        <v>67</v>
      </c>
      <c r="B535" s="107">
        <v>21</v>
      </c>
      <c r="C535" s="107">
        <v>12</v>
      </c>
      <c r="D535" s="158" t="s">
        <v>432</v>
      </c>
      <c r="E535" s="107"/>
      <c r="F535" s="89">
        <f>SUM(F532:F534)</f>
        <v>42900</v>
      </c>
      <c r="G535" s="89">
        <f t="shared" ref="G535:L535" si="40">SUM(G532:G534)</f>
        <v>19293.95</v>
      </c>
      <c r="H535" s="89">
        <f t="shared" si="40"/>
        <v>0</v>
      </c>
      <c r="I535" s="89">
        <f t="shared" si="40"/>
        <v>0</v>
      </c>
      <c r="J535" s="89">
        <f t="shared" si="40"/>
        <v>0</v>
      </c>
      <c r="K535" s="89">
        <f t="shared" si="40"/>
        <v>0</v>
      </c>
      <c r="L535" s="89">
        <f t="shared" si="40"/>
        <v>62193.950000000004</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1">SUM(G537:G539)</f>
        <v>0</v>
      </c>
      <c r="H540" s="89">
        <f t="shared" si="41"/>
        <v>0</v>
      </c>
      <c r="I540" s="89">
        <f t="shared" si="41"/>
        <v>0</v>
      </c>
      <c r="J540" s="89">
        <f t="shared" si="41"/>
        <v>0</v>
      </c>
      <c r="K540" s="89">
        <f t="shared" si="41"/>
        <v>0</v>
      </c>
      <c r="L540" s="89">
        <f t="shared" si="41"/>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f>7478+18983.4+18983.4+11761.88+49048.88</f>
        <v>106255.56</v>
      </c>
      <c r="I542" s="18"/>
      <c r="J542" s="18"/>
      <c r="K542" s="18"/>
      <c r="L542" s="88">
        <f>SUM(F542:K542)</f>
        <v>106255.56</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f>18983.4+37585.44+12890.54</f>
        <v>69459.38</v>
      </c>
      <c r="I544" s="18"/>
      <c r="J544" s="18"/>
      <c r="K544" s="18"/>
      <c r="L544" s="88">
        <f>SUM(F544:K544)</f>
        <v>69459.38</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2">SUM(G542:G544)</f>
        <v>0</v>
      </c>
      <c r="H545" s="193">
        <f t="shared" si="42"/>
        <v>175714.94</v>
      </c>
      <c r="I545" s="193">
        <f t="shared" si="42"/>
        <v>0</v>
      </c>
      <c r="J545" s="193">
        <f t="shared" si="42"/>
        <v>0</v>
      </c>
      <c r="K545" s="193">
        <f t="shared" si="42"/>
        <v>0</v>
      </c>
      <c r="L545" s="193">
        <f t="shared" si="42"/>
        <v>175714.94</v>
      </c>
      <c r="M545" s="8"/>
      <c r="N545" s="264"/>
    </row>
    <row r="546" spans="1:14" s="3" customFormat="1" ht="12.2" customHeight="1" thickTop="1" x14ac:dyDescent="0.15">
      <c r="A546" s="98" t="s">
        <v>72</v>
      </c>
      <c r="B546" s="107">
        <v>21</v>
      </c>
      <c r="C546" s="107">
        <v>21</v>
      </c>
      <c r="D546" s="158" t="s">
        <v>432</v>
      </c>
      <c r="E546" s="107"/>
      <c r="F546" s="89">
        <f>F525+F530+F535+F540+F545</f>
        <v>1950664.5999999996</v>
      </c>
      <c r="G546" s="89">
        <f t="shared" ref="G546:L546" si="43">G525+G530+G535+G540+G545</f>
        <v>1150497.74</v>
      </c>
      <c r="H546" s="89">
        <f t="shared" si="43"/>
        <v>1064932.42</v>
      </c>
      <c r="I546" s="89">
        <f t="shared" si="43"/>
        <v>11565.71</v>
      </c>
      <c r="J546" s="89">
        <f t="shared" si="43"/>
        <v>1395</v>
      </c>
      <c r="K546" s="89">
        <f t="shared" si="43"/>
        <v>555</v>
      </c>
      <c r="L546" s="89">
        <f t="shared" si="43"/>
        <v>4179610.47</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2138317.38</v>
      </c>
      <c r="G550" s="87">
        <f>L527</f>
        <v>361261.82999999996</v>
      </c>
      <c r="H550" s="87">
        <f>L532</f>
        <v>49755.16</v>
      </c>
      <c r="I550" s="87">
        <f>L537</f>
        <v>0</v>
      </c>
      <c r="J550" s="87">
        <f>L542</f>
        <v>106255.56</v>
      </c>
      <c r="K550" s="87">
        <f>SUM(F550:J550)</f>
        <v>2655589.9300000002</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1337167</v>
      </c>
      <c r="G552" s="87">
        <f>L529</f>
        <v>104955.37</v>
      </c>
      <c r="H552" s="87">
        <f>L534</f>
        <v>12438.79</v>
      </c>
      <c r="I552" s="87">
        <f>L539</f>
        <v>0</v>
      </c>
      <c r="J552" s="87">
        <f>L544</f>
        <v>69459.38</v>
      </c>
      <c r="K552" s="87">
        <f>SUM(F552:J552)</f>
        <v>1524020.54</v>
      </c>
      <c r="L552" s="24" t="s">
        <v>288</v>
      </c>
      <c r="M552" s="8"/>
      <c r="N552" s="264"/>
    </row>
    <row r="553" spans="1:14" s="3" customFormat="1" ht="12.2" customHeight="1" thickTop="1" x14ac:dyDescent="0.15">
      <c r="A553" s="172" t="s">
        <v>340</v>
      </c>
      <c r="B553" s="44">
        <v>21</v>
      </c>
      <c r="C553" s="44">
        <v>25</v>
      </c>
      <c r="D553" s="39" t="s">
        <v>432</v>
      </c>
      <c r="E553" s="44"/>
      <c r="F553" s="89">
        <f t="shared" ref="F553:K553" si="44">SUM(F550:F552)</f>
        <v>3475484.38</v>
      </c>
      <c r="G553" s="89">
        <f t="shared" si="44"/>
        <v>466217.19999999995</v>
      </c>
      <c r="H553" s="89">
        <f t="shared" si="44"/>
        <v>62193.950000000004</v>
      </c>
      <c r="I553" s="89">
        <f t="shared" si="44"/>
        <v>0</v>
      </c>
      <c r="J553" s="89">
        <f t="shared" si="44"/>
        <v>175714.94</v>
      </c>
      <c r="K553" s="89">
        <f t="shared" si="44"/>
        <v>4179610.47</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5">SUM(F558:F560)</f>
        <v>0</v>
      </c>
      <c r="G561" s="108">
        <f t="shared" si="45"/>
        <v>0</v>
      </c>
      <c r="H561" s="108">
        <f t="shared" si="45"/>
        <v>0</v>
      </c>
      <c r="I561" s="108">
        <f t="shared" si="45"/>
        <v>0</v>
      </c>
      <c r="J561" s="108">
        <f t="shared" si="45"/>
        <v>0</v>
      </c>
      <c r="K561" s="108">
        <f t="shared" si="45"/>
        <v>0</v>
      </c>
      <c r="L561" s="89">
        <f t="shared" si="45"/>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f>14305.21+2786.72</f>
        <v>17091.93</v>
      </c>
      <c r="G563" s="18"/>
      <c r="H563" s="18"/>
      <c r="I563" s="18"/>
      <c r="J563" s="18"/>
      <c r="K563" s="18"/>
      <c r="L563" s="88">
        <f>SUM(F563:K563)</f>
        <v>17091.93</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v>2250</v>
      </c>
      <c r="G565" s="18"/>
      <c r="H565" s="18"/>
      <c r="I565" s="18"/>
      <c r="J565" s="18"/>
      <c r="K565" s="18"/>
      <c r="L565" s="88">
        <f>SUM(F565:K565)</f>
        <v>2250</v>
      </c>
      <c r="M565" s="8"/>
      <c r="N565" s="264"/>
    </row>
    <row r="566" spans="1:14" s="3" customFormat="1" ht="12.2" customHeight="1" thickTop="1" x14ac:dyDescent="0.15">
      <c r="A566" s="139" t="s">
        <v>65</v>
      </c>
      <c r="B566" s="107">
        <v>22</v>
      </c>
      <c r="C566" s="107">
        <v>8</v>
      </c>
      <c r="D566" s="196" t="s">
        <v>432</v>
      </c>
      <c r="E566" s="107"/>
      <c r="F566" s="89">
        <f t="shared" ref="F566:L566" si="46">SUM(F563:F565)</f>
        <v>19341.93</v>
      </c>
      <c r="G566" s="89">
        <f t="shared" si="46"/>
        <v>0</v>
      </c>
      <c r="H566" s="89">
        <f t="shared" si="46"/>
        <v>0</v>
      </c>
      <c r="I566" s="89">
        <f t="shared" si="46"/>
        <v>0</v>
      </c>
      <c r="J566" s="89">
        <f t="shared" si="46"/>
        <v>0</v>
      </c>
      <c r="K566" s="89">
        <f t="shared" si="46"/>
        <v>0</v>
      </c>
      <c r="L566" s="89">
        <f t="shared" si="46"/>
        <v>19341.93</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7">SUM(G568:G570)</f>
        <v>0</v>
      </c>
      <c r="H571" s="193">
        <f t="shared" si="47"/>
        <v>0</v>
      </c>
      <c r="I571" s="193">
        <f t="shared" si="47"/>
        <v>0</v>
      </c>
      <c r="J571" s="193">
        <f t="shared" si="47"/>
        <v>0</v>
      </c>
      <c r="K571" s="193">
        <f t="shared" si="47"/>
        <v>0</v>
      </c>
      <c r="L571" s="193">
        <f t="shared" si="47"/>
        <v>0</v>
      </c>
      <c r="M571" s="8"/>
      <c r="N571" s="264"/>
    </row>
    <row r="572" spans="1:14" s="3" customFormat="1" ht="12.2" customHeight="1" thickTop="1" x14ac:dyDescent="0.15">
      <c r="A572" s="98" t="s">
        <v>88</v>
      </c>
      <c r="B572" s="107">
        <v>22</v>
      </c>
      <c r="C572" s="107">
        <v>13</v>
      </c>
      <c r="D572" s="158" t="s">
        <v>432</v>
      </c>
      <c r="E572" s="107"/>
      <c r="F572" s="89">
        <f>F561+F566+F571</f>
        <v>19341.93</v>
      </c>
      <c r="G572" s="89">
        <f t="shared" ref="G572:L572" si="48">G561+G566+G571</f>
        <v>0</v>
      </c>
      <c r="H572" s="89">
        <f t="shared" si="48"/>
        <v>0</v>
      </c>
      <c r="I572" s="89">
        <f t="shared" si="48"/>
        <v>0</v>
      </c>
      <c r="J572" s="89">
        <f t="shared" si="48"/>
        <v>0</v>
      </c>
      <c r="K572" s="89">
        <f t="shared" si="48"/>
        <v>0</v>
      </c>
      <c r="L572" s="89">
        <f t="shared" si="48"/>
        <v>19341.93</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9">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9"/>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9"/>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f>136550.31+75672.73</f>
        <v>212223.03999999998</v>
      </c>
      <c r="G580" s="18"/>
      <c r="H580" s="18">
        <v>25734.13</v>
      </c>
      <c r="I580" s="87">
        <f t="shared" si="49"/>
        <v>237957.16999999998</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9"/>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9"/>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116829.44</v>
      </c>
      <c r="G583" s="18"/>
      <c r="H583" s="18">
        <v>65829.539999999994</v>
      </c>
      <c r="I583" s="87">
        <f t="shared" si="49"/>
        <v>182658.97999999998</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9"/>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221807</v>
      </c>
      <c r="I585" s="87">
        <f t="shared" si="49"/>
        <v>221807</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9"/>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9"/>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9"/>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131848.41+114777.56</f>
        <v>246625.97</v>
      </c>
      <c r="I592" s="18"/>
      <c r="J592" s="18">
        <v>0</v>
      </c>
      <c r="K592" s="104">
        <f t="shared" ref="K592:K598" si="50">SUM(H592:J592)</f>
        <v>246625.97</v>
      </c>
      <c r="L592" s="24" t="s">
        <v>288</v>
      </c>
      <c r="M592" s="8"/>
      <c r="N592" s="264"/>
    </row>
    <row r="593" spans="1:14" s="3" customFormat="1" ht="12.2" customHeight="1" x14ac:dyDescent="0.15">
      <c r="A593" s="3" t="s">
        <v>638</v>
      </c>
      <c r="B593" s="75">
        <v>23</v>
      </c>
      <c r="C593" s="75">
        <v>2</v>
      </c>
      <c r="D593" s="2" t="s">
        <v>432</v>
      </c>
      <c r="E593" s="75"/>
      <c r="F593" s="102">
        <v>2722</v>
      </c>
      <c r="G593" s="103" t="s">
        <v>97</v>
      </c>
      <c r="H593" s="18">
        <f>7478+18983.4+18983.4+11761.88+49048.88</f>
        <v>106255.56</v>
      </c>
      <c r="I593" s="18"/>
      <c r="J593" s="18">
        <f>18983.4+37585.44</f>
        <v>56568.840000000004</v>
      </c>
      <c r="K593" s="104">
        <f t="shared" si="50"/>
        <v>162824.4</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65640.929999999993</v>
      </c>
      <c r="K594" s="104">
        <f t="shared" si="50"/>
        <v>65640.929999999993</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6168.08</v>
      </c>
      <c r="I595" s="18"/>
      <c r="J595" s="18">
        <v>22675.26</v>
      </c>
      <c r="K595" s="104">
        <f t="shared" si="50"/>
        <v>28843.339999999997</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325</v>
      </c>
      <c r="I596" s="18"/>
      <c r="J596" s="18"/>
      <c r="K596" s="104">
        <f t="shared" si="50"/>
        <v>325</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50"/>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0"/>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359374.61000000004</v>
      </c>
      <c r="I599" s="108">
        <f>SUM(I592:I598)</f>
        <v>0</v>
      </c>
      <c r="J599" s="108">
        <f>SUM(J592:J598)</f>
        <v>144885.03</v>
      </c>
      <c r="K599" s="108">
        <f>SUM(K592:K598)</f>
        <v>504259.64</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J212+J291</f>
        <v>389411.42</v>
      </c>
      <c r="I605" s="18"/>
      <c r="J605" s="18">
        <f>J248+J329</f>
        <v>658719.32000000007</v>
      </c>
      <c r="K605" s="104">
        <f>SUM(H605:J605)</f>
        <v>1048130.74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389411.42</v>
      </c>
      <c r="I606" s="108">
        <f>SUM(I603:I605)</f>
        <v>0</v>
      </c>
      <c r="J606" s="108">
        <f>SUM(J603:J605)</f>
        <v>658719.32000000007</v>
      </c>
      <c r="K606" s="108">
        <f>SUM(K603:K605)</f>
        <v>1048130.74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51">SUM(F612:F614)</f>
        <v>0</v>
      </c>
      <c r="G615" s="108">
        <f t="shared" si="51"/>
        <v>0</v>
      </c>
      <c r="H615" s="108">
        <f t="shared" si="51"/>
        <v>0</v>
      </c>
      <c r="I615" s="108">
        <f t="shared" si="51"/>
        <v>0</v>
      </c>
      <c r="J615" s="108">
        <f t="shared" si="51"/>
        <v>0</v>
      </c>
      <c r="K615" s="108">
        <f t="shared" si="51"/>
        <v>0</v>
      </c>
      <c r="L615" s="89">
        <f t="shared" si="51"/>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2637233.41</v>
      </c>
      <c r="H618" s="109">
        <f>SUM(F52)</f>
        <v>2637233.41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290348.40000000002</v>
      </c>
      <c r="H619" s="109">
        <f>SUM(G52)</f>
        <v>290348.39999999997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466744.2</v>
      </c>
      <c r="H620" s="109">
        <f>SUM(H52)</f>
        <v>466744.2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977593.26</v>
      </c>
      <c r="H622" s="109">
        <f>SUM(J52)</f>
        <v>977593.26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1205094.28</v>
      </c>
      <c r="H623" s="109">
        <f>F477</f>
        <v>1205094.2800000012</v>
      </c>
      <c r="I623" s="121" t="s">
        <v>101</v>
      </c>
      <c r="J623" s="109">
        <f t="shared" ref="J623:J656" si="52">G623-H623</f>
        <v>0</v>
      </c>
      <c r="K623" s="109"/>
      <c r="L623" s="109"/>
      <c r="M623" s="8"/>
    </row>
    <row r="624" spans="1:14" s="3" customFormat="1" ht="12.2" customHeight="1" x14ac:dyDescent="0.15">
      <c r="A624" s="97"/>
      <c r="B624" s="105"/>
      <c r="C624" s="119"/>
      <c r="D624" s="119"/>
      <c r="E624" s="119"/>
      <c r="F624" s="119" t="s">
        <v>866</v>
      </c>
      <c r="G624" s="109">
        <f>G51</f>
        <v>1200</v>
      </c>
      <c r="H624" s="109">
        <f>G477</f>
        <v>1200</v>
      </c>
      <c r="I624" s="121" t="s">
        <v>102</v>
      </c>
      <c r="J624" s="109">
        <f t="shared" si="52"/>
        <v>0</v>
      </c>
      <c r="K624" s="109"/>
      <c r="L624" s="109"/>
      <c r="M624" s="8"/>
    </row>
    <row r="625" spans="1:13" s="3" customFormat="1" ht="12.2" customHeight="1" x14ac:dyDescent="0.15">
      <c r="A625" s="97"/>
      <c r="B625" s="105"/>
      <c r="C625" s="105"/>
      <c r="D625" s="105"/>
      <c r="E625" s="105"/>
      <c r="F625" s="120" t="s">
        <v>867</v>
      </c>
      <c r="G625" s="109">
        <f>H51</f>
        <v>1299</v>
      </c>
      <c r="H625" s="109">
        <f>H477</f>
        <v>1299</v>
      </c>
      <c r="I625" s="121" t="s">
        <v>103</v>
      </c>
      <c r="J625" s="109">
        <f t="shared" si="52"/>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2"/>
        <v>0</v>
      </c>
      <c r="K626" s="109"/>
      <c r="L626" s="109"/>
      <c r="M626" s="8"/>
    </row>
    <row r="627" spans="1:13" s="3" customFormat="1" ht="12.2" customHeight="1" x14ac:dyDescent="0.15">
      <c r="A627" s="22"/>
      <c r="B627" s="105"/>
      <c r="C627" s="105"/>
      <c r="D627" s="105"/>
      <c r="E627" s="105"/>
      <c r="F627" s="120" t="s">
        <v>869</v>
      </c>
      <c r="G627" s="109">
        <f>J51</f>
        <v>977593.26</v>
      </c>
      <c r="H627" s="109">
        <f>J477</f>
        <v>977593.26</v>
      </c>
      <c r="I627" s="140" t="s">
        <v>105</v>
      </c>
      <c r="J627" s="109">
        <f t="shared" si="52"/>
        <v>0</v>
      </c>
      <c r="K627" s="85"/>
      <c r="L627" s="88"/>
      <c r="M627" s="8"/>
    </row>
    <row r="628" spans="1:13" s="3" customFormat="1" ht="12.2" customHeight="1" x14ac:dyDescent="0.15">
      <c r="A628" s="22"/>
      <c r="B628" s="105"/>
      <c r="C628" s="105"/>
      <c r="D628" s="105"/>
      <c r="E628" s="105"/>
      <c r="F628" s="120" t="s">
        <v>658</v>
      </c>
      <c r="G628" s="109">
        <f>F194</f>
        <v>25312379.010000002</v>
      </c>
      <c r="H628" s="104">
        <f>SUM(F469)</f>
        <v>25312379.010000002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479384.51</v>
      </c>
      <c r="H629" s="104">
        <f>SUM(G469)</f>
        <v>479384.51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1126279.8500000001</v>
      </c>
      <c r="H630" s="104">
        <f>SUM(H469)</f>
        <v>1126279.8499999999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80704.990000000005</v>
      </c>
      <c r="H632" s="104">
        <f>SUM(J469)</f>
        <v>80704.990000000005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24867543.869999997</v>
      </c>
      <c r="H633" s="104">
        <f>SUM(F473)</f>
        <v>24867543.870000001</v>
      </c>
      <c r="I633" s="140" t="s">
        <v>111</v>
      </c>
      <c r="J633" s="109">
        <f t="shared" si="52"/>
        <v>0</v>
      </c>
      <c r="K633" s="85"/>
      <c r="L633" s="88"/>
      <c r="M633" s="8"/>
    </row>
    <row r="634" spans="1:13" s="3" customFormat="1" ht="12.2" customHeight="1" x14ac:dyDescent="0.15">
      <c r="A634" s="22"/>
      <c r="B634" s="105"/>
      <c r="C634" s="105"/>
      <c r="D634" s="105"/>
      <c r="E634" s="105"/>
      <c r="F634" s="120" t="s">
        <v>395</v>
      </c>
      <c r="G634" s="109">
        <f>SUM(L353)</f>
        <v>1126279.8500000001</v>
      </c>
      <c r="H634" s="104">
        <f>SUM(H473)</f>
        <v>1126279.8499999999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146054.96</v>
      </c>
      <c r="H635" s="104">
        <f>I370</f>
        <v>146054.96000000002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536132.1399999999</v>
      </c>
      <c r="H636" s="104">
        <f>SUM(G473)</f>
        <v>536132.14</v>
      </c>
      <c r="I636" s="140" t="s">
        <v>114</v>
      </c>
      <c r="J636" s="109">
        <f t="shared" si="52"/>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2"/>
        <v>0</v>
      </c>
      <c r="K637" s="85"/>
      <c r="L637" s="88"/>
      <c r="M637" s="8"/>
    </row>
    <row r="638" spans="1:13" s="3" customFormat="1" ht="12.2" customHeight="1" x14ac:dyDescent="0.15">
      <c r="A638" s="161"/>
      <c r="B638" s="162"/>
      <c r="C638" s="162"/>
      <c r="D638" s="162"/>
      <c r="E638" s="162"/>
      <c r="F638" s="163" t="s">
        <v>477</v>
      </c>
      <c r="G638" s="151">
        <f>SUM(L409)</f>
        <v>80704.990000000005</v>
      </c>
      <c r="H638" s="164">
        <f>SUM(J469)</f>
        <v>80704.990000000005</v>
      </c>
      <c r="I638" s="165" t="s">
        <v>110</v>
      </c>
      <c r="J638" s="151">
        <f t="shared" si="52"/>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2"/>
        <v>0</v>
      </c>
      <c r="K639" s="166"/>
      <c r="L639" s="167"/>
      <c r="M639" s="8"/>
    </row>
    <row r="640" spans="1:13" s="3" customFormat="1" ht="12.2" customHeight="1" x14ac:dyDescent="0.15">
      <c r="A640" s="22"/>
      <c r="B640" s="105"/>
      <c r="C640" s="105"/>
      <c r="D640" s="105"/>
      <c r="E640" s="105"/>
      <c r="F640" s="120" t="s">
        <v>118</v>
      </c>
      <c r="G640" s="109">
        <f>SUM(F447)</f>
        <v>172806.02</v>
      </c>
      <c r="H640" s="104">
        <f>SUM(F462)</f>
        <v>172806.02</v>
      </c>
      <c r="I640" s="140" t="s">
        <v>841</v>
      </c>
      <c r="J640" s="109">
        <f t="shared" si="52"/>
        <v>0</v>
      </c>
      <c r="K640" s="85"/>
      <c r="L640" s="88"/>
      <c r="M640" s="8"/>
    </row>
    <row r="641" spans="1:13" s="3" customFormat="1" ht="12.2" customHeight="1" x14ac:dyDescent="0.15">
      <c r="A641" s="22"/>
      <c r="B641" s="105"/>
      <c r="C641" s="105"/>
      <c r="D641" s="105"/>
      <c r="E641" s="105"/>
      <c r="F641" s="120" t="s">
        <v>119</v>
      </c>
      <c r="G641" s="109">
        <f>SUM(G447)</f>
        <v>804787.24</v>
      </c>
      <c r="H641" s="104">
        <f>SUM(G462)</f>
        <v>804787.24</v>
      </c>
      <c r="I641" s="140" t="s">
        <v>842</v>
      </c>
      <c r="J641" s="109">
        <f t="shared" si="52"/>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2"/>
        <v>0</v>
      </c>
      <c r="K642" s="85"/>
      <c r="L642" s="88"/>
      <c r="M642" s="8"/>
    </row>
    <row r="643" spans="1:13" s="3" customFormat="1" ht="12.2" customHeight="1" x14ac:dyDescent="0.15">
      <c r="A643" s="22"/>
      <c r="B643" s="105"/>
      <c r="C643" s="105"/>
      <c r="D643" s="105"/>
      <c r="E643" s="105"/>
      <c r="F643" s="120" t="s">
        <v>121</v>
      </c>
      <c r="G643" s="109">
        <f>SUM(I447)</f>
        <v>977593.26</v>
      </c>
      <c r="H643" s="104">
        <f>SUM(I462)</f>
        <v>977593.26</v>
      </c>
      <c r="I643" s="140" t="s">
        <v>844</v>
      </c>
      <c r="J643" s="109">
        <f t="shared" si="52"/>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2"/>
        <v>0</v>
      </c>
      <c r="K644" s="85"/>
      <c r="L644" s="88"/>
      <c r="M644" s="8"/>
    </row>
    <row r="645" spans="1:13" s="3" customFormat="1" ht="12.2" customHeight="1" x14ac:dyDescent="0.15">
      <c r="A645" s="22"/>
      <c r="B645" s="105"/>
      <c r="C645" s="105"/>
      <c r="D645" s="105"/>
      <c r="E645" s="105"/>
      <c r="F645" s="120" t="s">
        <v>663</v>
      </c>
      <c r="G645" s="109">
        <f>J96</f>
        <v>-1795.01</v>
      </c>
      <c r="H645" s="104">
        <f>H409</f>
        <v>-1795.01</v>
      </c>
      <c r="I645" s="140" t="s">
        <v>480</v>
      </c>
      <c r="J645" s="109">
        <f t="shared" si="52"/>
        <v>0</v>
      </c>
      <c r="K645" s="85"/>
      <c r="L645" s="88"/>
      <c r="M645" s="8"/>
    </row>
    <row r="646" spans="1:13" s="3" customFormat="1" ht="12.2" customHeight="1" x14ac:dyDescent="0.15">
      <c r="A646" s="22"/>
      <c r="B646" s="105"/>
      <c r="C646" s="105"/>
      <c r="D646" s="105"/>
      <c r="E646" s="105"/>
      <c r="F646" s="120" t="s">
        <v>664</v>
      </c>
      <c r="G646" s="109">
        <f>J184</f>
        <v>82500</v>
      </c>
      <c r="H646" s="104">
        <f>G409</f>
        <v>82500</v>
      </c>
      <c r="I646" s="140" t="s">
        <v>481</v>
      </c>
      <c r="J646" s="109">
        <f t="shared" si="52"/>
        <v>0</v>
      </c>
      <c r="K646" s="85"/>
      <c r="L646" s="88"/>
      <c r="M646" s="8"/>
    </row>
    <row r="647" spans="1:13" s="3" customFormat="1" ht="12.2" customHeight="1" x14ac:dyDescent="0.15">
      <c r="A647" s="22"/>
      <c r="B647" s="105"/>
      <c r="C647" s="105"/>
      <c r="D647" s="105"/>
      <c r="E647" s="105"/>
      <c r="F647" s="120" t="s">
        <v>662</v>
      </c>
      <c r="G647" s="109">
        <f>J194</f>
        <v>80704.990000000005</v>
      </c>
      <c r="H647" s="104">
        <f>L409</f>
        <v>80704.990000000005</v>
      </c>
      <c r="I647" s="140" t="s">
        <v>477</v>
      </c>
      <c r="J647" s="109">
        <f t="shared" si="52"/>
        <v>0</v>
      </c>
      <c r="K647" s="85"/>
      <c r="L647" s="88"/>
      <c r="M647" s="8"/>
    </row>
    <row r="648" spans="1:13" s="3" customFormat="1" ht="12.2" customHeight="1" x14ac:dyDescent="0.15">
      <c r="A648" s="22"/>
      <c r="B648" s="105"/>
      <c r="C648" s="105"/>
      <c r="D648" s="105"/>
      <c r="E648" s="105"/>
      <c r="F648" s="120" t="s">
        <v>51</v>
      </c>
      <c r="G648" s="109">
        <f>K599</f>
        <v>504259.64</v>
      </c>
      <c r="H648" s="104">
        <f>L209+L227+L245</f>
        <v>504259.64</v>
      </c>
      <c r="I648" s="140" t="s">
        <v>396</v>
      </c>
      <c r="J648" s="109">
        <f t="shared" si="52"/>
        <v>0</v>
      </c>
      <c r="K648" s="85"/>
      <c r="L648" s="88"/>
      <c r="M648" s="8"/>
    </row>
    <row r="649" spans="1:13" s="3" customFormat="1" ht="12.2" customHeight="1" x14ac:dyDescent="0.15">
      <c r="A649" s="22"/>
      <c r="B649" s="105"/>
      <c r="C649" s="105"/>
      <c r="D649" s="105"/>
      <c r="E649" s="105"/>
      <c r="F649" s="120" t="s">
        <v>52</v>
      </c>
      <c r="G649" s="109">
        <f>K606</f>
        <v>1048130.74</v>
      </c>
      <c r="H649" s="104">
        <f>(J258+J339)-(J256+J337)</f>
        <v>1048130.74</v>
      </c>
      <c r="I649" s="140" t="s">
        <v>699</v>
      </c>
      <c r="J649" s="109">
        <f t="shared" si="52"/>
        <v>0</v>
      </c>
      <c r="K649" s="85"/>
      <c r="L649" s="88"/>
      <c r="M649" s="8"/>
    </row>
    <row r="650" spans="1:13" s="3" customFormat="1" ht="12.2" customHeight="1" x14ac:dyDescent="0.15">
      <c r="A650" s="22"/>
      <c r="B650" s="105"/>
      <c r="C650" s="105"/>
      <c r="D650" s="105"/>
      <c r="E650" s="105"/>
      <c r="F650" s="120" t="s">
        <v>387</v>
      </c>
      <c r="G650" s="109">
        <f>L209</f>
        <v>359374.61</v>
      </c>
      <c r="H650" s="104">
        <f>H599</f>
        <v>359374.61000000004</v>
      </c>
      <c r="I650" s="140" t="s">
        <v>388</v>
      </c>
      <c r="J650" s="109">
        <f t="shared" si="52"/>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2"/>
        <v>0</v>
      </c>
      <c r="K651" s="85"/>
      <c r="L651" s="88"/>
      <c r="M651" s="8"/>
    </row>
    <row r="652" spans="1:13" s="3" customFormat="1" ht="12.2" customHeight="1" x14ac:dyDescent="0.15">
      <c r="A652" s="22"/>
      <c r="B652" s="105"/>
      <c r="C652" s="105"/>
      <c r="D652" s="105"/>
      <c r="E652" s="105"/>
      <c r="F652" s="120" t="s">
        <v>393</v>
      </c>
      <c r="G652" s="109">
        <f>L245</f>
        <v>144885.03</v>
      </c>
      <c r="H652" s="104">
        <f>J599</f>
        <v>144885.03</v>
      </c>
      <c r="I652" s="140" t="s">
        <v>390</v>
      </c>
      <c r="J652" s="109">
        <f t="shared" si="52"/>
        <v>0</v>
      </c>
      <c r="K652" s="85"/>
      <c r="L652" s="88"/>
      <c r="M652" s="8"/>
    </row>
    <row r="653" spans="1:13" s="3" customFormat="1" ht="12.2" customHeight="1" x14ac:dyDescent="0.15">
      <c r="A653" s="22"/>
      <c r="B653" s="105"/>
      <c r="C653" s="105"/>
      <c r="D653" s="105"/>
      <c r="E653" s="105"/>
      <c r="F653" s="120" t="s">
        <v>665</v>
      </c>
      <c r="G653" s="109">
        <f>G180+G182</f>
        <v>87768.24</v>
      </c>
      <c r="H653" s="104">
        <f>K264+K346</f>
        <v>87768.24</v>
      </c>
      <c r="I653" s="140" t="s">
        <v>397</v>
      </c>
      <c r="J653" s="109">
        <f t="shared" si="52"/>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2"/>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2"/>
        <v>0</v>
      </c>
      <c r="K655" s="85"/>
      <c r="L655" s="88"/>
      <c r="M655" s="8"/>
    </row>
    <row r="656" spans="1:13" s="3" customFormat="1" ht="12.2" customHeight="1" x14ac:dyDescent="0.15">
      <c r="A656" s="22"/>
      <c r="B656" s="105"/>
      <c r="C656" s="105"/>
      <c r="D656" s="105"/>
      <c r="E656" s="105"/>
      <c r="F656" s="120" t="s">
        <v>668</v>
      </c>
      <c r="G656" s="109">
        <f>J180+J182</f>
        <v>82500</v>
      </c>
      <c r="H656" s="104">
        <f>K267+K348</f>
        <v>82500</v>
      </c>
      <c r="I656" s="140" t="s">
        <v>400</v>
      </c>
      <c r="J656" s="109">
        <f t="shared" si="52"/>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13250194.739999998</v>
      </c>
      <c r="G661" s="19">
        <f>(L230+L310+L360)</f>
        <v>0</v>
      </c>
      <c r="H661" s="19">
        <f>(L248+L329+L361)</f>
        <v>12267616.329999998</v>
      </c>
      <c r="I661" s="19">
        <f>SUM(F661:H661)</f>
        <v>25517811.069999997</v>
      </c>
      <c r="J661" s="13"/>
      <c r="K661" s="13"/>
      <c r="L661" s="13"/>
      <c r="M661" s="9"/>
    </row>
    <row r="662" spans="1:13" s="3" customFormat="1" ht="12.2" customHeight="1" x14ac:dyDescent="0.2">
      <c r="A662" s="1" t="s">
        <v>127</v>
      </c>
      <c r="F662" s="19">
        <f>(L359/IF(SUM(L359:L361)=0,1,SUM(L359:L361))*(SUM(G97:G110)))</f>
        <v>4424.2784449852234</v>
      </c>
      <c r="G662" s="19">
        <f>(L360/IF(SUM(L359:L361)=0,1,SUM(L359:L361))*(SUM(G97:G110)))</f>
        <v>0</v>
      </c>
      <c r="H662" s="19">
        <f>(L361/IF(SUM(L359:L361)=0,1,SUM(L359:L361))*(SUM(G97:G110)))</f>
        <v>5407.451555014778</v>
      </c>
      <c r="I662" s="19">
        <f>SUM(F662:H662)</f>
        <v>9831.7300000000014</v>
      </c>
      <c r="J662"/>
      <c r="K662" s="13"/>
      <c r="L662" s="13"/>
      <c r="M662" s="8"/>
    </row>
    <row r="663" spans="1:13" s="3" customFormat="1" ht="12.2" customHeight="1" x14ac:dyDescent="0.2">
      <c r="A663" s="1" t="s">
        <v>128</v>
      </c>
      <c r="F663" s="19">
        <f>(L209+L288)-(J209+J288)</f>
        <v>359374.61</v>
      </c>
      <c r="G663" s="19">
        <f>(L227+L307)-(J227+J307)</f>
        <v>0</v>
      </c>
      <c r="H663" s="19">
        <f>(L245+L326)-(J245+J326)</f>
        <v>157775.57</v>
      </c>
      <c r="I663" s="19">
        <f>SUM(F663:H663)</f>
        <v>517150.18</v>
      </c>
      <c r="J663"/>
      <c r="K663" s="13"/>
      <c r="L663" s="13"/>
      <c r="M663" s="9"/>
    </row>
    <row r="664" spans="1:13" s="3" customFormat="1" ht="12.2" customHeight="1" x14ac:dyDescent="0.15">
      <c r="A664" s="198" t="s">
        <v>129</v>
      </c>
      <c r="B664" s="169"/>
      <c r="C664" s="169"/>
      <c r="D664" s="169"/>
      <c r="E664" s="169"/>
      <c r="F664" s="199">
        <f>SUM(F576:F588)+SUM(H603:H605)+SUM(L612)</f>
        <v>718463.89999999991</v>
      </c>
      <c r="G664" s="199">
        <f>SUM(G576:G588)+SUM(I603:I605)+L613</f>
        <v>0</v>
      </c>
      <c r="H664" s="199">
        <f>SUM(H576:H588)+SUM(J603:J605)+L614</f>
        <v>972089.99</v>
      </c>
      <c r="I664" s="19">
        <f>SUM(F664:H664)</f>
        <v>1690553.89</v>
      </c>
      <c r="J664" s="13"/>
      <c r="K664" s="13"/>
      <c r="L664" s="13"/>
      <c r="M664" s="9"/>
    </row>
    <row r="665" spans="1:13" s="3" customFormat="1" ht="12.2" customHeight="1" x14ac:dyDescent="0.15">
      <c r="A665" s="1" t="s">
        <v>130</v>
      </c>
      <c r="F665" s="19">
        <f>F661-SUM(F662:F664)</f>
        <v>12167931.951555014</v>
      </c>
      <c r="G665" s="19">
        <f>G661-SUM(G662:G664)</f>
        <v>0</v>
      </c>
      <c r="H665" s="19">
        <f>H661-SUM(H662:H664)</f>
        <v>11132343.318444984</v>
      </c>
      <c r="I665" s="19">
        <f>I661-SUM(I662:I664)</f>
        <v>23300275.269999996</v>
      </c>
      <c r="J665" s="13"/>
      <c r="K665" s="13"/>
      <c r="L665" s="13"/>
      <c r="M665" s="8"/>
    </row>
    <row r="666" spans="1:13" s="3" customFormat="1" ht="12.2" customHeight="1" x14ac:dyDescent="0.25">
      <c r="A666" s="1" t="s">
        <v>131</v>
      </c>
      <c r="F666" s="359">
        <v>621.49</v>
      </c>
      <c r="G666" s="359">
        <v>0</v>
      </c>
      <c r="H666" s="359">
        <v>742.91</v>
      </c>
      <c r="I666" s="19">
        <f>SUM(F666:H666)</f>
        <v>1364.4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19578.64</v>
      </c>
      <c r="G668" s="19" t="e">
        <f>ROUND(G665/G666,2)</f>
        <v>#DIV/0!</v>
      </c>
      <c r="H668" s="19">
        <f>ROUND(H665/H666,2)</f>
        <v>14984.78</v>
      </c>
      <c r="I668" s="19">
        <f>ROUND(I665/I666,2)</f>
        <v>17077.310000000001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-25.94</v>
      </c>
      <c r="I671" s="19">
        <f>SUM(F671:H671)</f>
        <v>-25.94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19578.64</v>
      </c>
      <c r="G673" s="19" t="e">
        <f>ROUND((G665+G670)/(G666+G671),2)</f>
        <v>#DIV/0!</v>
      </c>
      <c r="H673" s="19">
        <f>ROUND((H665+H670)/(H666+H671),2)</f>
        <v>15526.93</v>
      </c>
      <c r="I673" s="19">
        <f>ROUND((I665+I670)/(I666+I671),2)</f>
        <v>17408.27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70" zoomScaleNormal="70" workbookViewId="0">
      <selection activeCell="F128" sqref="F128"/>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460737.58</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200400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180562.9</v>
      </c>
      <c r="F22" s="346"/>
    </row>
    <row r="23" spans="2:8" x14ac:dyDescent="0.25">
      <c r="B23" s="346"/>
      <c r="C23" s="346"/>
      <c r="D23" s="346"/>
      <c r="E23" s="346"/>
      <c r="F23" s="346"/>
    </row>
    <row r="24" spans="2:8" ht="26.25" customHeight="1" x14ac:dyDescent="0.25">
      <c r="B24" s="346"/>
      <c r="C24" s="348" t="s">
        <v>1661</v>
      </c>
      <c r="D24" s="346"/>
      <c r="E24" s="341">
        <v>20200.400000000001</v>
      </c>
      <c r="F24" s="346"/>
    </row>
    <row r="25" spans="2:8" ht="18" x14ac:dyDescent="0.25">
      <c r="B25" s="346"/>
      <c r="C25" s="349"/>
      <c r="D25" s="346"/>
      <c r="E25" s="346"/>
      <c r="F25" s="346"/>
    </row>
    <row r="26" spans="2:8" ht="27.75" customHeight="1" x14ac:dyDescent="0.25">
      <c r="B26" s="346"/>
      <c r="C26" s="348" t="s">
        <v>1662</v>
      </c>
      <c r="D26" s="346"/>
      <c r="E26" s="341">
        <v>160362.5</v>
      </c>
      <c r="F26" s="346"/>
    </row>
    <row r="27" spans="2:8" x14ac:dyDescent="0.25">
      <c r="B27" s="346"/>
      <c r="C27" s="348"/>
      <c r="D27" s="346"/>
      <c r="E27" s="346"/>
      <c r="F27" s="346"/>
    </row>
    <row r="28" spans="2:8" ht="15.75" customHeight="1" x14ac:dyDescent="0.25">
      <c r="B28" s="346"/>
      <c r="C28" s="348" t="s">
        <v>1663</v>
      </c>
      <c r="D28" s="346"/>
      <c r="E28" s="342">
        <v>99674.67</v>
      </c>
      <c r="F28" s="346"/>
    </row>
    <row r="29" spans="2:8" x14ac:dyDescent="0.25">
      <c r="B29" s="346"/>
      <c r="C29" s="346"/>
      <c r="D29" s="346"/>
      <c r="E29" s="346"/>
      <c r="F29" s="346"/>
    </row>
    <row r="30" spans="2:8" ht="16.5" customHeight="1" x14ac:dyDescent="0.25">
      <c r="B30" s="346"/>
      <c r="C30" s="348" t="s">
        <v>1664</v>
      </c>
      <c r="D30" s="346"/>
      <c r="E30" s="341">
        <v>379606.01</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6" zoomScaleNormal="100" workbookViewId="0">
      <selection activeCell="F128" sqref="F12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PEMBROKE SCHOOL DISTRICT</v>
      </c>
      <c r="C5" s="363"/>
      <c r="D5" s="363"/>
      <c r="E5" s="363"/>
      <c r="F5" s="363"/>
    </row>
    <row r="8" spans="1:9" ht="18" x14ac:dyDescent="0.25">
      <c r="A8" s="317" t="s">
        <v>1576</v>
      </c>
      <c r="F8" s="324" t="s">
        <v>1594</v>
      </c>
    </row>
    <row r="9" spans="1:9" ht="15" x14ac:dyDescent="0.2">
      <c r="A9" s="315" t="s">
        <v>1577</v>
      </c>
      <c r="B9" s="318">
        <f>'DOE25'!G97</f>
        <v>7631.73</v>
      </c>
      <c r="F9" s="315" t="s">
        <v>1590</v>
      </c>
    </row>
    <row r="10" spans="1:9" ht="15" x14ac:dyDescent="0.2">
      <c r="A10" s="315" t="s">
        <v>1578</v>
      </c>
      <c r="B10" s="318">
        <f>'DOE25'!G112-'DOE25'!G97</f>
        <v>3310.01</v>
      </c>
      <c r="F10" s="315" t="s">
        <v>1591</v>
      </c>
    </row>
    <row r="11" spans="1:9" ht="15" x14ac:dyDescent="0.2">
      <c r="A11" s="315" t="s">
        <v>1579</v>
      </c>
      <c r="B11" s="318">
        <f>'DOE25'!G140</f>
        <v>1442.4</v>
      </c>
      <c r="F11" s="315" t="s">
        <v>1592</v>
      </c>
    </row>
    <row r="12" spans="1:9" ht="15" x14ac:dyDescent="0.2">
      <c r="A12" s="315" t="s">
        <v>1580</v>
      </c>
      <c r="B12" s="318">
        <f>'DOE25'!G170</f>
        <v>379232.13</v>
      </c>
      <c r="F12" s="315" t="s">
        <v>1593</v>
      </c>
    </row>
    <row r="13" spans="1:9" ht="15" x14ac:dyDescent="0.2">
      <c r="A13" s="315" t="s">
        <v>1581</v>
      </c>
      <c r="B13" s="318">
        <f>'DOE25'!G193-'DOE25'!G180</f>
        <v>0</v>
      </c>
      <c r="F13" s="315" t="s">
        <v>1603</v>
      </c>
    </row>
    <row r="14" spans="1:9" ht="18" x14ac:dyDescent="0.25">
      <c r="A14" s="317" t="s">
        <v>732</v>
      </c>
      <c r="B14" s="319">
        <f>SUM(B9:B13)</f>
        <v>391616.27</v>
      </c>
    </row>
    <row r="16" spans="1:9" ht="18" x14ac:dyDescent="0.25">
      <c r="A16" s="317" t="s">
        <v>786</v>
      </c>
      <c r="F16" s="324" t="s">
        <v>1595</v>
      </c>
    </row>
    <row r="17" spans="1:6" ht="15" x14ac:dyDescent="0.2">
      <c r="A17" s="315" t="s">
        <v>1582</v>
      </c>
      <c r="B17" s="318">
        <f>'DOE25'!L363-'DOE25'!L362</f>
        <v>536132.1399999999</v>
      </c>
      <c r="F17" s="315" t="s">
        <v>1596</v>
      </c>
    </row>
    <row r="18" spans="1:6" ht="15" x14ac:dyDescent="0.2">
      <c r="A18" s="315" t="s">
        <v>1583</v>
      </c>
      <c r="B18" s="328"/>
      <c r="F18" s="324" t="s">
        <v>1620</v>
      </c>
    </row>
    <row r="19" spans="1:6" ht="18" x14ac:dyDescent="0.25">
      <c r="A19" s="317" t="s">
        <v>725</v>
      </c>
      <c r="B19" s="319">
        <f>SUM(B17:B18)</f>
        <v>536132.1399999999</v>
      </c>
    </row>
    <row r="21" spans="1:6" ht="18.75" thickBot="1" x14ac:dyDescent="0.3">
      <c r="A21" s="317" t="s">
        <v>1584</v>
      </c>
    </row>
    <row r="22" spans="1:6" ht="18.75" thickTop="1" x14ac:dyDescent="0.25">
      <c r="A22" s="317" t="s">
        <v>1585</v>
      </c>
      <c r="B22" s="323">
        <f>B14-B19</f>
        <v>-144515.86999999988</v>
      </c>
      <c r="F22" s="315" t="s">
        <v>1597</v>
      </c>
    </row>
    <row r="26" spans="1:6" ht="18" x14ac:dyDescent="0.25">
      <c r="A26" s="317" t="s">
        <v>186</v>
      </c>
    </row>
    <row r="27" spans="1:6" ht="15" x14ac:dyDescent="0.2">
      <c r="A27" s="315" t="s">
        <v>1586</v>
      </c>
      <c r="B27" s="318">
        <f>'DOE25'!G180</f>
        <v>87768.24</v>
      </c>
      <c r="F27" s="315" t="s">
        <v>1598</v>
      </c>
    </row>
    <row r="28" spans="1:6" ht="15" x14ac:dyDescent="0.2">
      <c r="A28" s="315" t="s">
        <v>1588</v>
      </c>
      <c r="B28" s="318">
        <f>'DOE25'!L362</f>
        <v>0</v>
      </c>
      <c r="F28" s="315" t="s">
        <v>1599</v>
      </c>
    </row>
    <row r="31" spans="1:6" ht="15" x14ac:dyDescent="0.2">
      <c r="A31" s="315" t="s">
        <v>1628</v>
      </c>
      <c r="B31" s="318">
        <f>'DOE25'!G466</f>
        <v>57947.63</v>
      </c>
      <c r="F31" s="315" t="s">
        <v>1600</v>
      </c>
    </row>
    <row r="33" spans="1:6" ht="15" x14ac:dyDescent="0.2">
      <c r="A33" s="315" t="s">
        <v>1629</v>
      </c>
      <c r="B33" s="318">
        <f>'DOE25'!G477</f>
        <v>1200</v>
      </c>
      <c r="F33" s="315" t="s">
        <v>1601</v>
      </c>
    </row>
    <row r="36" spans="1:6" ht="15" x14ac:dyDescent="0.2">
      <c r="A36" s="315" t="s">
        <v>1587</v>
      </c>
      <c r="B36" s="329">
        <v>32710.73</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F128" sqref="F12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PEMBROKE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6761113.0700000003</v>
      </c>
      <c r="C9" s="229">
        <f>'DOE25'!G198+'DOE25'!G216+'DOE25'!G234+'DOE25'!G277+'DOE25'!G296+'DOE25'!G315</f>
        <v>3609707.75</v>
      </c>
    </row>
    <row r="10" spans="1:3" x14ac:dyDescent="0.2">
      <c r="A10" t="s">
        <v>775</v>
      </c>
      <c r="B10" s="240">
        <v>6445605.3700000001</v>
      </c>
      <c r="C10" s="240">
        <v>3441260.54</v>
      </c>
    </row>
    <row r="11" spans="1:3" x14ac:dyDescent="0.2">
      <c r="A11" t="s">
        <v>776</v>
      </c>
      <c r="B11" s="240">
        <v>98694.97</v>
      </c>
      <c r="C11" s="240">
        <v>52692.51</v>
      </c>
    </row>
    <row r="12" spans="1:3" x14ac:dyDescent="0.2">
      <c r="A12" t="s">
        <v>777</v>
      </c>
      <c r="B12" s="240">
        <v>216812.73</v>
      </c>
      <c r="C12" s="240">
        <v>115754.7</v>
      </c>
    </row>
    <row r="13" spans="1:3" x14ac:dyDescent="0.2">
      <c r="A13" t="str">
        <f>IF(B9=B13,IF(C9=C13,"Check Total OK","Check Total Error"),"Check Total Error")</f>
        <v>Check Total OK</v>
      </c>
      <c r="B13" s="231">
        <f>SUM(B10:B12)</f>
        <v>6761113.0700000003</v>
      </c>
      <c r="C13" s="231">
        <f>SUM(C10:C12)</f>
        <v>3609707.75</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2100381.6199999996</v>
      </c>
      <c r="C18" s="229">
        <f>'DOE25'!G199+'DOE25'!G217+'DOE25'!G235+'DOE25'!G278+'DOE25'!G297+'DOE25'!G316</f>
        <v>1131203.79</v>
      </c>
    </row>
    <row r="19" spans="1:3" x14ac:dyDescent="0.2">
      <c r="A19" t="s">
        <v>775</v>
      </c>
      <c r="B19" s="240">
        <v>1078489.98</v>
      </c>
      <c r="C19" s="240">
        <v>580843</v>
      </c>
    </row>
    <row r="20" spans="1:3" x14ac:dyDescent="0.2">
      <c r="A20" t="s">
        <v>776</v>
      </c>
      <c r="B20" s="240">
        <v>728210.16</v>
      </c>
      <c r="C20" s="240">
        <v>392192.58</v>
      </c>
    </row>
    <row r="21" spans="1:3" x14ac:dyDescent="0.2">
      <c r="A21" t="s">
        <v>777</v>
      </c>
      <c r="B21" s="240">
        <v>293681.48</v>
      </c>
      <c r="C21" s="240">
        <v>158168.21</v>
      </c>
    </row>
    <row r="22" spans="1:3" x14ac:dyDescent="0.2">
      <c r="A22" t="str">
        <f>IF(B18=B22,IF(C18=C22,"Check Total OK","Check Total Error"),"Check Total Error")</f>
        <v>Check Total OK</v>
      </c>
      <c r="B22" s="231">
        <f>SUM(B19:B21)</f>
        <v>2100381.62</v>
      </c>
      <c r="C22" s="231">
        <f>SUM(C19:C21)</f>
        <v>1131203.79</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419142.75</v>
      </c>
      <c r="C27" s="234">
        <f>'DOE25'!G200+'DOE25'!G218+'DOE25'!G236+'DOE25'!G279+'DOE25'!G298+'DOE25'!G317</f>
        <v>226756.98</v>
      </c>
    </row>
    <row r="28" spans="1:3" x14ac:dyDescent="0.2">
      <c r="A28" t="s">
        <v>775</v>
      </c>
      <c r="B28" s="240">
        <v>391396</v>
      </c>
      <c r="C28" s="240">
        <v>211745.94</v>
      </c>
    </row>
    <row r="29" spans="1:3" x14ac:dyDescent="0.2">
      <c r="A29" t="s">
        <v>776</v>
      </c>
      <c r="B29" s="240"/>
      <c r="C29" s="240"/>
    </row>
    <row r="30" spans="1:3" x14ac:dyDescent="0.2">
      <c r="A30" t="s">
        <v>777</v>
      </c>
      <c r="B30" s="240">
        <v>27746.75</v>
      </c>
      <c r="C30" s="240">
        <v>15011.04</v>
      </c>
    </row>
    <row r="31" spans="1:3" x14ac:dyDescent="0.2">
      <c r="A31" t="str">
        <f>IF(B27=B31,IF(C27=C31,"Check Total OK","Check Total Error"),"Check Total Error")</f>
        <v>Check Total OK</v>
      </c>
      <c r="B31" s="231">
        <f>SUM(B28:B30)</f>
        <v>419142.75</v>
      </c>
      <c r="C31" s="231">
        <f>SUM(C28:C30)</f>
        <v>226756.98</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279393.99</v>
      </c>
      <c r="C36" s="235">
        <f>'DOE25'!G201+'DOE25'!G219+'DOE25'!G237+'DOE25'!G280+'DOE25'!G299+'DOE25'!G318</f>
        <v>146791.26999999999</v>
      </c>
    </row>
    <row r="37" spans="1:3" x14ac:dyDescent="0.2">
      <c r="A37" t="s">
        <v>775</v>
      </c>
      <c r="B37" s="240">
        <v>0</v>
      </c>
      <c r="C37" s="240">
        <v>0</v>
      </c>
    </row>
    <row r="38" spans="1:3" x14ac:dyDescent="0.2">
      <c r="A38" t="s">
        <v>776</v>
      </c>
      <c r="B38" s="240"/>
      <c r="C38" s="240"/>
    </row>
    <row r="39" spans="1:3" x14ac:dyDescent="0.2">
      <c r="A39" t="s">
        <v>777</v>
      </c>
      <c r="B39" s="240">
        <v>279393.99</v>
      </c>
      <c r="C39" s="240">
        <v>146791.26999999999</v>
      </c>
    </row>
    <row r="40" spans="1:3" x14ac:dyDescent="0.2">
      <c r="A40" t="str">
        <f>IF(B36=B40,IF(C36=C40,"Check Total OK","Check Total Error"),"Check Total Error")</f>
        <v>Check Total OK</v>
      </c>
      <c r="B40" s="231">
        <f>SUM(B37:B39)</f>
        <v>279393.99</v>
      </c>
      <c r="C40" s="231">
        <f>SUM(C37:C39)</f>
        <v>146791.26999999999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128" sqref="F128"/>
      <selection pane="bottomLeft" activeCell="F128" sqref="F12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PEMBROKE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15789514.689999999</v>
      </c>
      <c r="D5" s="20">
        <f>SUM('DOE25'!L198:L201)+SUM('DOE25'!L216:L219)+SUM('DOE25'!L234:L237)-F5-G5-H5</f>
        <v>15168078.949999999</v>
      </c>
      <c r="E5" s="243"/>
      <c r="F5" s="244"/>
      <c r="G5" s="53">
        <f>SUM('DOE25'!J198:J201)+SUM('DOE25'!J216:J219)+SUM('DOE25'!J198:J237)</f>
        <v>579492.30000000005</v>
      </c>
      <c r="H5" s="53">
        <f>SUM('DOE25'!K198:K201)+SUM('DOE25'!K216:K219)+SUM('DOE25'!K198:K237)</f>
        <v>41943.44</v>
      </c>
      <c r="I5" s="254"/>
    </row>
    <row r="6" spans="1:9" x14ac:dyDescent="0.2">
      <c r="A6" s="32">
        <v>2100</v>
      </c>
      <c r="B6" t="s">
        <v>796</v>
      </c>
      <c r="C6" s="273">
        <f t="shared" si="0"/>
        <v>1980962.27</v>
      </c>
      <c r="D6" s="20">
        <f>'DOE25'!L203+'DOE25'!L221+'DOE25'!L239-F6-G6-H6</f>
        <v>1791682.54</v>
      </c>
      <c r="E6" s="243"/>
      <c r="F6" s="244">
        <v>189279.73</v>
      </c>
      <c r="G6" s="53">
        <f>'DOE25'!J203+'DOE25'!J221+'DOE25'!J239</f>
        <v>0</v>
      </c>
      <c r="H6" s="53">
        <f>'DOE25'!K203+'DOE25'!K221+'DOE25'!K239</f>
        <v>0</v>
      </c>
      <c r="I6" s="254"/>
    </row>
    <row r="7" spans="1:9" x14ac:dyDescent="0.2">
      <c r="A7" s="32">
        <v>2200</v>
      </c>
      <c r="B7" t="s">
        <v>821</v>
      </c>
      <c r="C7" s="273">
        <f t="shared" si="0"/>
        <v>514515.54000000004</v>
      </c>
      <c r="D7" s="20">
        <f>'DOE25'!L204+'DOE25'!L222+'DOE25'!L240-F7-G7-H7</f>
        <v>365089.5</v>
      </c>
      <c r="E7" s="243"/>
      <c r="F7" s="244"/>
      <c r="G7" s="53">
        <f>'DOE25'!J204+'DOE25'!J222+'DOE25'!J240</f>
        <v>149426.04</v>
      </c>
      <c r="H7" s="53">
        <f>'DOE25'!K204+'DOE25'!K222+'DOE25'!K240</f>
        <v>0</v>
      </c>
      <c r="I7" s="254"/>
    </row>
    <row r="8" spans="1:9" x14ac:dyDescent="0.2">
      <c r="A8" s="32">
        <v>2300</v>
      </c>
      <c r="B8" t="s">
        <v>797</v>
      </c>
      <c r="C8" s="273">
        <f t="shared" si="0"/>
        <v>754937.57</v>
      </c>
      <c r="D8" s="243"/>
      <c r="E8" s="20">
        <f>'DOE25'!L205+'DOE25'!L223+'DOE25'!L241-F8-G8-H8-D9-D11</f>
        <v>747040.55999999994</v>
      </c>
      <c r="F8" s="244"/>
      <c r="G8" s="53">
        <f>'DOE25'!J205+'DOE25'!J223+'DOE25'!J241</f>
        <v>0</v>
      </c>
      <c r="H8" s="53">
        <f>'DOE25'!K205+'DOE25'!K223+'DOE25'!K241</f>
        <v>7897.01</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2085654.53</v>
      </c>
      <c r="D12" s="20">
        <f>'DOE25'!L206+'DOE25'!L224+'DOE25'!L242-F12-G12-H12</f>
        <v>2059825.1300000001</v>
      </c>
      <c r="E12" s="243"/>
      <c r="F12" s="244"/>
      <c r="G12" s="53">
        <f>'DOE25'!J206+'DOE25'!J224+'DOE25'!J242</f>
        <v>0</v>
      </c>
      <c r="H12" s="53">
        <f>'DOE25'!K206+'DOE25'!K224+'DOE25'!K242</f>
        <v>25829.4</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2225554.84</v>
      </c>
      <c r="D14" s="20">
        <f>'DOE25'!L208+'DOE25'!L226+'DOE25'!L244-F14-G14-H14</f>
        <v>1822326.2699999998</v>
      </c>
      <c r="E14" s="243"/>
      <c r="F14" s="244">
        <v>329360.84000000003</v>
      </c>
      <c r="G14" s="53">
        <f>'DOE25'!J208+'DOE25'!J226+'DOE25'!J244</f>
        <v>73867.73</v>
      </c>
      <c r="H14" s="53">
        <f>'DOE25'!K208+'DOE25'!K226+'DOE25'!K244</f>
        <v>0</v>
      </c>
      <c r="I14" s="254"/>
    </row>
    <row r="15" spans="1:9" x14ac:dyDescent="0.2">
      <c r="A15" s="32">
        <v>2700</v>
      </c>
      <c r="B15" t="s">
        <v>799</v>
      </c>
      <c r="C15" s="273">
        <f t="shared" si="0"/>
        <v>504259.64</v>
      </c>
      <c r="D15" s="20">
        <f>'DOE25'!L209+'DOE25'!L227+'DOE25'!L245-F15-G15-H15</f>
        <v>170312.44</v>
      </c>
      <c r="E15" s="243"/>
      <c r="F15" s="244">
        <f>21680.3+312266.9</f>
        <v>333947.2</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665689</v>
      </c>
      <c r="D22" s="243"/>
      <c r="E22" s="243"/>
      <c r="F22" s="243"/>
      <c r="G22" s="53">
        <f>'DOE25'!L256+'DOE25'!L337</f>
        <v>665689</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48600</v>
      </c>
      <c r="D25" s="243"/>
      <c r="E25" s="243"/>
      <c r="F25" s="253"/>
      <c r="G25" s="251"/>
      <c r="H25" s="251"/>
      <c r="I25" s="252">
        <f>'DOE25'!L261+'DOE25'!L262+'DOE25'!L342+'DOE25'!L343</f>
        <v>48600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405635.62999999989</v>
      </c>
      <c r="D29" s="281">
        <f>'DOE25'!L359+'DOE25'!L360+'DOE25'!L361-'DOE25'!I368-F29-G29-H29</f>
        <v>401253.56999999989</v>
      </c>
      <c r="E29" s="243"/>
      <c r="F29" s="244"/>
      <c r="G29" s="53">
        <f>'DOE25'!J359+'DOE25'!J360+'DOE25'!J361</f>
        <v>3175.06</v>
      </c>
      <c r="H29" s="53">
        <f>'DOE25'!K359+'DOE25'!K360+'DOE25'!K361</f>
        <v>1207</v>
      </c>
      <c r="I29" s="254"/>
    </row>
    <row r="30" spans="1:9" x14ac:dyDescent="0.2">
      <c r="A30" s="32"/>
      <c r="C30" s="274"/>
      <c r="D30" s="20"/>
      <c r="E30" s="278"/>
      <c r="F30" s="268"/>
      <c r="G30" s="53"/>
      <c r="H30" s="53"/>
      <c r="I30" s="254"/>
    </row>
    <row r="31" spans="1:9" x14ac:dyDescent="0.2">
      <c r="A31" s="32" t="s">
        <v>818</v>
      </c>
      <c r="B31" t="s">
        <v>817</v>
      </c>
      <c r="C31" s="273">
        <f>SUM(D31:I31)</f>
        <v>1126279.8500000001</v>
      </c>
      <c r="D31" s="20">
        <f>'DOE25'!L291+'DOE25'!L310+'DOE25'!L329+'DOE25'!L334+'DOE25'!L335+'DOE25'!L336-F31-G31-H31</f>
        <v>587039.34000000008</v>
      </c>
      <c r="E31" s="243"/>
      <c r="F31" s="244"/>
      <c r="G31" s="53">
        <f>'DOE25'!J291+'DOE25'!J310+'DOE25'!J329+'DOE25'!J334+'DOE25'!J335+'DOE25'!J336</f>
        <v>498164.94999999995</v>
      </c>
      <c r="H31" s="53">
        <f>'DOE25'!K291+'DOE25'!K310+'DOE25'!K329+'DOE25'!K334+'DOE25'!K335+'DOE25'!K336</f>
        <v>41075.56</v>
      </c>
      <c r="I31" s="254"/>
    </row>
    <row r="32" spans="1:9" ht="12" thickBot="1" x14ac:dyDescent="0.25">
      <c r="C32" s="274"/>
      <c r="G32" s="249"/>
      <c r="H32" s="249"/>
      <c r="I32" s="256"/>
    </row>
    <row r="33" spans="1:9" ht="12" thickTop="1" x14ac:dyDescent="0.2">
      <c r="B33" t="s">
        <v>809</v>
      </c>
      <c r="D33" s="245">
        <f t="shared" ref="D33:I33" si="1">SUM(D5:D31)</f>
        <v>22365607.739999998</v>
      </c>
      <c r="E33" s="245">
        <f t="shared" si="1"/>
        <v>747040.55999999994</v>
      </c>
      <c r="F33" s="245">
        <f t="shared" si="1"/>
        <v>852587.77</v>
      </c>
      <c r="G33" s="245">
        <f t="shared" si="1"/>
        <v>1969815.08</v>
      </c>
      <c r="H33" s="245">
        <f t="shared" si="1"/>
        <v>117952.41</v>
      </c>
      <c r="I33" s="245">
        <f t="shared" si="1"/>
        <v>48600</v>
      </c>
    </row>
    <row r="35" spans="1:9" ht="12" thickBot="1" x14ac:dyDescent="0.25">
      <c r="B35" s="249" t="s">
        <v>831</v>
      </c>
      <c r="D35" s="250">
        <f>E33</f>
        <v>747040.55999999994</v>
      </c>
      <c r="E35" s="246"/>
      <c r="F35" s="333" t="s">
        <v>1632</v>
      </c>
      <c r="G35" s="334"/>
      <c r="H35" s="334"/>
      <c r="I35" s="334"/>
    </row>
    <row r="36" spans="1:9" ht="12" thickTop="1" x14ac:dyDescent="0.2">
      <c r="B36" t="s">
        <v>810</v>
      </c>
      <c r="D36" s="20">
        <f>D33</f>
        <v>22365607.739999998</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0" sqref="E3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PEMBROKE SCHOOL DISTRICT</v>
      </c>
      <c r="B2" s="126">
        <f>'DOE25'!B2</f>
        <v>427</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13008935.280000001</v>
      </c>
      <c r="G4" s="300">
        <f>'DOE25'!L212+'DOE25'!L291</f>
        <v>13008935.279999997</v>
      </c>
      <c r="H4" s="353">
        <f>F4-G4</f>
        <v>0</v>
      </c>
      <c r="I4" s="371" t="str">
        <f>IF(H4=0,"","ISSUES!! Please review page 7 and 11 totals in comparison with total on this page")</f>
        <v/>
      </c>
      <c r="N4"/>
    </row>
    <row r="5" spans="1:18" x14ac:dyDescent="0.2">
      <c r="A5" s="21" t="s">
        <v>1348</v>
      </c>
      <c r="B5" s="301">
        <f>IFERROR(VLOOKUP(A5,'School Tables'!$C$3:$D$365,2,FALSE),"")</f>
        <v>22615</v>
      </c>
      <c r="C5" s="294" t="str">
        <f>IFERROR(INDEX('School Tables'!$B$3:$B$365,MATCH('School Level Expenditures'!B5,'School Tables'!$D$3:$D$365,0)),"")</f>
        <v>Pembroke</v>
      </c>
      <c r="D5" s="291">
        <f>6577861.97-64205.67</f>
        <v>6513656.2999999998</v>
      </c>
      <c r="E5" s="291">
        <f>113041.21+209561.97</f>
        <v>322603.18</v>
      </c>
      <c r="F5" s="304">
        <f>D5+E5</f>
        <v>6836259.4799999995</v>
      </c>
      <c r="G5" s="294"/>
      <c r="H5" s="294"/>
      <c r="I5" s="372"/>
      <c r="N5"/>
    </row>
    <row r="6" spans="1:18" x14ac:dyDescent="0.2">
      <c r="A6" s="21" t="s">
        <v>1350</v>
      </c>
      <c r="B6" s="301">
        <f>IFERROR(VLOOKUP(A6,'School Tables'!$C$3:$D$365,2,FALSE),"")</f>
        <v>26925</v>
      </c>
      <c r="C6" s="294" t="str">
        <f>IFERROR(INDEX('School Tables'!$B$3:$B$365,MATCH('School Level Expenditures'!B6,'School Tables'!$D$3:$D$365,0)),"")</f>
        <v>Pembroke</v>
      </c>
      <c r="D6" s="291">
        <f>5873287.49-64205.67</f>
        <v>5809081.8200000003</v>
      </c>
      <c r="E6" s="291">
        <v>363593.98</v>
      </c>
      <c r="F6" s="304">
        <f t="shared" ref="F6:F20" si="0">D6+E6</f>
        <v>6172675.8000000007</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12322738.120000001</v>
      </c>
      <c r="E21" s="351">
        <f>SUM(E5:E20)</f>
        <v>686197.15999999992</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1"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11972743.65</v>
      </c>
      <c r="G36" s="300">
        <f>'DOE25'!L248+'DOE25'!L329</f>
        <v>11972743.649999999</v>
      </c>
      <c r="H36" s="353">
        <f>F36-G36</f>
        <v>0</v>
      </c>
      <c r="I36" s="371" t="str">
        <f>IF(H36=0,"","ISSUES!! Please review page 9 and 13 totals in comparison with total on this page")</f>
        <v/>
      </c>
      <c r="N36"/>
    </row>
    <row r="37" spans="1:14" x14ac:dyDescent="0.2">
      <c r="A37" s="21" t="s">
        <v>1349</v>
      </c>
      <c r="B37" s="301">
        <f>IFERROR(VLOOKUP(A37,'School Tables'!$O$3:$P$118,2,FALSE),"")</f>
        <v>22620</v>
      </c>
      <c r="C37" s="294" t="str">
        <f t="array" ref="C37">IFERROR(INDEX('School Tables'!$N$3:$N$118,MATCH('School Level Expenditures'!B37,'School Tables'!$P$3:$P$118,0)),"")</f>
        <v>Pembroke</v>
      </c>
      <c r="D37" s="291">
        <f>11596867.08-64205.67</f>
        <v>11532661.41</v>
      </c>
      <c r="E37" s="291">
        <f>440082.24</f>
        <v>440082.24</v>
      </c>
      <c r="F37" s="304">
        <f t="shared" ref="F37:F42" si="2">D37+E37</f>
        <v>11972743.65</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11532661.41</v>
      </c>
      <c r="E43" s="352">
        <f>SUM(E37:E42)</f>
        <v>440082.24</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99" activePane="bottomLeft" state="frozen"/>
      <selection activeCell="C30" sqref="C30:M30"/>
      <selection pane="bottomLeft" activeCell="C109" sqref="C10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PEMBROKE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661688.37</v>
      </c>
      <c r="D8" s="95">
        <f>'DOE25'!G9</f>
        <v>210350.65</v>
      </c>
      <c r="E8" s="95">
        <f>'DOE25'!H9</f>
        <v>0</v>
      </c>
      <c r="F8" s="95">
        <f>'DOE25'!I9</f>
        <v>0</v>
      </c>
      <c r="G8" s="95">
        <f>'DOE25'!J9</f>
        <v>977593.26</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-291479.28000000003</v>
      </c>
      <c r="D12" s="95">
        <f>'DOE25'!G13</f>
        <v>36829</v>
      </c>
      <c r="E12" s="95">
        <f>'DOE25'!H13</f>
        <v>442217.61</v>
      </c>
      <c r="F12" s="95">
        <f>'DOE25'!I13</f>
        <v>0</v>
      </c>
      <c r="G12" s="95">
        <f>'DOE25'!J13</f>
        <v>0</v>
      </c>
      <c r="H12" s="124"/>
      <c r="I12" s="124"/>
    </row>
    <row r="13" spans="1:9" x14ac:dyDescent="0.2">
      <c r="A13" s="1" t="s">
        <v>144</v>
      </c>
      <c r="B13" s="6">
        <v>150</v>
      </c>
      <c r="C13" s="95">
        <f>'DOE25'!F14</f>
        <v>2267024.3200000003</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43168.75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24526.59</v>
      </c>
      <c r="F17" s="95">
        <f>'DOE25'!I18</f>
        <v>0</v>
      </c>
      <c r="G17" s="95">
        <f>'DOE25'!J18</f>
        <v>0</v>
      </c>
      <c r="H17" s="124"/>
      <c r="I17" s="124"/>
    </row>
    <row r="18" spans="1:9" ht="12" thickTop="1" x14ac:dyDescent="0.2">
      <c r="A18" s="38" t="s">
        <v>149</v>
      </c>
      <c r="B18" s="39"/>
      <c r="C18" s="41">
        <f>SUM(C8:C17)</f>
        <v>2637233.41</v>
      </c>
      <c r="D18" s="41">
        <f>SUM(D8:D17)</f>
        <v>290348.40000000002</v>
      </c>
      <c r="E18" s="41">
        <f>SUM(E8:E17)</f>
        <v>466744.2</v>
      </c>
      <c r="F18" s="41">
        <f>SUM(F8:F17)</f>
        <v>0</v>
      </c>
      <c r="G18" s="41">
        <f>SUM(G8:G17)</f>
        <v>977593.26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1436249.48</v>
      </c>
      <c r="D21" s="95">
        <f>'DOE25'!G22</f>
        <v>289577.3</v>
      </c>
      <c r="E21" s="95">
        <f>'DOE25'!H22</f>
        <v>456457.82</v>
      </c>
      <c r="F21" s="95">
        <f>'DOE25'!I22</f>
        <v>0</v>
      </c>
      <c r="G21" s="95">
        <f>'DOE25'!J22</f>
        <v>0</v>
      </c>
      <c r="H21" s="124"/>
      <c r="I21" s="124"/>
    </row>
    <row r="22" spans="1:9" x14ac:dyDescent="0.2">
      <c r="A22" s="1" t="s">
        <v>151</v>
      </c>
      <c r="B22" s="6">
        <v>410</v>
      </c>
      <c r="C22" s="95">
        <f>'DOE25'!F23</f>
        <v>1641.96</v>
      </c>
      <c r="D22" s="95">
        <f>'DOE25'!G23</f>
        <v>-428.9</v>
      </c>
      <c r="E22" s="95">
        <f>'DOE25'!H23</f>
        <v>8987.3799999999992</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-5752.31</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1432139.13</v>
      </c>
      <c r="D31" s="41">
        <f>SUM(D21:D30)</f>
        <v>289148.39999999997</v>
      </c>
      <c r="E31" s="41">
        <f>SUM(E21:E30)</f>
        <v>465445.2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1200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32500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1299</v>
      </c>
      <c r="F47" s="95">
        <f>'DOE25'!I48</f>
        <v>0</v>
      </c>
      <c r="G47" s="95">
        <f>'DOE25'!J48</f>
        <v>977593.26</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1172594.28</v>
      </c>
      <c r="D49" s="24" t="s">
        <v>288</v>
      </c>
      <c r="E49" s="24" t="s">
        <v>288</v>
      </c>
      <c r="F49" s="24" t="s">
        <v>288</v>
      </c>
      <c r="G49" s="24" t="s">
        <v>288</v>
      </c>
      <c r="H49" s="124"/>
      <c r="I49" s="124"/>
    </row>
    <row r="50" spans="1:9" ht="12.75" thickTop="1" thickBot="1" x14ac:dyDescent="0.25">
      <c r="A50" s="38" t="s">
        <v>884</v>
      </c>
      <c r="B50" s="48"/>
      <c r="C50" s="41">
        <f>SUM(C34:C49)</f>
        <v>1205094.28</v>
      </c>
      <c r="D50" s="41">
        <f>SUM(D34:D49)</f>
        <v>1200</v>
      </c>
      <c r="E50" s="41">
        <f>SUM(E34:E49)</f>
        <v>1299</v>
      </c>
      <c r="F50" s="41">
        <f>SUM(F34:F49)</f>
        <v>0</v>
      </c>
      <c r="G50" s="41">
        <f>SUM(G34:G49)</f>
        <v>977593.26</v>
      </c>
      <c r="H50" s="124"/>
      <c r="I50" s="124"/>
    </row>
    <row r="51" spans="1:9" ht="12" thickTop="1" x14ac:dyDescent="0.2">
      <c r="A51" s="38" t="s">
        <v>885</v>
      </c>
      <c r="B51" s="2"/>
      <c r="C51" s="41">
        <f>C50+C31</f>
        <v>2637233.41</v>
      </c>
      <c r="D51" s="41">
        <f>D50+D31</f>
        <v>290348.39999999997</v>
      </c>
      <c r="E51" s="41">
        <f>E50+E31</f>
        <v>466744.2</v>
      </c>
      <c r="F51" s="41">
        <f>F50+F31</f>
        <v>0</v>
      </c>
      <c r="G51" s="41">
        <f>G50+G31</f>
        <v>977593.26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11401075</v>
      </c>
      <c r="D56" s="95">
        <f>'DOE25'!G60</f>
        <v>0</v>
      </c>
      <c r="E56" s="95">
        <f>'DOE25'!H60</f>
        <v>0</v>
      </c>
      <c r="F56" s="95">
        <f>'DOE25'!I60</f>
        <v>0</v>
      </c>
      <c r="G56" s="95">
        <f>'DOE25'!J60</f>
        <v>0</v>
      </c>
      <c r="H56"/>
      <c r="I56"/>
    </row>
    <row r="57" spans="1:9" x14ac:dyDescent="0.2">
      <c r="A57" s="1" t="s">
        <v>164</v>
      </c>
      <c r="B57" s="6" t="s">
        <v>165</v>
      </c>
      <c r="C57" s="95">
        <f>'DOE25'!F79</f>
        <v>5760656.4100000001</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1630.52</v>
      </c>
      <c r="D59" s="95">
        <f>'DOE25'!G96</f>
        <v>1110.01</v>
      </c>
      <c r="E59" s="95">
        <f>'DOE25'!H96</f>
        <v>0</v>
      </c>
      <c r="F59" s="95">
        <f>'DOE25'!I96</f>
        <v>0</v>
      </c>
      <c r="G59" s="95">
        <f>'DOE25'!J96</f>
        <v>-1795.01</v>
      </c>
      <c r="H59"/>
      <c r="I59"/>
    </row>
    <row r="60" spans="1:9" x14ac:dyDescent="0.2">
      <c r="A60" s="1" t="s">
        <v>170</v>
      </c>
      <c r="B60" s="118" t="s">
        <v>171</v>
      </c>
      <c r="C60" s="24" t="s">
        <v>288</v>
      </c>
      <c r="D60" s="95">
        <f>'DOE25'!G97</f>
        <v>7631.73</v>
      </c>
      <c r="E60" s="24" t="s">
        <v>288</v>
      </c>
      <c r="F60" s="24" t="s">
        <v>288</v>
      </c>
      <c r="G60" s="24" t="s">
        <v>288</v>
      </c>
      <c r="H60"/>
      <c r="I60"/>
    </row>
    <row r="61" spans="1:9" ht="12" thickBot="1" x14ac:dyDescent="0.25">
      <c r="A61" s="1" t="s">
        <v>172</v>
      </c>
      <c r="B61" s="118" t="s">
        <v>173</v>
      </c>
      <c r="C61" s="95">
        <f>SUM('DOE25'!F98:F110)</f>
        <v>125845.95</v>
      </c>
      <c r="D61" s="95">
        <f>SUM('DOE25'!G98:G110)</f>
        <v>2200</v>
      </c>
      <c r="E61" s="95">
        <f>SUM('DOE25'!H98:H110)</f>
        <v>0</v>
      </c>
      <c r="F61" s="95">
        <f>SUM('DOE25'!I98:I110)</f>
        <v>0</v>
      </c>
      <c r="G61" s="95">
        <f>SUM('DOE25'!J98:J110)</f>
        <v>0</v>
      </c>
      <c r="H61"/>
      <c r="I61"/>
    </row>
    <row r="62" spans="1:9" ht="12.75" thickTop="1" thickBot="1" x14ac:dyDescent="0.25">
      <c r="A62" s="29" t="s">
        <v>174</v>
      </c>
      <c r="B62" s="6"/>
      <c r="C62" s="130">
        <f>SUM(C57:C61)</f>
        <v>5888132.8799999999</v>
      </c>
      <c r="D62" s="130">
        <f>SUM(D57:D61)</f>
        <v>10941.74</v>
      </c>
      <c r="E62" s="130">
        <f>SUM(E57:E61)</f>
        <v>0</v>
      </c>
      <c r="F62" s="130">
        <f>SUM(F57:F61)</f>
        <v>0</v>
      </c>
      <c r="G62" s="130">
        <f>SUM(G57:G61)</f>
        <v>-1795.01</v>
      </c>
      <c r="H62"/>
      <c r="I62"/>
    </row>
    <row r="63" spans="1:9" ht="12" thickTop="1" x14ac:dyDescent="0.2">
      <c r="A63" s="29" t="s">
        <v>175</v>
      </c>
      <c r="B63" s="6"/>
      <c r="C63" s="22">
        <f>C56+C62</f>
        <v>17289207.879999999</v>
      </c>
      <c r="D63" s="22">
        <f>D56+D62</f>
        <v>10941.74</v>
      </c>
      <c r="E63" s="22">
        <f>E56+E62</f>
        <v>0</v>
      </c>
      <c r="F63" s="22">
        <f>F56+F62</f>
        <v>0</v>
      </c>
      <c r="G63" s="22">
        <f>G56+G62</f>
        <v>-1795.01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6290941.6799999997</v>
      </c>
      <c r="D66" s="24" t="s">
        <v>288</v>
      </c>
      <c r="E66" s="24" t="s">
        <v>288</v>
      </c>
      <c r="F66" s="24" t="s">
        <v>288</v>
      </c>
      <c r="G66" s="24" t="s">
        <v>288</v>
      </c>
      <c r="H66"/>
      <c r="I66"/>
    </row>
    <row r="67" spans="1:9" x14ac:dyDescent="0.2">
      <c r="A67" s="1" t="s">
        <v>770</v>
      </c>
      <c r="B67" s="6">
        <v>3112</v>
      </c>
      <c r="C67" s="95">
        <f>'DOE25'!F118</f>
        <v>1355946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13966.47</v>
      </c>
      <c r="D69" s="95">
        <f>'DOE25'!G120</f>
        <v>0</v>
      </c>
      <c r="E69" s="95">
        <f>'DOE25'!H120</f>
        <v>0</v>
      </c>
      <c r="F69" s="95">
        <f>'DOE25'!I120</f>
        <v>0</v>
      </c>
      <c r="G69" s="95">
        <f>'DOE25'!J120</f>
        <v>0</v>
      </c>
      <c r="H69"/>
      <c r="I69"/>
    </row>
    <row r="70" spans="1:9" ht="12" thickTop="1" x14ac:dyDescent="0.2">
      <c r="A70" s="29" t="s">
        <v>252</v>
      </c>
      <c r="B70" s="2"/>
      <c r="C70" s="139">
        <f>SUM(C66:C69)</f>
        <v>7660854.1499999994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229213.11</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108707.48</v>
      </c>
      <c r="D75" s="24" t="s">
        <v>288</v>
      </c>
      <c r="E75" s="24" t="s">
        <v>288</v>
      </c>
      <c r="F75" s="24" t="s">
        <v>288</v>
      </c>
      <c r="G75" s="24" t="s">
        <v>288</v>
      </c>
      <c r="H75"/>
      <c r="I75"/>
    </row>
    <row r="76" spans="1:9" x14ac:dyDescent="0.2">
      <c r="A76" s="1" t="s">
        <v>257</v>
      </c>
      <c r="B76" s="6" t="s">
        <v>179</v>
      </c>
      <c r="C76" s="95">
        <f>SUM('DOE25'!F127:F130)</f>
        <v>13981.7</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1442.4</v>
      </c>
      <c r="E77" s="95">
        <f>SUM('DOE25'!H131:H135)</f>
        <v>0</v>
      </c>
      <c r="F77" s="95">
        <f>SUM('DOE25'!I131:I135)</f>
        <v>0</v>
      </c>
      <c r="G77" s="95">
        <f>SUM('DOE25'!J131:J135)</f>
        <v>0</v>
      </c>
      <c r="H77"/>
      <c r="I77"/>
    </row>
    <row r="78" spans="1:9" ht="12.75" thickTop="1" thickBot="1" x14ac:dyDescent="0.25">
      <c r="A78" s="29" t="s">
        <v>259</v>
      </c>
      <c r="B78" s="6"/>
      <c r="C78" s="130">
        <f>SUM(C72:C77)</f>
        <v>351902.29</v>
      </c>
      <c r="D78" s="130">
        <f>SUM(D72:D77)</f>
        <v>1442.4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8012756.4399999995</v>
      </c>
      <c r="D81" s="130">
        <f>SUM(D79:D80)+D78+D70</f>
        <v>1442.4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10414.69</v>
      </c>
      <c r="D88" s="331">
        <f>SUM('DOE25'!G153:G162)</f>
        <v>379232.13</v>
      </c>
      <c r="E88" s="331">
        <f>SUM('DOE25'!H153:H162)</f>
        <v>1126279.8500000001</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10414.69</v>
      </c>
      <c r="D91" s="131">
        <f>SUM(D85:D90)</f>
        <v>379232.13</v>
      </c>
      <c r="E91" s="131">
        <f>SUM(E85:E90)</f>
        <v>1126279.8500000001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87768.24</v>
      </c>
      <c r="E96" s="95">
        <f>'DOE25'!H180</f>
        <v>0</v>
      </c>
      <c r="F96" s="95">
        <f>'DOE25'!I180</f>
        <v>0</v>
      </c>
      <c r="G96" s="95">
        <f>'DOE25'!J180</f>
        <v>82500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87768.24</v>
      </c>
      <c r="E103" s="86">
        <f>SUM(E93:E102)</f>
        <v>0</v>
      </c>
      <c r="F103" s="86">
        <f>SUM(F93:F102)</f>
        <v>0</v>
      </c>
      <c r="G103" s="86">
        <f>SUM(G93:G102)</f>
        <v>82500</v>
      </c>
    </row>
    <row r="104" spans="1:7" ht="12.75" thickTop="1" thickBot="1" x14ac:dyDescent="0.25">
      <c r="A104" s="33" t="s">
        <v>761</v>
      </c>
      <c r="C104" s="86">
        <f>C63+C81+C91+C103</f>
        <v>25312379.010000002</v>
      </c>
      <c r="D104" s="86">
        <f>D63+D81+D91+D103</f>
        <v>479384.51</v>
      </c>
      <c r="E104" s="86">
        <f>E63+E81+E91+E103</f>
        <v>1126279.8500000001</v>
      </c>
      <c r="F104" s="86">
        <f>F63+F81+F91+F103</f>
        <v>0</v>
      </c>
      <c r="G104" s="86">
        <f>G63+G81+G103</f>
        <v>80704.990000000005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10891549.310000001</v>
      </c>
      <c r="D109" s="24" t="s">
        <v>288</v>
      </c>
      <c r="E109" s="95">
        <f>('DOE25'!L277)+('DOE25'!L296)+('DOE25'!L315)</f>
        <v>431130.7</v>
      </c>
      <c r="F109" s="24" t="s">
        <v>288</v>
      </c>
      <c r="G109" s="24" t="s">
        <v>288</v>
      </c>
    </row>
    <row r="110" spans="1:7" x14ac:dyDescent="0.2">
      <c r="A110" t="s">
        <v>198</v>
      </c>
      <c r="B110" s="32" t="s">
        <v>199</v>
      </c>
      <c r="C110" s="95">
        <f>('DOE25'!L199)+('DOE25'!L217)+('DOE25'!L235)</f>
        <v>3475484.38</v>
      </c>
      <c r="D110" s="24" t="s">
        <v>288</v>
      </c>
      <c r="E110" s="95">
        <f>('DOE25'!L278)+('DOE25'!L297)+('DOE25'!L316)</f>
        <v>271991.95</v>
      </c>
      <c r="F110" s="24" t="s">
        <v>288</v>
      </c>
      <c r="G110" s="24" t="s">
        <v>288</v>
      </c>
    </row>
    <row r="111" spans="1:7" x14ac:dyDescent="0.2">
      <c r="A111" t="s">
        <v>200</v>
      </c>
      <c r="B111" s="32" t="s">
        <v>165</v>
      </c>
      <c r="C111" s="95">
        <f>('DOE25'!L200)+('DOE25'!L218)+('DOE25'!L236)</f>
        <v>887211.2699999999</v>
      </c>
      <c r="D111" s="24" t="s">
        <v>288</v>
      </c>
      <c r="E111" s="95">
        <f>('DOE25'!L279)+('DOE25'!L298)+('DOE25'!L317)</f>
        <v>0</v>
      </c>
      <c r="F111" s="24" t="s">
        <v>288</v>
      </c>
      <c r="G111" s="24" t="s">
        <v>288</v>
      </c>
    </row>
    <row r="112" spans="1:7" x14ac:dyDescent="0.2">
      <c r="A112" t="s">
        <v>201</v>
      </c>
      <c r="B112" s="32" t="s">
        <v>167</v>
      </c>
      <c r="C112" s="95">
        <f>('DOE25'!L201)+('DOE25'!L219)+('DOE25'!L237)</f>
        <v>535269.73</v>
      </c>
      <c r="D112" s="24" t="s">
        <v>288</v>
      </c>
      <c r="E112" s="95">
        <f>+('DOE25'!L280)+('DOE25'!L299)+('DOE25'!L318)</f>
        <v>20846.54</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15789514.690000001</v>
      </c>
      <c r="D115" s="86">
        <f>SUM(D109:D114)</f>
        <v>0</v>
      </c>
      <c r="E115" s="86">
        <f>SUM(E109:E114)</f>
        <v>723969.19000000006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1980962.27</v>
      </c>
      <c r="D118" s="24" t="s">
        <v>288</v>
      </c>
      <c r="E118" s="95">
        <f>+('DOE25'!L282)+('DOE25'!L301)+('DOE25'!L320)</f>
        <v>27654.699999999997</v>
      </c>
      <c r="F118" s="24" t="s">
        <v>288</v>
      </c>
      <c r="G118" s="24" t="s">
        <v>288</v>
      </c>
    </row>
    <row r="119" spans="1:7" x14ac:dyDescent="0.2">
      <c r="A119" t="s">
        <v>208</v>
      </c>
      <c r="B119" s="32" t="s">
        <v>209</v>
      </c>
      <c r="C119" s="95">
        <f>('DOE25'!L204)+('DOE25'!L222)+('DOE25'!L240)</f>
        <v>514515.54</v>
      </c>
      <c r="D119" s="24" t="s">
        <v>288</v>
      </c>
      <c r="E119" s="95">
        <f>+('DOE25'!L283)+('DOE25'!L302)+('DOE25'!L321)</f>
        <v>195787.21</v>
      </c>
      <c r="F119" s="24" t="s">
        <v>288</v>
      </c>
      <c r="G119" s="24" t="s">
        <v>288</v>
      </c>
    </row>
    <row r="120" spans="1:7" x14ac:dyDescent="0.2">
      <c r="A120" t="s">
        <v>210</v>
      </c>
      <c r="B120" s="32" t="s">
        <v>211</v>
      </c>
      <c r="C120" s="95">
        <f>('DOE25'!L205)+('DOE25'!L223)+('DOE25'!L241)</f>
        <v>754937.57</v>
      </c>
      <c r="D120" s="24" t="s">
        <v>288</v>
      </c>
      <c r="E120" s="95">
        <f>+('DOE25'!L284)+('DOE25'!L303)+('DOE25'!L322)</f>
        <v>26521.11</v>
      </c>
      <c r="F120" s="24" t="s">
        <v>288</v>
      </c>
      <c r="G120" s="24" t="s">
        <v>288</v>
      </c>
    </row>
    <row r="121" spans="1:7" x14ac:dyDescent="0.2">
      <c r="A121" t="s">
        <v>212</v>
      </c>
      <c r="B121" s="32" t="s">
        <v>213</v>
      </c>
      <c r="C121" s="95">
        <f>('DOE25'!L206)+('DOE25'!L224)+('DOE25'!L242)</f>
        <v>2085654.53</v>
      </c>
      <c r="D121" s="24" t="s">
        <v>288</v>
      </c>
      <c r="E121" s="95">
        <f>+('DOE25'!L285)+('DOE25'!L304)+('DOE25'!L323)</f>
        <v>1064.82</v>
      </c>
      <c r="F121" s="24" t="s">
        <v>288</v>
      </c>
      <c r="G121" s="24" t="s">
        <v>288</v>
      </c>
    </row>
    <row r="122" spans="1:7" x14ac:dyDescent="0.2">
      <c r="A122" t="s">
        <v>214</v>
      </c>
      <c r="B122" s="32" t="s">
        <v>215</v>
      </c>
      <c r="C122" s="95">
        <f>('DOE25'!L207)+('DOE25'!L225)+('DOE25'!L243)</f>
        <v>0</v>
      </c>
      <c r="D122" s="24" t="s">
        <v>288</v>
      </c>
      <c r="E122" s="95">
        <f>+('DOE25'!L286)+('DOE25'!L305)+('DOE25'!L324)</f>
        <v>34139.490000000005</v>
      </c>
      <c r="F122" s="24" t="s">
        <v>288</v>
      </c>
      <c r="G122" s="24" t="s">
        <v>288</v>
      </c>
    </row>
    <row r="123" spans="1:7" x14ac:dyDescent="0.2">
      <c r="A123" t="s">
        <v>216</v>
      </c>
      <c r="B123" s="32" t="s">
        <v>217</v>
      </c>
      <c r="C123" s="95">
        <f>('DOE25'!L208)+('DOE25'!L226)+('DOE25'!L244)</f>
        <v>2225554.84</v>
      </c>
      <c r="D123" s="24" t="s">
        <v>288</v>
      </c>
      <c r="E123" s="95">
        <f>+('DOE25'!L287)+('DOE25'!L306)+('DOE25'!L325)</f>
        <v>104252.79</v>
      </c>
      <c r="F123" s="24" t="s">
        <v>288</v>
      </c>
      <c r="G123" s="24" t="s">
        <v>288</v>
      </c>
    </row>
    <row r="124" spans="1:7" x14ac:dyDescent="0.2">
      <c r="A124" t="s">
        <v>218</v>
      </c>
      <c r="B124" s="32" t="s">
        <v>219</v>
      </c>
      <c r="C124" s="95">
        <f>('DOE25'!L209)+('DOE25'!L227)+('DOE25'!L245+'DOE25'!L255)</f>
        <v>504259.64</v>
      </c>
      <c r="D124" s="24" t="s">
        <v>288</v>
      </c>
      <c r="E124" s="95">
        <f>+('DOE25'!L288)+('DOE25'!L307)+('DOE25'!L326)</f>
        <v>12890.54</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536132.1399999999</v>
      </c>
      <c r="E127" s="24" t="s">
        <v>288</v>
      </c>
      <c r="F127" s="24" t="s">
        <v>288</v>
      </c>
      <c r="G127" s="24" t="s">
        <v>288</v>
      </c>
    </row>
    <row r="128" spans="1:7" ht="12.75" thickTop="1" thickBot="1" x14ac:dyDescent="0.25">
      <c r="A128" s="33" t="s">
        <v>226</v>
      </c>
      <c r="C128" s="86">
        <f>SUM(C118:C127)</f>
        <v>8065884.3899999997</v>
      </c>
      <c r="D128" s="86">
        <f>SUM(D118:D127)</f>
        <v>536132.1399999999</v>
      </c>
      <c r="E128" s="86">
        <f>SUM(E118:E127)</f>
        <v>402310.65999999992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665689</v>
      </c>
      <c r="D130" s="24" t="s">
        <v>288</v>
      </c>
      <c r="E130" s="129">
        <f>'DOE25'!L337</f>
        <v>0</v>
      </c>
      <c r="F130" s="129">
        <f>SUM('DOE25'!L375:'DOE25'!L381)</f>
        <v>0</v>
      </c>
      <c r="G130" s="24" t="s">
        <v>288</v>
      </c>
    </row>
    <row r="131" spans="1:7" x14ac:dyDescent="0.2">
      <c r="A131" t="s">
        <v>229</v>
      </c>
      <c r="B131" s="32">
        <v>5110</v>
      </c>
      <c r="C131" s="95">
        <f>'DOE25'!L261</f>
        <v>45000</v>
      </c>
      <c r="D131" s="24" t="s">
        <v>288</v>
      </c>
      <c r="E131" s="129">
        <f>'DOE25'!L342</f>
        <v>0</v>
      </c>
      <c r="F131" s="24" t="s">
        <v>288</v>
      </c>
      <c r="G131" s="24" t="s">
        <v>288</v>
      </c>
    </row>
    <row r="132" spans="1:7" x14ac:dyDescent="0.2">
      <c r="A132" t="s">
        <v>230</v>
      </c>
      <c r="B132" s="32">
        <v>5120</v>
      </c>
      <c r="C132" s="95">
        <f>'DOE25'!L262</f>
        <v>3600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87768.24</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-332.24</v>
      </c>
      <c r="D138" s="24" t="s">
        <v>288</v>
      </c>
      <c r="E138" s="24" t="s">
        <v>288</v>
      </c>
      <c r="F138" s="24" t="s">
        <v>288</v>
      </c>
      <c r="G138" s="24" t="s">
        <v>288</v>
      </c>
    </row>
    <row r="139" spans="1:7" x14ac:dyDescent="0.2">
      <c r="A139" t="s">
        <v>239</v>
      </c>
      <c r="B139" s="32">
        <v>5252</v>
      </c>
      <c r="C139" s="95">
        <f>'DOE25'!L402</f>
        <v>81037.23000000001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1795.0099999999948</v>
      </c>
      <c r="D141" s="24" t="s">
        <v>288</v>
      </c>
      <c r="E141" s="24" t="s">
        <v>288</v>
      </c>
      <c r="F141" s="24" t="s">
        <v>288</v>
      </c>
      <c r="G141" s="24" t="s">
        <v>288</v>
      </c>
    </row>
    <row r="142" spans="1:7" x14ac:dyDescent="0.2">
      <c r="A142" t="s">
        <v>241</v>
      </c>
      <c r="B142" s="32">
        <v>5310</v>
      </c>
      <c r="C142" s="129">
        <f>'DOE25'!L269</f>
        <v>127587.55</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1012144.79</v>
      </c>
      <c r="D144" s="141">
        <f>SUM(D130:D143)</f>
        <v>0</v>
      </c>
      <c r="E144" s="141">
        <f>SUM(E130:E143)</f>
        <v>0</v>
      </c>
      <c r="F144" s="141">
        <f>SUM(F130:F143)</f>
        <v>0</v>
      </c>
      <c r="G144" s="141">
        <f>SUM(G130:G143)</f>
        <v>0</v>
      </c>
    </row>
    <row r="145" spans="1:9" ht="12.75" thickTop="1" thickBot="1" x14ac:dyDescent="0.25">
      <c r="A145" s="33" t="s">
        <v>244</v>
      </c>
      <c r="C145" s="86">
        <f>(C115+C128+C144)</f>
        <v>24867543.870000001</v>
      </c>
      <c r="D145" s="86">
        <f>(D115+D128+D144)</f>
        <v>536132.1399999999</v>
      </c>
      <c r="E145" s="86">
        <f>(E115+E128+E144)</f>
        <v>1126279.8500000001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F128" sqref="F12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PEMBROKE SCHOOL DISTRICT</v>
      </c>
    </row>
    <row r="3" spans="1:4" x14ac:dyDescent="0.2">
      <c r="B3" s="188" t="s">
        <v>1666</v>
      </c>
    </row>
    <row r="4" spans="1:4" x14ac:dyDescent="0.2">
      <c r="B4" t="s">
        <v>61</v>
      </c>
      <c r="C4" s="179">
        <f>IF('DOE25'!F666+'DOE25'!F671=0,0,ROUND('DOE25'!F673,0))</f>
        <v>19579</v>
      </c>
    </row>
    <row r="5" spans="1:4" x14ac:dyDescent="0.2">
      <c r="B5" t="s">
        <v>700</v>
      </c>
      <c r="C5" s="179">
        <f>IF('DOE25'!G666+'DOE25'!G671=0,0,ROUND('DOE25'!G673,0))</f>
        <v>0</v>
      </c>
    </row>
    <row r="6" spans="1:4" x14ac:dyDescent="0.2">
      <c r="B6" t="s">
        <v>62</v>
      </c>
      <c r="C6" s="179">
        <f>IF('DOE25'!H666+'DOE25'!H671=0,0,ROUND('DOE25'!H673,0))</f>
        <v>15527</v>
      </c>
    </row>
    <row r="7" spans="1:4" x14ac:dyDescent="0.2">
      <c r="B7" t="s">
        <v>701</v>
      </c>
      <c r="C7" s="179">
        <f>IF('DOE25'!I666+'DOE25'!I671=0,0,ROUND('DOE25'!I673,0))</f>
        <v>17408</v>
      </c>
    </row>
    <row r="9" spans="1:4" x14ac:dyDescent="0.2">
      <c r="A9" s="187" t="s">
        <v>94</v>
      </c>
      <c r="B9" s="188" t="s">
        <v>1671</v>
      </c>
      <c r="C9" s="181" t="s">
        <v>720</v>
      </c>
      <c r="D9" s="181" t="s">
        <v>721</v>
      </c>
    </row>
    <row r="10" spans="1:4" x14ac:dyDescent="0.2">
      <c r="A10">
        <v>1100</v>
      </c>
      <c r="B10" t="s">
        <v>702</v>
      </c>
      <c r="C10" s="179">
        <f>ROUND('DOE25'!L198+'DOE25'!L216+'DOE25'!L234+'DOE25'!L277+'DOE25'!L296+'DOE25'!L315,0)</f>
        <v>11322680</v>
      </c>
      <c r="D10" s="182">
        <f>ROUND((C10/$C$28)*100,1)</f>
        <v>44.2</v>
      </c>
    </row>
    <row r="11" spans="1:4" x14ac:dyDescent="0.2">
      <c r="A11">
        <v>1200</v>
      </c>
      <c r="B11" t="s">
        <v>703</v>
      </c>
      <c r="C11" s="179">
        <f>ROUND('DOE25'!L199+'DOE25'!L217+'DOE25'!L235+'DOE25'!L278+'DOE25'!L297+'DOE25'!L316,0)</f>
        <v>3747476</v>
      </c>
      <c r="D11" s="182">
        <f>ROUND((C11/$C$28)*100,1)</f>
        <v>14.6</v>
      </c>
    </row>
    <row r="12" spans="1:4" x14ac:dyDescent="0.2">
      <c r="A12">
        <v>1300</v>
      </c>
      <c r="B12" t="s">
        <v>704</v>
      </c>
      <c r="C12" s="179">
        <f>ROUND('DOE25'!L200+'DOE25'!L218+'DOE25'!L236+'DOE25'!L279+'DOE25'!L298+'DOE25'!L317,0)</f>
        <v>887211</v>
      </c>
      <c r="D12" s="182">
        <f>ROUND((C12/$C$28)*100,1)</f>
        <v>3.5</v>
      </c>
    </row>
    <row r="13" spans="1:4" x14ac:dyDescent="0.2">
      <c r="A13">
        <v>1400</v>
      </c>
      <c r="B13" t="s">
        <v>705</v>
      </c>
      <c r="C13" s="179">
        <f>ROUND('DOE25'!L201+'DOE25'!L219+'DOE25'!L237+'DOE25'!L280+'DOE25'!L299+'DOE25'!L318,0)</f>
        <v>556116</v>
      </c>
      <c r="D13" s="182">
        <f>ROUND((C13/$C$28)*100,1)</f>
        <v>2.2000000000000002</v>
      </c>
    </row>
    <row r="14" spans="1:4" x14ac:dyDescent="0.2">
      <c r="D14" s="182"/>
    </row>
    <row r="15" spans="1:4" x14ac:dyDescent="0.2">
      <c r="A15">
        <v>2100</v>
      </c>
      <c r="B15" t="s">
        <v>706</v>
      </c>
      <c r="C15" s="179">
        <f>ROUND('DOE25'!L203+'DOE25'!L221+'DOE25'!L239+'DOE25'!L282+'DOE25'!L301+'DOE25'!L320,0)</f>
        <v>2008617</v>
      </c>
      <c r="D15" s="182">
        <f t="shared" ref="D15:D27" si="0">ROUND((C15/$C$28)*100,1)</f>
        <v>7.8</v>
      </c>
    </row>
    <row r="16" spans="1:4" x14ac:dyDescent="0.2">
      <c r="A16">
        <v>2200</v>
      </c>
      <c r="B16" t="s">
        <v>707</v>
      </c>
      <c r="C16" s="179">
        <f>ROUND('DOE25'!L204+'DOE25'!L222+'DOE25'!L240+'DOE25'!L283+'DOE25'!L302+'DOE25'!L321,0)</f>
        <v>710303</v>
      </c>
      <c r="D16" s="182">
        <f t="shared" si="0"/>
        <v>2.8</v>
      </c>
    </row>
    <row r="17" spans="1:4" x14ac:dyDescent="0.2">
      <c r="A17" s="183" t="s">
        <v>723</v>
      </c>
      <c r="B17" t="s">
        <v>738</v>
      </c>
      <c r="C17" s="179">
        <f>ROUND('DOE25'!L205+'DOE25'!L210+'DOE25'!L223+'DOE25'!L228+'DOE25'!L241+'DOE25'!L246+'DOE25'!L284+'DOE25'!L289+'DOE25'!L303+'DOE25'!L308+'DOE25'!L322+'DOE25'!L327,0)</f>
        <v>781459</v>
      </c>
      <c r="D17" s="182">
        <f t="shared" si="0"/>
        <v>3</v>
      </c>
    </row>
    <row r="18" spans="1:4" x14ac:dyDescent="0.2">
      <c r="A18">
        <v>2400</v>
      </c>
      <c r="B18" t="s">
        <v>711</v>
      </c>
      <c r="C18" s="179">
        <f>ROUND('DOE25'!L206+'DOE25'!L224+'DOE25'!L242+'DOE25'!L285+'DOE25'!L304+'DOE25'!L323,0)</f>
        <v>2086719</v>
      </c>
      <c r="D18" s="182">
        <f t="shared" si="0"/>
        <v>8.1</v>
      </c>
    </row>
    <row r="19" spans="1:4" x14ac:dyDescent="0.2">
      <c r="A19">
        <v>2500</v>
      </c>
      <c r="B19" t="s">
        <v>708</v>
      </c>
      <c r="C19" s="179">
        <f>ROUND('DOE25'!L207+'DOE25'!L225+'DOE25'!L243+'DOE25'!L286+'DOE25'!L305+'DOE25'!L324,0)</f>
        <v>34139</v>
      </c>
      <c r="D19" s="182">
        <f t="shared" si="0"/>
        <v>0.1</v>
      </c>
    </row>
    <row r="20" spans="1:4" x14ac:dyDescent="0.2">
      <c r="A20">
        <v>2600</v>
      </c>
      <c r="B20" t="s">
        <v>709</v>
      </c>
      <c r="C20" s="179">
        <f>ROUND('DOE25'!L208+'DOE25'!L226+'DOE25'!L244+'DOE25'!L287+'DOE25'!L306+'DOE25'!L325,0)</f>
        <v>2329808</v>
      </c>
      <c r="D20" s="182">
        <f t="shared" si="0"/>
        <v>9.1</v>
      </c>
    </row>
    <row r="21" spans="1:4" x14ac:dyDescent="0.2">
      <c r="A21">
        <v>2700</v>
      </c>
      <c r="B21" t="s">
        <v>710</v>
      </c>
      <c r="C21" s="179">
        <f>ROUND('DOE25'!L209+'DOE25'!L227+'DOE25'!L245+'DOE25'!L288+'DOE25'!L307+'DOE25'!L326,0)</f>
        <v>517150</v>
      </c>
      <c r="D21" s="182">
        <f t="shared" si="0"/>
        <v>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3600</v>
      </c>
      <c r="D25" s="182">
        <f t="shared" si="0"/>
        <v>0</v>
      </c>
    </row>
    <row r="26" spans="1:4" x14ac:dyDescent="0.2">
      <c r="A26" s="183" t="s">
        <v>717</v>
      </c>
      <c r="B26" t="s">
        <v>718</v>
      </c>
      <c r="C26" s="179">
        <f>'DOE25'!L269+'DOE25'!L270+'DOE25'!L350+'DOE25'!L351</f>
        <v>127587.55</v>
      </c>
      <c r="D26" s="182">
        <f t="shared" si="0"/>
        <v>0.5</v>
      </c>
    </row>
    <row r="27" spans="1:4" x14ac:dyDescent="0.2">
      <c r="A27">
        <v>3100</v>
      </c>
      <c r="B27" t="s">
        <v>11</v>
      </c>
      <c r="C27" s="179">
        <f>ROUND('DOE25'!L363-'DOE25'!L362,0)-SUM('DOE25'!G97:G110)</f>
        <v>526300.27</v>
      </c>
      <c r="D27" s="182">
        <f t="shared" si="0"/>
        <v>2.1</v>
      </c>
    </row>
    <row r="28" spans="1:4" x14ac:dyDescent="0.2">
      <c r="B28" s="187" t="s">
        <v>719</v>
      </c>
      <c r="C28" s="180">
        <f>SUM(C10:C27)</f>
        <v>25639165.82</v>
      </c>
      <c r="D28" s="184">
        <f>ROUND(SUM(D10:D27),0)</f>
        <v>100</v>
      </c>
    </row>
    <row r="29" spans="1:4" x14ac:dyDescent="0.2">
      <c r="A29">
        <v>4000</v>
      </c>
      <c r="B29" t="s">
        <v>724</v>
      </c>
      <c r="C29" s="179">
        <f>ROUND('DOE25'!L256+'DOE25'!L337+'DOE25'!L375+'DOE25'!L376+'DOE25'!L377+'DOE25'!L378+'DOE25'!L379+'DOE25'!L380+'DOE25'!L381,0)</f>
        <v>665689</v>
      </c>
    </row>
    <row r="30" spans="1:4" x14ac:dyDescent="0.2">
      <c r="B30" s="187" t="s">
        <v>725</v>
      </c>
      <c r="C30" s="180">
        <f>SUM(C28:C29)</f>
        <v>26304854.82</v>
      </c>
    </row>
    <row r="31" spans="1:4" x14ac:dyDescent="0.2">
      <c r="B31" s="33"/>
      <c r="C31" s="180"/>
    </row>
    <row r="32" spans="1:4" x14ac:dyDescent="0.2">
      <c r="A32">
        <v>5100</v>
      </c>
      <c r="B32" s="33" t="s">
        <v>726</v>
      </c>
      <c r="C32" s="180">
        <f>ROUND('DOE25'!L261+'DOE25'!L342,0)</f>
        <v>45000</v>
      </c>
    </row>
    <row r="34" spans="1:4" x14ac:dyDescent="0.2">
      <c r="A34" s="187" t="s">
        <v>94</v>
      </c>
      <c r="B34" s="188" t="s">
        <v>1667</v>
      </c>
      <c r="C34" s="181" t="s">
        <v>720</v>
      </c>
      <c r="D34" s="181" t="s">
        <v>721</v>
      </c>
    </row>
    <row r="35" spans="1:4" x14ac:dyDescent="0.2">
      <c r="A35">
        <v>1100</v>
      </c>
      <c r="B35" s="185" t="s">
        <v>727</v>
      </c>
      <c r="C35" s="179">
        <f>ROUND('DOE25'!F60+'DOE25'!G60+'DOE25'!H60+'DOE25'!I60+'DOE25'!J60,0)</f>
        <v>11401075</v>
      </c>
      <c r="D35" s="182">
        <f t="shared" ref="D35:D40" si="1">ROUND((C35/$C$41)*100,1)</f>
        <v>42.5</v>
      </c>
    </row>
    <row r="36" spans="1:4" x14ac:dyDescent="0.2">
      <c r="B36" s="185" t="s">
        <v>739</v>
      </c>
      <c r="C36" s="179">
        <f>SUM('DOE25'!F112:J112)-SUM('DOE25'!G97:G110)+('DOE25'!F175+'DOE25'!F176+'DOE25'!I175+'DOE25'!I176)-C35</f>
        <v>5887447.8799999952</v>
      </c>
      <c r="D36" s="182">
        <f t="shared" si="1"/>
        <v>22</v>
      </c>
    </row>
    <row r="37" spans="1:4" x14ac:dyDescent="0.2">
      <c r="A37" s="183" t="s">
        <v>835</v>
      </c>
      <c r="B37" s="185" t="s">
        <v>728</v>
      </c>
      <c r="C37" s="179">
        <f>ROUND('DOE25'!F117+'DOE25'!F118,0)</f>
        <v>7646888</v>
      </c>
      <c r="D37" s="182">
        <f t="shared" si="1"/>
        <v>28.5</v>
      </c>
    </row>
    <row r="38" spans="1:4" x14ac:dyDescent="0.2">
      <c r="A38" s="183" t="s">
        <v>734</v>
      </c>
      <c r="B38" s="185" t="s">
        <v>729</v>
      </c>
      <c r="C38" s="179">
        <f>ROUND(SUM('DOE25'!F140:J140)-SUM('DOE25'!F117:F119),0)</f>
        <v>367311</v>
      </c>
      <c r="D38" s="182">
        <f t="shared" si="1"/>
        <v>1.4</v>
      </c>
    </row>
    <row r="39" spans="1:4" x14ac:dyDescent="0.2">
      <c r="A39">
        <v>4000</v>
      </c>
      <c r="B39" s="185" t="s">
        <v>730</v>
      </c>
      <c r="C39" s="179">
        <f>ROUND('DOE25'!F170+'DOE25'!G170+'DOE25'!H170+'DOE25'!I170,0)</f>
        <v>1515927</v>
      </c>
      <c r="D39" s="182">
        <f t="shared" si="1"/>
        <v>5.7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26818648.879999995</v>
      </c>
      <c r="D41" s="184">
        <f>SUM(D35:D40)</f>
        <v>100.10000000000001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128" sqref="F128"/>
      <selection pane="bottomLeft" activeCell="F128" sqref="F128"/>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PEMBROKE SCHOOL DISTRICT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v>5</v>
      </c>
      <c r="B4" s="219">
        <v>12</v>
      </c>
      <c r="C4" s="376" t="s">
        <v>1673</v>
      </c>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2021-10-27T12:58:14Z</cp:lastPrinted>
  <dcterms:created xsi:type="dcterms:W3CDTF">1997-12-04T19:04:30Z</dcterms:created>
  <dcterms:modified xsi:type="dcterms:W3CDTF">2021-12-14T19:18:05Z</dcterms:modified>
</cp:coreProperties>
</file>