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0490" windowHeight="765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29" i="13" l="1"/>
  <c r="E24" i="17"/>
  <c r="E22" i="17"/>
  <c r="E26" i="17"/>
  <c r="F6" i="13" l="1"/>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C112" i="2" s="1"/>
  <c r="G6" i="13"/>
  <c r="H6" i="13"/>
  <c r="L203" i="1"/>
  <c r="L221" i="1"/>
  <c r="L239" i="1"/>
  <c r="G7" i="13"/>
  <c r="H7" i="13"/>
  <c r="L204" i="1"/>
  <c r="L222" i="1"/>
  <c r="L240" i="1"/>
  <c r="C119" i="2" s="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E123" i="2" s="1"/>
  <c r="L288" i="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0" i="2"/>
  <c r="E121" i="2"/>
  <c r="E124" i="2"/>
  <c r="C125"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H653" i="1"/>
  <c r="G654" i="1"/>
  <c r="H654" i="1"/>
  <c r="G655" i="1"/>
  <c r="H655" i="1"/>
  <c r="H656" i="1"/>
  <c r="J656" i="1" s="1"/>
  <c r="G62" i="2"/>
  <c r="I170" i="1"/>
  <c r="G477" i="1"/>
  <c r="D50" i="2" l="1"/>
  <c r="J652" i="1"/>
  <c r="H477" i="1"/>
  <c r="H625" i="1" s="1"/>
  <c r="J625" i="1" s="1"/>
  <c r="H409" i="1"/>
  <c r="H645" i="1" s="1"/>
  <c r="E119" i="2"/>
  <c r="K339" i="1"/>
  <c r="K353" i="1" s="1"/>
  <c r="C12" i="10"/>
  <c r="E110" i="2"/>
  <c r="G339" i="1"/>
  <c r="G353" i="1" s="1"/>
  <c r="H663" i="1"/>
  <c r="E13" i="13"/>
  <c r="C13" i="13" s="1"/>
  <c r="D6" i="13"/>
  <c r="C6" i="13" s="1"/>
  <c r="C13" i="10"/>
  <c r="A40" i="12"/>
  <c r="J258" i="1"/>
  <c r="F258" i="1"/>
  <c r="F272" i="1" s="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E115" i="2" l="1"/>
  <c r="C141" i="2"/>
  <c r="C81" i="2"/>
  <c r="E128" i="2"/>
  <c r="E145" i="2" s="1"/>
  <c r="H649" i="1"/>
  <c r="H661" i="1"/>
  <c r="H665" i="1" s="1"/>
  <c r="H668" i="1" s="1"/>
  <c r="E51" i="2"/>
  <c r="F51" i="2"/>
  <c r="G36" i="14"/>
  <c r="H36" i="14" s="1"/>
  <c r="I36" i="14"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C41" i="10"/>
  <c r="D38" i="10" s="1"/>
  <c r="H657" i="1" l="1"/>
  <c r="I668" i="1"/>
  <c r="D28" i="10"/>
  <c r="D37" i="10"/>
  <c r="D36" i="10"/>
  <c r="D35" i="10"/>
  <c r="D40" i="10"/>
  <c r="D39" i="10"/>
  <c r="D41" i="10" l="1"/>
  <c r="F33" i="13"/>
  <c r="D29" i="13"/>
  <c r="C29" i="13" s="1"/>
  <c r="D33" i="13" l="1"/>
  <c r="D36" i="13"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<sst xmlns="http://schemas.openxmlformats.org/spreadsheetml/2006/main" count="5571" uniqueCount="1673">
  <si>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</si>
  <si>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</si>
  <si>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</si>
  <si>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</si>
  <si>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</si>
  <si>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</si>
  <si>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</si>
  <si>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</si>
  <si>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</si>
  <si>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</si>
  <si>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</si>
  <si>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</si>
  <si>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</si>
  <si>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</si>
  <si>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</si>
  <si>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</si>
  <si>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</si>
  <si>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</si>
  <si>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</si>
  <si>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</si>
  <si>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</si>
  <si>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</si>
  <si>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</si>
  <si>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</si>
  <si>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</si>
  <si>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</si>
  <si>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</si>
  <si>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</si>
  <si>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</si>
  <si>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</si>
  <si>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</si>
  <si>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</si>
  <si>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</si>
  <si>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</si>
  <si>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</si>
  <si>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</si>
  <si>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</si>
  <si>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</si>
  <si>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</si>
  <si>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</si>
  <si>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</si>
  <si>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</si>
  <si>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</si>
  <si>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</si>
  <si>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</si>
  <si>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</si>
  <si>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</si>
  <si>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</si>
  <si>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</si>
  <si>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</si>
  <si>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</si>
  <si>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</si>
  <si>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</si>
  <si>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</si>
  <si>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</si>
  <si>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</si>
  <si>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</si>
  <si>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</si>
  <si>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</si>
  <si>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</si>
  <si>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</si>
  <si>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</si>
  <si>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</si>
  <si>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</si>
  <si>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</si>
  <si>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</si>
  <si>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</si>
  <si>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</si>
  <si>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</si>
  <si>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</si>
  <si>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</si>
  <si>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</si>
  <si>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</si>
  <si>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</si>
  <si>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</si>
  <si>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</si>
  <si>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</si>
  <si>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</si>
  <si>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</si>
  <si>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</si>
  <si>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</si>
  <si>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</si>
  <si>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</si>
  <si>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</si>
  <si>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</si>
  <si>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</si>
  <si>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</si>
  <si>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</si>
  <si>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</si>
  <si>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</si>
  <si>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</si>
  <si>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</si>
  <si>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</si>
  <si>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</si>
  <si>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</si>
  <si>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</si>
  <si>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</si>
  <si>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</si>
  <si>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</si>
  <si>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</si>
  <si>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</si>
  <si>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</si>
  <si>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</si>
  <si>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</si>
  <si>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</si>
  <si>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</si>
  <si>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</si>
  <si>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</si>
  <si>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</si>
  <si>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</si>
  <si>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</si>
  <si>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</si>
  <si>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</si>
  <si>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</si>
  <si>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</si>
  <si>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</si>
  <si>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</si>
  <si>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</si>
  <si>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</si>
  <si>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</si>
  <si>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</si>
  <si>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</si>
  <si>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</si>
  <si>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</si>
  <si>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</si>
  <si>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</si>
  <si>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</si>
  <si>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</si>
  <si>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</si>
  <si>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</si>
  <si>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</si>
  <si>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</si>
  <si>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</si>
  <si>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</si>
  <si>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</si>
  <si>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</si>
  <si>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</si>
  <si>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</si>
  <si>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</si>
  <si>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</si>
  <si>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</si>
  <si>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</si>
  <si>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</si>
  <si>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</si>
  <si>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</si>
  <si>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</si>
  <si>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</si>
  <si>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</si>
  <si>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</si>
  <si>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</si>
  <si>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</si>
  <si>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</si>
  <si>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</si>
  <si>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</si>
  <si>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</si>
  <si>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</si>
  <si>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</si>
  <si>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</si>
  <si>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</si>
  <si>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</si>
  <si>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</si>
  <si>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</si>
  <si>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</si>
  <si>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</si>
  <si>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</si>
  <si>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</si>
  <si>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</si>
  <si>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</si>
  <si>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</si>
  <si>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</si>
  <si>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</si>
  <si>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</si>
  <si>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</si>
  <si>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</si>
  <si>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</si>
  <si>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</si>
  <si>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</si>
  <si>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</si>
  <si>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</si>
  <si>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</si>
  <si>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</si>
  <si>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</si>
  <si>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</si>
  <si>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</si>
  <si>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</si>
  <si>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</si>
  <si>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</si>
  <si>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</si>
  <si>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</si>
  <si>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</si>
  <si>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</si>
  <si>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</si>
  <si>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</si>
  <si>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</si>
  <si>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</si>
  <si>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</si>
  <si>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</si>
  <si>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</si>
  <si>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</si>
  <si>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</si>
  <si>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</si>
  <si>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</si>
  <si>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</si>
  <si>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</si>
  <si>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</si>
  <si>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</si>
  <si>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</si>
  <si>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</si>
  <si>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</si>
  <si>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</si>
  <si>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</si>
  <si>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</si>
  <si>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</si>
  <si>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</si>
  <si>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</si>
  <si>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</si>
  <si>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</si>
  <si>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</si>
  <si>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</si>
  <si>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</si>
  <si>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</si>
  <si>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</si>
  <si>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</si>
  <si>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</si>
  <si>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</si>
  <si>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</si>
  <si>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</si>
  <si>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</si>
  <si>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</si>
  <si>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</si>
  <si>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</si>
  <si>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</si>
  <si>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</si>
  <si>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</si>
  <si>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</si>
  <si>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</si>
  <si>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</si>
  <si>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</si>
  <si>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</si>
  <si>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</si>
  <si>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</si>
  <si>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</si>
  <si>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</si>
  <si>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</si>
  <si>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</si>
  <si>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</si>
  <si>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</si>
  <si>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</si>
  <si>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</si>
  <si>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</si>
  <si>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</si>
  <si>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</si>
  <si>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</si>
  <si>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</si>
  <si>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</si>
  <si>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</si>
  <si>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</si>
  <si>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</si>
  <si>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</si>
  <si>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</si>
  <si>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</si>
  <si>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</si>
  <si>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</si>
  <si>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</si>
  <si>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</si>
  <si>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</si>
  <si>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</si>
  <si>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</si>
  <si>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</si>
  <si>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</si>
  <si>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</si>
  <si>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</si>
  <si>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</si>
  <si>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</si>
  <si>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</si>
  <si>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</si>
  <si>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</si>
  <si>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</si>
  <si>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</si>
  <si>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</si>
  <si>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</si>
  <si>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</si>
  <si>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</si>
  <si>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</si>
  <si>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</si>
  <si>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</si>
  <si>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</si>
  <si>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</si>
  <si>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</si>
  <si>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</si>
  <si>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</si>
  <si>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</si>
  <si>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</si>
  <si>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</si>
  <si>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</si>
  <si>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</si>
  <si>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</si>
  <si>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</si>
  <si>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</si>
  <si>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</si>
  <si>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</si>
  <si>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</si>
  <si>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</si>
  <si>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</si>
  <si>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</si>
  <si>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</si>
  <si>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</si>
  <si>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</si>
  <si>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</si>
  <si>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</si>
  <si>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</si>
  <si>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</si>
  <si>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</si>
  <si>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</si>
  <si>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</si>
  <si>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</si>
  <si>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</si>
  <si>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</si>
  <si>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</si>
  <si>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</si>
  <si>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</si>
  <si>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</si>
  <si>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</si>
  <si>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</si>
  <si>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</si>
  <si>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</si>
  <si>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</si>
  <si>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</si>
  <si>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</si>
  <si>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</si>
  <si>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</si>
  <si>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</si>
  <si>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</si>
  <si>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</si>
  <si>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</si>
  <si>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</si>
  <si>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</si>
  <si>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</si>
  <si>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</si>
  <si>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</si>
  <si>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</si>
  <si>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</si>
  <si>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</si>
  <si>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</si>
  <si>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</si>
  <si>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</si>
  <si>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</si>
  <si>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</si>
  <si>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</si>
  <si>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</si>
  <si>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</si>
  <si>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</si>
  <si>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</si>
  <si>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</si>
  <si>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</si>
  <si>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</si>
  <si>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</si>
  <si>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</si>
  <si>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</si>
  <si>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</si>
  <si>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</si>
  <si>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</si>
  <si>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</si>
  <si>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</si>
  <si>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</si>
  <si>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</si>
  <si>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</si>
  <si>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</si>
  <si>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</si>
  <si>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</si>
  <si>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</si>
  <si>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</si>
  <si>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</si>
  <si>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</si>
  <si>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</si>
  <si>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</si>
  <si>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</si>
  <si>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</si>
  <si>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</si>
  <si>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</si>
  <si>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</si>
  <si>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</si>
  <si>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</si>
  <si>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</si>
  <si>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</si>
  <si>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</si>
  <si>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</si>
  <si>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</si>
  <si>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</si>
  <si>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</si>
  <si>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</si>
  <si>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</si>
  <si>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</si>
  <si>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</si>
  <si>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</si>
  <si>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</si>
  <si>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</si>
  <si>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</si>
  <si>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</si>
  <si>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</si>
  <si>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</si>
  <si>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</si>
  <si>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</si>
  <si>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</si>
  <si>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</si>
  <si>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</si>
  <si>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</si>
  <si>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</si>
  <si>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</si>
  <si>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</si>
  <si>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</si>
  <si>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</si>
  <si>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</si>
  <si>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</si>
  <si>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</si>
  <si>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</si>
  <si>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</si>
  <si>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</si>
  <si>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</si>
  <si>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</si>
  <si>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</si>
  <si>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</si>
  <si>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</si>
  <si>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</si>
  <si>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</si>
  <si>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</si>
  <si>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</si>
  <si>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</si>
  <si>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</si>
  <si>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</si>
  <si>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</si>
  <si>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</si>
  <si>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</si>
  <si>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</si>
  <si>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</si>
  <si>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</si>
  <si>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</si>
  <si>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</si>
  <si>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</si>
  <si>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</si>
  <si>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</si>
  <si>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</si>
  <si>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</si>
  <si>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</si>
  <si>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</si>
  <si>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</si>
  <si>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</si>
  <si>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</si>
  <si>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</si>
  <si>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</si>
  <si>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</si>
  <si>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</si>
  <si>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</si>
  <si>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</si>
  <si>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</si>
  <si>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</si>
  <si>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</si>
  <si>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</si>
  <si>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</si>
  <si>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</si>
  <si>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</si>
  <si>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</si>
  <si>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</si>
  <si>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</si>
  <si>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</si>
  <si>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</si>
  <si>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</si>
  <si>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</si>
  <si>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</si>
  <si>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</si>
  <si>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</si>
  <si>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</si>
  <si>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</si>
  <si>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</si>
  <si>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</si>
  <si>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</si>
  <si>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</si>
  <si>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</si>
  <si>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</si>
  <si>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</si>
  <si>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</si>
  <si>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</si>
  <si>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</si>
  <si>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</si>
  <si>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</si>
  <si>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</si>
  <si>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</si>
  <si>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</si>
  <si>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</si>
  <si>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</si>
  <si>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</si>
  <si>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</si>
  <si>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</si>
  <si>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</si>
  <si>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</si>
  <si>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</si>
  <si>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</si>
  <si>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</si>
  <si>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</si>
  <si>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</si>
  <si>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</si>
  <si>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</si>
  <si>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</si>
  <si>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</si>
  <si>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</si>
  <si>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</si>
  <si>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</si>
  <si>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</si>
  <si>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</si>
  <si>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</si>
  <si>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</si>
  <si>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</si>
  <si>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</si>
  <si>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</si>
  <si>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</si>
  <si>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</si>
  <si>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</si>
  <si>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</si>
  <si>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</si>
  <si>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</si>
  <si>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</si>
  <si>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</si>
  <si>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</si>
  <si>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</si>
  <si>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</si>
  <si>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</si>
  <si>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</si>
  <si>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</si>
  <si>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</si>
  <si>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</si>
  <si>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</si>
  <si>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</si>
  <si>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</si>
  <si>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</si>
  <si>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</si>
  <si>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</si>
  <si>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</si>
  <si>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</si>
  <si>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</si>
  <si>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</si>
  <si>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</si>
  <si>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</si>
  <si>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</si>
  <si>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</si>
  <si>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</si>
  <si>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</si>
  <si>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</si>
  <si>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</si>
  <si>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</si>
  <si>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</si>
  <si>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</si>
  <si>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</si>
  <si>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</si>
  <si>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</si>
  <si>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</si>
  <si>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</si>
  <si>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</si>
  <si>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</si>
  <si>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</si>
  <si>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</si>
  <si>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</si>
  <si>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</si>
  <si>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</si>
  <si>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</si>
  <si>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</si>
  <si>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</si>
  <si>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</si>
  <si>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</si>
  <si>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</si>
  <si>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</si>
  <si>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</si>
  <si>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</si>
  <si>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</si>
  <si>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</si>
  <si>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</si>
  <si>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</si>
  <si>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</si>
  <si>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</si>
  <si>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</si>
  <si>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</si>
  <si>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</si>
  <si>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</si>
  <si>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</si>
  <si>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</si>
  <si>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</si>
  <si>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</si>
  <si>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</si>
  <si>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</si>
  <si>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</si>
  <si>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</si>
  <si>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</si>
  <si>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</si>
  <si>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</si>
  <si>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</si>
  <si>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</si>
  <si>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</si>
  <si>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</si>
  <si>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</si>
  <si>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</si>
  <si>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</si>
  <si>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</si>
  <si>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</si>
  <si>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</si>
  <si>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</si>
  <si>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</si>
  <si>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</si>
  <si>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</si>
  <si>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</si>
  <si>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</si>
  <si>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</si>
  <si>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</si>
  <si>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</si>
  <si>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</si>
  <si>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</si>
  <si>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</si>
  <si>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</si>
  <si>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</si>
  <si>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</si>
  <si>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</si>
  <si>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</si>
  <si>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</si>
  <si>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</si>
  <si>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</si>
  <si>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</si>
  <si>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</si>
  <si>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</si>
  <si>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</si>
  <si>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</si>
  <si>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</si>
  <si>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</si>
  <si>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</si>
  <si>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</si>
  <si>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</si>
  <si>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</si>
  <si>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</si>
  <si>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</si>
  <si>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</si>
  <si>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</si>
  <si>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</si>
  <si>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</si>
  <si>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</si>
  <si>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</si>
  <si>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</si>
  <si>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</si>
  <si>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</si>
  <si>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</si>
  <si>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</si>
  <si>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</si>
  <si>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</si>
  <si>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</si>
  <si>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</si>
  <si>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</si>
  <si>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</si>
  <si>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</si>
  <si>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</si>
  <si>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</si>
  <si>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</si>
  <si>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</si>
  <si>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</si>
  <si>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</si>
  <si>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</si>
  <si>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</si>
  <si>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</si>
  <si>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</si>
  <si>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</si>
  <si>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</si>
  <si>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</si>
  <si>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</si>
  <si>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</si>
  <si>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</si>
  <si>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</si>
  <si>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</si>
  <si>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</si>
  <si>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</si>
  <si>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</si>
  <si>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</si>
  <si>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</si>
  <si>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</si>
  <si>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</si>
  <si>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</si>
  <si>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</si>
  <si>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</si>
  <si>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</si>
  <si>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</si>
  <si>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</si>
  <si>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</si>
  <si>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</si>
  <si>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</si>
  <si>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</si>
  <si>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</si>
  <si>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</si>
  <si>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</si>
  <si>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</si>
  <si>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</si>
  <si>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</si>
  <si>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</si>
  <si>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</si>
  <si>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</si>
  <si>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</si>
  <si>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</si>
  <si>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</si>
  <si>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</si>
  <si>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</si>
  <si>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</si>
  <si>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</si>
  <si>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</si>
  <si>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</si>
  <si>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</si>
  <si>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</si>
  <si>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</si>
  <si>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</si>
  <si>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</si>
  <si>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</si>
  <si>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</si>
  <si>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</si>
  <si>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</si>
  <si>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</si>
  <si>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</si>
  <si>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</si>
  <si>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</si>
  <si>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</si>
  <si>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</si>
  <si>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</si>
  <si>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</si>
  <si>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</si>
  <si>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</si>
  <si>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</si>
  <si>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</si>
  <si>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</si>
  <si>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</si>
  <si>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</si>
  <si>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</si>
  <si>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</si>
  <si>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</si>
  <si>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</si>
  <si>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</si>
  <si>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</si>
  <si>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</si>
  <si>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</si>
  <si>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</si>
  <si>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</si>
  <si>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</si>
  <si>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</si>
  <si>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</si>
  <si>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</si>
  <si>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</si>
  <si>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</si>
  <si>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</si>
  <si>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</si>
  <si>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</si>
  <si>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</si>
  <si>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</si>
  <si>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</si>
  <si>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</si>
  <si>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</si>
  <si>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</si>
  <si>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</si>
  <si>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</si>
  <si>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</si>
  <si>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</si>
  <si>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</si>
  <si>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</si>
  <si>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</si>
  <si>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</si>
  <si>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</si>
  <si>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</si>
  <si>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</si>
  <si>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</si>
  <si>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</si>
  <si>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</si>
  <si>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</si>
  <si>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</si>
  <si>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</si>
  <si>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</si>
  <si>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</si>
  <si>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</si>
  <si>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</si>
  <si>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</si>
  <si>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</si>
  <si>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</si>
  <si>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</si>
  <si>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</si>
  <si>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</si>
  <si>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</si>
  <si>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</si>
  <si>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</si>
  <si>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</si>
  <si>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</si>
  <si>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</si>
  <si>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</si>
  <si>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</si>
  <si>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</si>
  <si>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</si>
  <si>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</si>
  <si>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</si>
  <si>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</si>
  <si>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</si>
  <si>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</si>
  <si>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</si>
  <si>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</si>
  <si>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</si>
  <si>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</si>
  <si>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</si>
  <si>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</si>
  <si>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</si>
  <si>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</si>
  <si>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</si>
  <si>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</si>
  <si>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</si>
  <si>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</si>
  <si>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</si>
  <si>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</si>
  <si>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</si>
  <si>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</si>
  <si>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</si>
  <si>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</si>
  <si>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</si>
  <si>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</si>
  <si>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</si>
  <si>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</si>
  <si>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</si>
  <si>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</si>
  <si>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</si>
  <si>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</si>
  <si>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</si>
  <si>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</si>
  <si>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</si>
  <si>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</si>
  <si>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</si>
  <si>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</si>
  <si>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</si>
  <si>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</si>
  <si>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</si>
  <si>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</si>
  <si>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</si>
  <si>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</si>
  <si>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</si>
  <si>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</si>
  <si>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</si>
  <si>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</si>
  <si>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</si>
  <si>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</si>
  <si>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</si>
  <si>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</si>
  <si>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</si>
  <si>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</si>
  <si>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</si>
  <si>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</si>
  <si>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</si>
  <si>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</si>
  <si>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</si>
  <si>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</si>
  <si>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</si>
  <si>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</si>
  <si>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</si>
  <si>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</si>
  <si>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</si>
  <si>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</si>
  <si>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</si>
  <si>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</si>
  <si>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</si>
  <si>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</si>
  <si>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</si>
  <si>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</si>
  <si>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</si>
  <si>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</si>
  <si>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</si>
  <si>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</si>
  <si>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</si>
  <si>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</si>
  <si>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</si>
  <si>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</si>
  <si>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</si>
  <si>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</si>
  <si>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</si>
  <si>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</si>
  <si>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</si>
  <si>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</si>
  <si>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</si>
  <si>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</si>
  <si>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</si>
  <si>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</si>
  <si>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</si>
  <si>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</si>
  <si>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</si>
  <si>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</si>
  <si>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</si>
  <si>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</si>
  <si>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</si>
  <si>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</si>
  <si>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</si>
  <si>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</si>
  <si>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</si>
  <si>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</si>
  <si>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</si>
  <si>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</si>
  <si>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</si>
  <si>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</si>
  <si>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</si>
  <si>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</si>
  <si>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</si>
  <si>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</si>
  <si>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</si>
  <si>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</si>
  <si>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</si>
  <si>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</si>
  <si>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</si>
  <si>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</si>
  <si>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</si>
  <si>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</si>
  <si>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</si>
  <si>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</si>
  <si>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</si>
  <si>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</si>
  <si>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</si>
  <si>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</si>
  <si>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</si>
  <si>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</si>
  <si>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</si>
  <si>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</si>
  <si>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</si>
  <si>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</si>
  <si>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</si>
  <si>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</si>
  <si>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</si>
  <si>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</si>
  <si>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</si>
  <si>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</si>
  <si>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</si>
  <si>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</si>
  <si>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</si>
  <si>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</si>
  <si>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</si>
  <si>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</si>
  <si>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</si>
  <si>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</si>
  <si>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</si>
  <si>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</si>
  <si>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</si>
  <si>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</si>
  <si>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</si>
  <si>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</si>
  <si>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</si>
  <si>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</si>
  <si>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</si>
  <si>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</si>
  <si>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</si>
  <si>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</si>
  <si>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</si>
  <si>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</si>
  <si>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</si>
  <si>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</si>
  <si>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</si>
  <si>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</si>
  <si>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</si>
  <si>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</si>
  <si>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</si>
  <si>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</si>
  <si>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</si>
  <si>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</si>
  <si>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</si>
  <si>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</si>
  <si>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</si>
  <si>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</si>
  <si>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</si>
  <si>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</si>
  <si>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</si>
  <si>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</si>
  <si>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</si>
  <si>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</si>
  <si>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</si>
  <si>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</si>
  <si>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</si>
  <si>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</si>
  <si>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</si>
  <si>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</si>
  <si>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</si>
  <si>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</si>
  <si>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</si>
  <si>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</si>
  <si>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</si>
  <si>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</si>
  <si>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</si>
  <si>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</si>
  <si>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</si>
  <si>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</si>
  <si>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</si>
  <si>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</si>
  <si>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</si>
  <si>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</si>
  <si>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</si>
  <si>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</si>
  <si>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</si>
  <si>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</si>
  <si>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</si>
  <si>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</si>
  <si>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</si>
  <si>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</si>
  <si>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</si>
  <si>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</si>
  <si>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</si>
  <si>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</si>
  <si>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</si>
  <si>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</si>
  <si>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</si>
  <si>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</si>
  <si>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</si>
  <si>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</si>
  <si>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</si>
  <si>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</si>
  <si>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</si>
  <si>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</si>
  <si>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</si>
  <si>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</si>
  <si>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</si>
  <si>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</si>
  <si>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</si>
  <si>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</si>
  <si>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</si>
  <si>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</si>
  <si>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</si>
  <si>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</si>
  <si>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</si>
  <si>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</si>
  <si>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</si>
  <si>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</si>
  <si>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</si>
  <si>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</si>
  <si>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</si>
  <si>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</si>
  <si>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</si>
  <si>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</si>
  <si>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</si>
  <si>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</si>
  <si>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</si>
  <si>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</si>
  <si>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</si>
  <si>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</si>
  <si>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</si>
  <si>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</si>
  <si>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</si>
  <si>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</si>
  <si>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</si>
  <si>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</si>
  <si>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</si>
  <si>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</si>
  <si>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</si>
  <si>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</si>
  <si>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</si>
  <si>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</si>
  <si>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</si>
  <si>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</si>
  <si>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</si>
  <si>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</si>
  <si>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</si>
  <si>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</si>
  <si>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</si>
  <si>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</si>
  <si>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</si>
  <si>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</si>
  <si>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</si>
  <si>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</si>
  <si>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</si>
  <si>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</si>
  <si>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</si>
  <si>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</si>
  <si>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</si>
  <si>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</si>
  <si>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</si>
  <si>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</si>
  <si>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</si>
  <si>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</si>
  <si>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</si>
  <si>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</si>
  <si>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</si>
  <si>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</si>
  <si>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</si>
  <si>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</si>
  <si>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</si>
  <si>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</si>
  <si>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</si>
  <si>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</si>
  <si>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</si>
  <si>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</si>
  <si>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</si>
  <si>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</si>
  <si>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</si>
  <si>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</si>
  <si>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</si>
  <si>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</si>
  <si>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</si>
  <si>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</si>
  <si>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</si>
  <si>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</si>
  <si>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</si>
  <si>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</si>
  <si>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</si>
  <si>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</si>
  <si>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</si>
  <si>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</si>
  <si>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</si>
  <si>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</si>
  <si>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</si>
  <si>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</si>
  <si>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</si>
  <si>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</si>
  <si>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</si>
  <si>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</si>
  <si>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</si>
  <si>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</si>
  <si>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</si>
  <si>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</si>
  <si>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</si>
  <si>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</si>
  <si>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</si>
  <si>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</si>
  <si>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</si>
  <si>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</si>
  <si>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</si>
  <si>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</si>
  <si>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</si>
  <si>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</si>
  <si>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</si>
  <si>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</si>
  <si>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</si>
  <si>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</si>
  <si>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</si>
  <si>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</si>
  <si>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</si>
  <si>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</si>
  <si>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</si>
  <si>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</si>
  <si>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</si>
  <si>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</si>
  <si>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</si>
  <si>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</si>
  <si>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</si>
  <si>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</si>
  <si>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</si>
  <si>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</si>
  <si>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</si>
  <si>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</si>
  <si>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</si>
  <si>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</si>
  <si>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</si>
  <si>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</si>
  <si>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</si>
  <si>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</si>
  <si>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</si>
  <si>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</si>
  <si>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</si>
  <si>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</si>
  <si>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</si>
  <si>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</si>
  <si>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</si>
  <si>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</si>
  <si>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</si>
  <si>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</si>
  <si>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</si>
  <si>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</si>
  <si>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</si>
  <si>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</si>
  <si>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</si>
  <si>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</si>
  <si>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</si>
  <si>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</si>
  <si>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</si>
  <si>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</si>
  <si>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</si>
  <si>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</si>
  <si>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</si>
  <si>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</si>
  <si>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</si>
  <si>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</si>
  <si>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</si>
  <si>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</si>
  <si>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</si>
  <si>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</si>
  <si>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</si>
  <si>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</si>
  <si>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</si>
  <si>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</si>
  <si>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</si>
  <si>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</si>
  <si>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</si>
  <si>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</si>
  <si>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</si>
  <si>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</si>
  <si>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</si>
  <si>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</si>
  <si>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</si>
  <si>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</si>
  <si>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</si>
  <si>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</si>
  <si>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</si>
  <si>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</si>
  <si>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</si>
  <si>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</si>
  <si>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</si>
  <si>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</si>
  <si>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</si>
  <si>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</si>
  <si>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</si>
  <si>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</si>
  <si>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</si>
  <si>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</si>
  <si>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</si>
  <si>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</si>
  <si>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</si>
  <si>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</si>
  <si>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</si>
  <si>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</si>
  <si>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</si>
  <si>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</si>
  <si>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</si>
  <si>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</si>
  <si>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</si>
  <si>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</si>
  <si>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</si>
  <si>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</si>
  <si>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</si>
  <si>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</si>
  <si>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</si>
  <si>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</si>
  <si>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</si>
  <si>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</si>
  <si>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</si>
  <si>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</si>
  <si>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</si>
  <si>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</si>
  <si>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</si>
  <si>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</si>
  <si>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</si>
  <si>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</si>
  <si>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</si>
  <si>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</si>
  <si>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</si>
  <si>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</si>
  <si>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</si>
  <si>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</si>
  <si>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</si>
  <si>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</si>
  <si>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</si>
  <si>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</si>
  <si>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</si>
  <si>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</si>
  <si>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</si>
  <si>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</si>
  <si>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</si>
  <si>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</si>
  <si>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</si>
  <si>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</si>
  <si>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</si>
  <si>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</si>
  <si>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</si>
  <si>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</si>
  <si>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</si>
  <si>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</si>
  <si>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</si>
  <si>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</si>
  <si>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</si>
  <si>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</si>
  <si>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</si>
  <si>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</si>
  <si>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</si>
  <si>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</si>
  <si>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</si>
  <si>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</si>
  <si>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</si>
  <si>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</si>
  <si>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</si>
  <si>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</si>
  <si>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</si>
  <si>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</si>
  <si>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</si>
  <si>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</si>
  <si>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</si>
  <si>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</si>
  <si>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</si>
  <si>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</si>
  <si>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</si>
  <si>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</si>
  <si>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</si>
  <si>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</si>
  <si>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</si>
  <si>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</si>
  <si>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</si>
  <si>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</si>
  <si>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</si>
  <si>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</si>
  <si>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</si>
  <si>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</si>
  <si>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</si>
  <si>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</si>
  <si>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</si>
  <si>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</si>
  <si>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</si>
  <si>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</si>
  <si>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</si>
  <si>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</si>
  <si>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</si>
  <si>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</si>
  <si>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</si>
  <si>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</si>
  <si>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</si>
  <si>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</si>
  <si>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</si>
  <si>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</si>
  <si>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</si>
  <si>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</si>
  <si>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</si>
  <si>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</si>
  <si>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</si>
  <si>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</si>
  <si>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</si>
  <si>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</si>
  <si>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</si>
  <si>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</si>
  <si>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</si>
  <si>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</si>
  <si>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</si>
  <si>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</si>
  <si>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</si>
  <si>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</si>
  <si>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</si>
  <si>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</si>
  <si>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</si>
  <si>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</si>
  <si>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</si>
  <si>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</si>
  <si>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</si>
  <si>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</si>
  <si>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</si>
  <si>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</si>
  <si>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</si>
  <si>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</si>
  <si>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</si>
  <si>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</si>
  <si>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</si>
  <si>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</si>
  <si>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</si>
  <si>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</si>
  <si>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</si>
  <si>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</si>
  <si>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</si>
  <si>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</si>
  <si>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</si>
  <si>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</si>
  <si>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</si>
  <si>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</si>
  <si>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</si>
  <si>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</si>
  <si>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</si>
  <si>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</si>
  <si>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</si>
  <si>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</si>
  <si>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</si>
  <si>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</si>
  <si>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</si>
  <si>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</si>
  <si>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</si>
  <si>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</si>
  <si>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</si>
  <si>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</si>
  <si>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</si>
  <si>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</si>
  <si>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</si>
  <si>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</si>
  <si>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</si>
  <si>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</si>
  <si>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</si>
  <si>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</si>
  <si>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</si>
  <si>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</si>
  <si>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</si>
  <si>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</si>
  <si>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</si>
  <si>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</si>
  <si>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</si>
  <si>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</si>
  <si>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</si>
  <si>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</si>
  <si>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</si>
  <si>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</si>
  <si>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</si>
  <si>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</si>
  <si>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</si>
  <si>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</si>
  <si>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</si>
  <si>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</si>
  <si>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</si>
  <si>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</si>
  <si>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</si>
  <si>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</si>
  <si>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</si>
  <si>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</si>
  <si>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</si>
  <si>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</si>
  <si>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</si>
  <si>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</si>
  <si>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</si>
  <si>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</si>
  <si>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</si>
  <si>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</si>
  <si>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</si>
  <si>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</si>
  <si>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</si>
  <si>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</si>
  <si>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</si>
  <si>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</si>
  <si>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</si>
  <si>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</si>
  <si>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</si>
  <si>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</si>
  <si>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</si>
  <si>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</si>
  <si>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</si>
  <si>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</si>
  <si>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</si>
  <si>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</si>
  <si>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</si>
  <si>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</si>
  <si>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</si>
  <si>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</si>
  <si>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</si>
  <si>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</si>
  <si>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</si>
  <si>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</si>
  <si>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</si>
  <si>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</si>
  <si>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</si>
  <si>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</si>
  <si>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</si>
  <si>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</si>
  <si>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</si>
  <si>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</si>
  <si>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</si>
  <si>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</si>
  <si>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</si>
  <si>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</si>
  <si>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</si>
  <si>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</si>
  <si>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</si>
  <si>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</si>
  <si>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</si>
  <si>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</si>
  <si>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</si>
  <si>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</si>
  <si>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</si>
  <si>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</si>
  <si>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</si>
  <si>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</si>
  <si>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</si>
  <si>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</si>
  <si>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</si>
  <si>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</si>
  <si>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</si>
  <si>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</si>
  <si>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</si>
  <si>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</si>
  <si>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</si>
  <si>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</si>
  <si>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</si>
  <si>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</si>
  <si>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</si>
  <si>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</si>
  <si>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</si>
  <si>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</si>
  <si>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</si>
  <si>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</si>
  <si>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</si>
  <si>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</si>
  <si>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</si>
  <si>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</si>
  <si>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</si>
  <si>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</si>
  <si>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</si>
  <si>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</si>
  <si>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</si>
  <si>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</si>
  <si>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</si>
  <si>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</si>
  <si>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</si>
  <si>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</si>
  <si>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</si>
  <si>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</si>
  <si>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</si>
  <si>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</si>
  <si>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</si>
  <si>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</si>
  <si>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</si>
  <si>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</si>
  <si>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</si>
  <si>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</si>
  <si>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</si>
  <si>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</si>
  <si>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</si>
  <si>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</si>
  <si>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</si>
  <si>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</si>
  <si>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</si>
  <si>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</si>
  <si>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</si>
  <si>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</si>
  <si>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</si>
  <si>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</si>
  <si>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</si>
  <si>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</si>
  <si>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</si>
  <si>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</si>
  <si>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</si>
  <si>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</si>
  <si>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</si>
  <si>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</si>
  <si>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</si>
  <si>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</si>
  <si>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</si>
  <si>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</si>
  <si>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</si>
  <si>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</si>
  <si>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</si>
  <si>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</si>
  <si>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</si>
  <si>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</si>
  <si>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</si>
  <si>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</si>
  <si>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</si>
  <si>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</si>
  <si>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</si>
  <si>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</si>
  <si>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</si>
  <si>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</si>
  <si>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</si>
  <si>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</si>
  <si>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</si>
  <si>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</si>
  <si>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</si>
  <si>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</si>
  <si>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</si>
  <si>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</si>
  <si>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</si>
  <si>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</si>
  <si>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</si>
  <si>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</si>
  <si>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</si>
  <si>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</si>
  <si>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</si>
  <si>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</si>
  <si>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</si>
  <si>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</si>
  <si>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</si>
  <si>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</si>
  <si>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</si>
  <si>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</si>
  <si>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</si>
  <si>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</si>
  <si>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</si>
  <si>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</si>
  <si>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</si>
  <si>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</si>
  <si>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</si>
  <si>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</si>
  <si>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</si>
  <si>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</si>
  <si>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</si>
  <si>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</si>
  <si>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</si>
  <si>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</si>
  <si>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</si>
  <si>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</si>
  <si>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</si>
  <si>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</si>
  <si>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</si>
  <si>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</si>
  <si>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</si>
  <si>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</si>
  <si>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</si>
  <si>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</si>
  <si>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</si>
  <si>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</si>
  <si>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</si>
  <si>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</si>
  <si>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</si>
  <si>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</si>
  <si>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</si>
  <si>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</si>
  <si>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</si>
  <si>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</si>
  <si>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</si>
  <si>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</si>
  <si>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</si>
  <si>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</si>
  <si>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</si>
  <si>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</si>
  <si>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</si>
  <si>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</si>
  <si>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</si>
  <si>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</si>
  <si>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</si>
  <si>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</si>
  <si>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</si>
  <si>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</si>
  <si>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</si>
  <si>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</si>
  <si>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</si>
  <si>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</si>
  <si>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</si>
  <si>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</si>
  <si>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</si>
  <si>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</si>
  <si>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</si>
  <si>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</si>
  <si>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</si>
  <si>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</si>
  <si>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</si>
  <si>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</si>
  <si>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</si>
  <si>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</si>
  <si>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</si>
  <si>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</si>
  <si>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</si>
  <si>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</si>
  <si>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</si>
  <si>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</si>
  <si>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</si>
  <si>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</si>
  <si>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</si>
  <si>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</si>
  <si>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</si>
  <si>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</si>
  <si>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</si>
  <si>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</si>
  <si>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</si>
  <si>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</si>
  <si>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</si>
  <si>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</si>
  <si>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</si>
  <si>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</si>
  <si>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</si>
  <si>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</si>
  <si>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</si>
  <si>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</si>
  <si>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</si>
  <si>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</si>
  <si>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</si>
  <si>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</si>
  <si>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</si>
  <si>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</si>
  <si>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</si>
  <si>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</si>
  <si>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</si>
  <si>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</si>
  <si>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</si>
  <si>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</si>
  <si>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</si>
  <si>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</si>
  <si>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</si>
  <si>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</si>
  <si>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</si>
  <si>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</si>
  <si>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</si>
  <si>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</si>
  <si>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</si>
  <si>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</si>
  <si>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</si>
  <si>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</si>
  <si>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</si>
  <si>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</si>
  <si>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</si>
  <si>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</si>
  <si>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</si>
  <si>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</si>
  <si>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Pemi-Baker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</si>
</sst>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4"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428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1487638.61</v>
      </c>
      <c r="G9" s="18">
        <v>-65542.559999999998</v>
      </c>
      <c r="H9" s="18">
        <v>-82438.97</v>
      </c>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3518.63</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219703.19</v>
      </c>
      <c r="G13" s="18">
        <v>42366.37</v>
      </c>
      <c r="H13" s="18">
        <v>87970.63</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13818</v>
      </c>
      <c r="G14" s="18">
        <v>29348.05</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195828.63</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1916988.4300000002</v>
      </c>
      <c r="G19" s="41">
        <f>SUM(G9:G18)</f>
        <v>6171.8600000000042</v>
      </c>
      <c r="H19" s="41">
        <f>SUM(H9:H18)</f>
        <v>5531.6600000000035</v>
      </c>
      <c r="I19" s="41">
        <f>SUM(I9:I18)</f>
        <v>0</v>
      </c>
      <c r="J19" s="41">
        <f>SUM(J9:J18)</f>
        <v>3518.63</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98799.7</v>
      </c>
      <c r="G24" s="18"/>
      <c r="H24" s="18">
        <v>4130.1000000000004</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40144.5</v>
      </c>
      <c r="G30" s="18"/>
      <c r="H30" s="18">
        <v>1401.56</v>
      </c>
      <c r="I30" s="18">
        <v>6286.22</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138944.20000000001</v>
      </c>
      <c r="G32" s="41">
        <f>SUM(G22:G31)</f>
        <v>0</v>
      </c>
      <c r="H32" s="41">
        <f>SUM(H22:H31)</f>
        <v>5531.66</v>
      </c>
      <c r="I32" s="41">
        <f>SUM(I22:I31)</f>
        <v>6286.22</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260136.22</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6171.86</v>
      </c>
      <c r="H48" s="18">
        <v>-150</v>
      </c>
      <c r="I48" s="18">
        <v>-6286.22</v>
      </c>
      <c r="J48" s="13">
        <f>SUM(I460)</f>
        <v>3518.63</v>
      </c>
      <c r="K48" s="24" t="s">
        <v>288</v>
      </c>
      <c r="L48" s="24" t="s">
        <v>288</v>
      </c>
      <c r="M48" s="8"/>
      <c r="N48" s="264"/>
    </row>
    <row r="49" spans="1:14" s="3" customFormat="1" ht="12.2" customHeight="1" x14ac:dyDescent="0.15">
      <c r="A49" s="1" t="s">
        <v>859</v>
      </c>
      <c r="B49" s="2" t="s">
        <v>289</v>
      </c>
      <c r="C49" s="6">
        <v>34</v>
      </c>
      <c r="D49" s="2"/>
      <c r="E49" s="6">
        <v>753</v>
      </c>
      <c r="F49" s="18">
        <v>1225184.01</v>
      </c>
      <c r="G49" s="18"/>
      <c r="H49" s="18">
        <v>150</v>
      </c>
      <c r="I49" s="18"/>
      <c r="J49" s="13">
        <f>I455</f>
        <v>0</v>
      </c>
      <c r="K49" s="24"/>
      <c r="L49" s="24"/>
      <c r="M49" s="8"/>
      <c r="N49" s="264"/>
    </row>
    <row r="50" spans="1:14" s="3" customFormat="1" ht="12.2" customHeight="1" thickBot="1" x14ac:dyDescent="0.2">
      <c r="A50" s="29" t="s">
        <v>840</v>
      </c>
      <c r="B50" s="2" t="s">
        <v>289</v>
      </c>
      <c r="C50" s="71">
        <v>35</v>
      </c>
      <c r="D50" s="2" t="s">
        <v>653</v>
      </c>
      <c r="E50" s="6">
        <v>770</v>
      </c>
      <c r="F50" s="18">
        <v>292724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1778044.23</v>
      </c>
      <c r="G51" s="41">
        <f>SUM(G35:G50)</f>
        <v>6171.86</v>
      </c>
      <c r="H51" s="41">
        <f>SUM(H35:H50)</f>
        <v>0</v>
      </c>
      <c r="I51" s="41">
        <f>SUM(I35:I50)</f>
        <v>-6286.22</v>
      </c>
      <c r="J51" s="41">
        <f>SUM(J35:J50)</f>
        <v>3518.63</v>
      </c>
      <c r="K51" s="45" t="s">
        <v>288</v>
      </c>
      <c r="L51" s="45" t="s">
        <v>288</v>
      </c>
      <c r="N51" s="262"/>
    </row>
    <row r="52" spans="1:14" s="3" customFormat="1" ht="12.2" customHeight="1" thickTop="1" x14ac:dyDescent="0.15">
      <c r="A52" s="38" t="s">
        <v>455</v>
      </c>
      <c r="B52" s="39" t="s">
        <v>289</v>
      </c>
      <c r="C52" s="6">
        <v>37</v>
      </c>
      <c r="D52" s="39" t="s">
        <v>653</v>
      </c>
      <c r="E52" s="39"/>
      <c r="F52" s="41">
        <f>F51+F32</f>
        <v>1916988.43</v>
      </c>
      <c r="G52" s="41">
        <f>G51+G32</f>
        <v>6171.86</v>
      </c>
      <c r="H52" s="41">
        <f>H51+H32</f>
        <v>5531.66</v>
      </c>
      <c r="I52" s="41">
        <f>I51+I32</f>
        <v>0</v>
      </c>
      <c r="J52" s="41">
        <f>J51+J32</f>
        <v>3518.63</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10147134</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10147134</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16928.150000000001</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152095.81</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2280.92</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1667.78</v>
      </c>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172972.66</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3644.57</v>
      </c>
      <c r="G96" s="18"/>
      <c r="H96" s="18"/>
      <c r="I96" s="18"/>
      <c r="J96" s="18">
        <v>2.48</v>
      </c>
      <c r="K96" s="24" t="s">
        <v>288</v>
      </c>
      <c r="L96" s="24" t="s">
        <v>288</v>
      </c>
      <c r="M96" s="8"/>
      <c r="N96" s="264"/>
    </row>
    <row r="97" spans="1:14" s="3" customFormat="1" ht="12.2" customHeight="1" x14ac:dyDescent="0.15">
      <c r="A97" s="1" t="s">
        <v>503</v>
      </c>
      <c r="B97" s="2" t="s">
        <v>315</v>
      </c>
      <c r="C97" s="6">
        <v>12</v>
      </c>
      <c r="D97" s="2" t="s">
        <v>430</v>
      </c>
      <c r="E97" s="6">
        <v>1600</v>
      </c>
      <c r="F97" s="24" t="s">
        <v>288</v>
      </c>
      <c r="G97" s="18">
        <v>43846.46</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-874.43</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155865.5</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158635.64000000001</v>
      </c>
      <c r="G111" s="41">
        <f>SUM(G96:G110)</f>
        <v>43846.46</v>
      </c>
      <c r="H111" s="41">
        <f>SUM(H96:H110)</f>
        <v>0</v>
      </c>
      <c r="I111" s="41">
        <f>SUM(I96:I110)</f>
        <v>0</v>
      </c>
      <c r="J111" s="41">
        <f>SUM(J96:J110)</f>
        <v>2.48</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10478742.300000001</v>
      </c>
      <c r="G112" s="41">
        <f>G60+G111</f>
        <v>43846.46</v>
      </c>
      <c r="H112" s="41">
        <f>H60+H79+H94+H111</f>
        <v>0</v>
      </c>
      <c r="I112" s="41">
        <f>I60+I111</f>
        <v>0</v>
      </c>
      <c r="J112" s="41">
        <f>J60+J111</f>
        <v>2.48</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2564090.9700000002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1554258</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4118348.97</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32394.16</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15072.06</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2230.69</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27121.47</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74587.69</v>
      </c>
      <c r="G136" s="41">
        <f>SUM(G123:G135)</f>
        <v>2230.69</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4192936.66</v>
      </c>
      <c r="G140" s="41">
        <f>G121+SUM(G136:G137)</f>
        <v>2230.69</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224194.67</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16049.61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76805.929999999993</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v>23947.09</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175460.61</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51906.44</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127111.51</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18"/>
      <c r="H162" s="18">
        <v>147958.25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51906.44</v>
      </c>
      <c r="G163" s="41">
        <f>SUM(G150:G162)</f>
        <v>175460.61</v>
      </c>
      <c r="H163" s="41">
        <f>SUM(H150:H162)</f>
        <v>616067.06000000006</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51906.44</v>
      </c>
      <c r="G170" s="41">
        <f>G147+G163+SUM(G164:G169)</f>
        <v>175460.61</v>
      </c>
      <c r="H170" s="41">
        <f>H147+H163+SUM(H164:H169)</f>
        <v>616067.06000000006</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14723585.4</v>
      </c>
      <c r="G194" s="47">
        <f>G112+G140+G170+G193</f>
        <v>221537.75999999998</v>
      </c>
      <c r="H194" s="47">
        <f>H112+H140+H170+H193</f>
        <v>616067.06000000006</v>
      </c>
      <c r="I194" s="47">
        <f>I112+I140+I170+I193</f>
        <v>0</v>
      </c>
      <c r="J194" s="47">
        <f>J112+J140+J193</f>
        <v>2.48</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4"/>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4"/>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4"/>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4"/>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4"/>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2908258.57</v>
      </c>
      <c r="G234" s="18">
        <v>1742979.11</v>
      </c>
      <c r="H234" s="18">
        <v>52590.27</v>
      </c>
      <c r="I234" s="18">
        <v>77932.490000000005</v>
      </c>
      <c r="J234" s="18">
        <v>80549.38</v>
      </c>
      <c r="K234" s="18">
        <v>339.75</v>
      </c>
      <c r="L234" s="19">
        <f>SUM(F234:K234)</f>
        <v>4862649.5699999994</v>
      </c>
      <c r="M234" s="8"/>
      <c r="N234" s="264"/>
    </row>
    <row r="235" spans="1:14" s="3" customFormat="1" ht="12.2" customHeight="1" x14ac:dyDescent="0.15">
      <c r="A235" s="1" t="s">
        <v>439</v>
      </c>
      <c r="B235" s="2" t="s">
        <v>350</v>
      </c>
      <c r="C235" s="2" t="s">
        <v>291</v>
      </c>
      <c r="D235" s="2" t="s">
        <v>431</v>
      </c>
      <c r="E235" s="6">
        <v>1200</v>
      </c>
      <c r="F235" s="18">
        <v>978088.5</v>
      </c>
      <c r="G235" s="18">
        <v>562685.31000000006</v>
      </c>
      <c r="H235" s="18">
        <v>300796.15000000002</v>
      </c>
      <c r="I235" s="18">
        <v>5559.41</v>
      </c>
      <c r="J235" s="18">
        <v>590</v>
      </c>
      <c r="K235" s="18">
        <v>705</v>
      </c>
      <c r="L235" s="19">
        <f>SUM(F235:K235)</f>
        <v>1848424.3699999999</v>
      </c>
      <c r="M235" s="8"/>
      <c r="N235" s="264"/>
    </row>
    <row r="236" spans="1:14" s="3" customFormat="1" ht="12.2" customHeight="1" x14ac:dyDescent="0.15">
      <c r="A236" s="1" t="s">
        <v>440</v>
      </c>
      <c r="B236" s="2" t="s">
        <v>350</v>
      </c>
      <c r="C236" s="2" t="s">
        <v>292</v>
      </c>
      <c r="D236" s="2" t="s">
        <v>431</v>
      </c>
      <c r="E236" s="6">
        <v>1300</v>
      </c>
      <c r="F236" s="18">
        <v>472611.08</v>
      </c>
      <c r="G236" s="18">
        <v>230536.97</v>
      </c>
      <c r="H236" s="18">
        <v>1946.07</v>
      </c>
      <c r="I236" s="18">
        <v>27799.37</v>
      </c>
      <c r="J236" s="18">
        <v>6463.98</v>
      </c>
      <c r="K236" s="18">
        <v>516</v>
      </c>
      <c r="L236" s="19">
        <f>SUM(F236:K236)</f>
        <v>739873.47</v>
      </c>
      <c r="M236" s="8"/>
      <c r="N236" s="264"/>
    </row>
    <row r="237" spans="1:14" s="3" customFormat="1" ht="12.2" customHeight="1" x14ac:dyDescent="0.15">
      <c r="A237" s="1" t="s">
        <v>441</v>
      </c>
      <c r="B237" s="2" t="s">
        <v>350</v>
      </c>
      <c r="C237" s="2" t="s">
        <v>293</v>
      </c>
      <c r="D237" s="2" t="s">
        <v>431</v>
      </c>
      <c r="E237" s="6">
        <v>1400</v>
      </c>
      <c r="F237" s="18">
        <v>264251.31</v>
      </c>
      <c r="G237" s="18">
        <v>49684.05</v>
      </c>
      <c r="H237" s="18">
        <v>108128.57</v>
      </c>
      <c r="I237" s="18">
        <v>38751.870000000003</v>
      </c>
      <c r="J237" s="18">
        <v>15393.35</v>
      </c>
      <c r="K237" s="18">
        <v>9920</v>
      </c>
      <c r="L237" s="19">
        <f>SUM(F237:K237)</f>
        <v>486129.14999999997</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640147.56999999995</v>
      </c>
      <c r="G239" s="18">
        <v>320748.14</v>
      </c>
      <c r="H239" s="18">
        <v>181608.79</v>
      </c>
      <c r="I239" s="18">
        <v>5872.1</v>
      </c>
      <c r="J239" s="18">
        <v>608.29</v>
      </c>
      <c r="K239" s="18">
        <v>1453</v>
      </c>
      <c r="L239" s="19">
        <f t="shared" ref="L239:L245" si="4">SUM(F239:K239)</f>
        <v>1150437.8900000001</v>
      </c>
      <c r="M239" s="8"/>
      <c r="N239" s="264"/>
    </row>
    <row r="240" spans="1:14" s="3" customFormat="1" ht="12.2" customHeight="1" x14ac:dyDescent="0.15">
      <c r="A240" s="1" t="s">
        <v>443</v>
      </c>
      <c r="B240" s="2" t="s">
        <v>350</v>
      </c>
      <c r="C240" s="2" t="s">
        <v>295</v>
      </c>
      <c r="D240" s="2" t="s">
        <v>431</v>
      </c>
      <c r="E240" s="6">
        <v>2200</v>
      </c>
      <c r="F240" s="18">
        <v>87624.52</v>
      </c>
      <c r="G240" s="18">
        <v>66520.070000000007</v>
      </c>
      <c r="H240" s="18">
        <v>42.5</v>
      </c>
      <c r="I240" s="18">
        <v>30156.04</v>
      </c>
      <c r="J240" s="18">
        <v>1102.31</v>
      </c>
      <c r="K240" s="18"/>
      <c r="L240" s="19">
        <f t="shared" si="4"/>
        <v>185445.44000000003</v>
      </c>
      <c r="M240" s="8"/>
      <c r="N240" s="264"/>
    </row>
    <row r="241" spans="1:14" s="3" customFormat="1" ht="12.2" customHeight="1" x14ac:dyDescent="0.15">
      <c r="A241" s="1" t="s">
        <v>444</v>
      </c>
      <c r="B241" s="2" t="s">
        <v>350</v>
      </c>
      <c r="C241" s="2" t="s">
        <v>296</v>
      </c>
      <c r="D241" s="2" t="s">
        <v>431</v>
      </c>
      <c r="E241" s="6">
        <v>2300</v>
      </c>
      <c r="F241" s="18">
        <v>271016.2</v>
      </c>
      <c r="G241" s="18">
        <v>169919.31</v>
      </c>
      <c r="H241" s="18">
        <v>554501.26</v>
      </c>
      <c r="I241" s="18">
        <v>3443.5</v>
      </c>
      <c r="J241" s="18"/>
      <c r="K241" s="18">
        <v>4158.9799999999996</v>
      </c>
      <c r="L241" s="19">
        <f t="shared" si="4"/>
        <v>1003039.25</v>
      </c>
      <c r="M241" s="8"/>
      <c r="N241" s="264"/>
    </row>
    <row r="242" spans="1:14" s="3" customFormat="1" ht="12.2" customHeight="1" x14ac:dyDescent="0.15">
      <c r="A242" s="1" t="s">
        <v>445</v>
      </c>
      <c r="B242" s="2" t="s">
        <v>350</v>
      </c>
      <c r="C242" s="2" t="s">
        <v>297</v>
      </c>
      <c r="D242" s="2" t="s">
        <v>431</v>
      </c>
      <c r="E242" s="6">
        <v>2400</v>
      </c>
      <c r="F242" s="18">
        <v>365697.48</v>
      </c>
      <c r="G242" s="18">
        <v>214001.96</v>
      </c>
      <c r="H242" s="18">
        <v>8944.4599999999991</v>
      </c>
      <c r="I242" s="18">
        <v>2460.23</v>
      </c>
      <c r="J242" s="18"/>
      <c r="K242" s="18">
        <v>22747.040000000001</v>
      </c>
      <c r="L242" s="19">
        <f t="shared" si="4"/>
        <v>613851.16999999993</v>
      </c>
      <c r="M242" s="8"/>
      <c r="N242" s="264"/>
    </row>
    <row r="243" spans="1:14" s="3" customFormat="1" ht="12.2" customHeight="1" x14ac:dyDescent="0.15">
      <c r="A243" s="1" t="s">
        <v>446</v>
      </c>
      <c r="B243" s="2" t="s">
        <v>350</v>
      </c>
      <c r="C243" s="2" t="s">
        <v>298</v>
      </c>
      <c r="D243" s="2" t="s">
        <v>431</v>
      </c>
      <c r="E243" s="6">
        <v>2500</v>
      </c>
      <c r="F243" s="18"/>
      <c r="G243" s="18"/>
      <c r="H243" s="18">
        <v>3350.79</v>
      </c>
      <c r="I243" s="18"/>
      <c r="J243" s="18"/>
      <c r="K243" s="18"/>
      <c r="L243" s="19">
        <f t="shared" si="4"/>
        <v>3350.79</v>
      </c>
      <c r="M243" s="8"/>
      <c r="N243" s="264"/>
    </row>
    <row r="244" spans="1:14" s="3" customFormat="1" ht="12.2" customHeight="1" x14ac:dyDescent="0.15">
      <c r="A244" s="1" t="s">
        <v>447</v>
      </c>
      <c r="B244" s="2" t="s">
        <v>350</v>
      </c>
      <c r="C244" s="2" t="s">
        <v>299</v>
      </c>
      <c r="D244" s="2" t="s">
        <v>431</v>
      </c>
      <c r="E244" s="6">
        <v>2600</v>
      </c>
      <c r="F244" s="18">
        <v>509888.72</v>
      </c>
      <c r="G244" s="18">
        <v>197054.7</v>
      </c>
      <c r="H244" s="18">
        <v>428622.39</v>
      </c>
      <c r="I244" s="18">
        <v>288891.39</v>
      </c>
      <c r="J244" s="18">
        <v>62497.45</v>
      </c>
      <c r="K244" s="18"/>
      <c r="L244" s="19">
        <f t="shared" si="4"/>
        <v>1486954.6500000001</v>
      </c>
      <c r="M244" s="8"/>
      <c r="N244" s="264"/>
    </row>
    <row r="245" spans="1:14" s="3" customFormat="1" ht="12.2" customHeight="1" x14ac:dyDescent="0.15">
      <c r="A245" s="1" t="s">
        <v>448</v>
      </c>
      <c r="B245" s="2" t="s">
        <v>350</v>
      </c>
      <c r="C245" s="2" t="s">
        <v>300</v>
      </c>
      <c r="D245" s="2" t="s">
        <v>431</v>
      </c>
      <c r="E245" s="6">
        <v>2700</v>
      </c>
      <c r="F245" s="18"/>
      <c r="G245" s="18"/>
      <c r="H245" s="18">
        <v>558229.98</v>
      </c>
      <c r="I245" s="18"/>
      <c r="J245" s="18"/>
      <c r="K245" s="18"/>
      <c r="L245" s="19">
        <f t="shared" si="4"/>
        <v>558229.98</v>
      </c>
      <c r="M245" s="8"/>
      <c r="N245" s="264"/>
    </row>
    <row r="246" spans="1:14" s="3" customFormat="1" ht="12.2" customHeight="1" x14ac:dyDescent="0.15">
      <c r="A246" s="1" t="s">
        <v>449</v>
      </c>
      <c r="B246" s="2" t="s">
        <v>350</v>
      </c>
      <c r="C246" s="2" t="s">
        <v>343</v>
      </c>
      <c r="D246" s="2" t="s">
        <v>431</v>
      </c>
      <c r="E246" s="6">
        <v>2800</v>
      </c>
      <c r="F246" s="18"/>
      <c r="G246" s="18"/>
      <c r="H246" s="18">
        <v>56473</v>
      </c>
      <c r="I246" s="18"/>
      <c r="J246" s="18"/>
      <c r="K246" s="18"/>
      <c r="L246" s="19">
        <f>SUM(F246:K246)</f>
        <v>56473</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6497583.9499999983</v>
      </c>
      <c r="G248" s="41">
        <f t="shared" si="5"/>
        <v>3554129.62</v>
      </c>
      <c r="H248" s="41">
        <f t="shared" si="5"/>
        <v>2255234.23</v>
      </c>
      <c r="I248" s="41">
        <f t="shared" si="5"/>
        <v>480866.4</v>
      </c>
      <c r="J248" s="41">
        <f t="shared" si="5"/>
        <v>167204.76</v>
      </c>
      <c r="K248" s="41">
        <f t="shared" si="5"/>
        <v>39839.770000000004</v>
      </c>
      <c r="L248" s="41">
        <f t="shared" si="5"/>
        <v>12994858.729999999</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431070.32</v>
      </c>
      <c r="I256" s="18"/>
      <c r="J256" s="18"/>
      <c r="K256" s="18"/>
      <c r="L256" s="19">
        <f t="shared" si="6"/>
        <v>431070.32</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431070.32</v>
      </c>
      <c r="I257" s="41">
        <f t="shared" si="7"/>
        <v>0</v>
      </c>
      <c r="J257" s="41">
        <f t="shared" si="7"/>
        <v>0</v>
      </c>
      <c r="K257" s="41">
        <f t="shared" si="7"/>
        <v>0</v>
      </c>
      <c r="L257" s="41">
        <f>SUM(F257:K257)</f>
        <v>431070.32</v>
      </c>
      <c r="M257" s="8"/>
      <c r="N257" s="264"/>
    </row>
    <row r="258" spans="1:14" s="3" customFormat="1" ht="12.2" customHeight="1" thickTop="1" x14ac:dyDescent="0.15">
      <c r="A258" s="38" t="s">
        <v>462</v>
      </c>
      <c r="B258" s="40">
        <v>10</v>
      </c>
      <c r="C258" s="40">
        <v>8</v>
      </c>
      <c r="D258" s="39" t="s">
        <v>431</v>
      </c>
      <c r="E258" s="40"/>
      <c r="F258" s="41">
        <f t="shared" ref="F258:L258" si="8">F212+F230+F248+F257</f>
        <v>6497583.9499999983</v>
      </c>
      <c r="G258" s="41">
        <f t="shared" si="8"/>
        <v>3554129.62</v>
      </c>
      <c r="H258" s="41">
        <f t="shared" si="8"/>
        <v>2686304.55</v>
      </c>
      <c r="I258" s="41">
        <f t="shared" si="8"/>
        <v>480866.4</v>
      </c>
      <c r="J258" s="41">
        <f t="shared" si="8"/>
        <v>167204.76</v>
      </c>
      <c r="K258" s="41">
        <f t="shared" si="8"/>
        <v>39839.770000000004</v>
      </c>
      <c r="L258" s="41">
        <f t="shared" si="8"/>
        <v>13425929.049999999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475589.97</v>
      </c>
      <c r="L261" s="19">
        <f>SUM(F261:K261)</f>
        <v>475589.97</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126217.26</v>
      </c>
      <c r="L262" s="19">
        <f>SUM(F262:K262)</f>
        <v>126217.26</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601807.23</v>
      </c>
      <c r="L271" s="41">
        <f t="shared" si="9"/>
        <v>601807.23</v>
      </c>
      <c r="M271" s="8"/>
      <c r="N271" s="264"/>
    </row>
    <row r="272" spans="1:14" s="34" customFormat="1" ht="12.2" customHeight="1" thickTop="1" x14ac:dyDescent="0.2">
      <c r="A272" s="43" t="s">
        <v>464</v>
      </c>
      <c r="B272" s="40">
        <v>10</v>
      </c>
      <c r="C272" s="40">
        <v>18</v>
      </c>
      <c r="D272" s="39" t="s">
        <v>431</v>
      </c>
      <c r="E272" s="40"/>
      <c r="F272" s="42">
        <f t="shared" ref="F272:L272" si="11">F258+F271</f>
        <v>6497583.9499999983</v>
      </c>
      <c r="G272" s="42">
        <f t="shared" si="11"/>
        <v>3554129.62</v>
      </c>
      <c r="H272" s="42">
        <f t="shared" si="11"/>
        <v>2686304.55</v>
      </c>
      <c r="I272" s="42">
        <f t="shared" si="11"/>
        <v>480866.4</v>
      </c>
      <c r="J272" s="42">
        <f t="shared" si="11"/>
        <v>167204.76</v>
      </c>
      <c r="K272" s="42">
        <f t="shared" si="11"/>
        <v>641647</v>
      </c>
      <c r="L272" s="42">
        <f t="shared" si="11"/>
        <v>14027736.279999999</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4"/>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112195.69</v>
      </c>
      <c r="G315" s="18">
        <v>57455.360000000001</v>
      </c>
      <c r="H315" s="18">
        <v>5735.19</v>
      </c>
      <c r="I315" s="18">
        <v>195544.64</v>
      </c>
      <c r="J315" s="18">
        <v>14947.04</v>
      </c>
      <c r="K315" s="18"/>
      <c r="L315" s="19">
        <f>SUM(F315:K315)</f>
        <v>385877.92</v>
      </c>
      <c r="M315" s="8"/>
      <c r="N315" s="264"/>
    </row>
    <row r="316" spans="1:14" s="3" customFormat="1" ht="12.2" customHeight="1" x14ac:dyDescent="0.15">
      <c r="A316" s="1" t="s">
        <v>439</v>
      </c>
      <c r="B316" s="2" t="s">
        <v>359</v>
      </c>
      <c r="C316" s="2" t="s">
        <v>291</v>
      </c>
      <c r="D316" s="2" t="s">
        <v>431</v>
      </c>
      <c r="E316" s="6">
        <v>1200</v>
      </c>
      <c r="F316" s="18">
        <v>28527.599999999999</v>
      </c>
      <c r="G316" s="18">
        <v>4881.3</v>
      </c>
      <c r="H316" s="18"/>
      <c r="I316" s="18"/>
      <c r="J316" s="18"/>
      <c r="K316" s="18"/>
      <c r="L316" s="19">
        <f>SUM(F316:K316)</f>
        <v>33408.9</v>
      </c>
      <c r="M316" s="8"/>
      <c r="N316" s="264"/>
    </row>
    <row r="317" spans="1:14" s="3" customFormat="1" ht="12.2" customHeight="1" x14ac:dyDescent="0.15">
      <c r="A317" s="1" t="s">
        <v>440</v>
      </c>
      <c r="B317" s="2" t="s">
        <v>359</v>
      </c>
      <c r="C317" s="2" t="s">
        <v>292</v>
      </c>
      <c r="D317" s="2" t="s">
        <v>431</v>
      </c>
      <c r="E317" s="6">
        <v>1300</v>
      </c>
      <c r="F317" s="18"/>
      <c r="G317" s="18"/>
      <c r="H317" s="18">
        <v>21685</v>
      </c>
      <c r="I317" s="18">
        <v>10622.48</v>
      </c>
      <c r="J317" s="18">
        <v>35930</v>
      </c>
      <c r="K317" s="18">
        <v>8568.4500000000007</v>
      </c>
      <c r="L317" s="19">
        <f>SUM(F317:K317)</f>
        <v>76805.929999999993</v>
      </c>
      <c r="M317" s="8"/>
      <c r="N317" s="264"/>
    </row>
    <row r="318" spans="1:14" s="3" customFormat="1" ht="12.2" customHeight="1" x14ac:dyDescent="0.15">
      <c r="A318" s="1" t="s">
        <v>441</v>
      </c>
      <c r="B318" s="2" t="s">
        <v>359</v>
      </c>
      <c r="C318" s="2" t="s">
        <v>293</v>
      </c>
      <c r="D318" s="2" t="s">
        <v>431</v>
      </c>
      <c r="E318" s="6">
        <v>1400</v>
      </c>
      <c r="F318" s="18">
        <v>21237.5</v>
      </c>
      <c r="G318" s="18">
        <v>4332.67</v>
      </c>
      <c r="H318" s="18"/>
      <c r="I318" s="18">
        <v>3856.75</v>
      </c>
      <c r="J318" s="18"/>
      <c r="K318" s="18"/>
      <c r="L318" s="19">
        <f>SUM(F318:K318)</f>
        <v>29426.92</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20752.189999999999</v>
      </c>
      <c r="G320" s="18">
        <v>4411.54</v>
      </c>
      <c r="H320" s="18">
        <v>3500</v>
      </c>
      <c r="I320" s="18">
        <v>24586.48</v>
      </c>
      <c r="J320" s="18"/>
      <c r="K320" s="18"/>
      <c r="L320" s="19">
        <f t="shared" ref="L320:L326" si="16">SUM(F320:K320)</f>
        <v>53250.21</v>
      </c>
      <c r="M320" s="8"/>
      <c r="N320" s="264"/>
    </row>
    <row r="321" spans="1:14" s="3" customFormat="1" ht="12.2" customHeight="1" x14ac:dyDescent="0.15">
      <c r="A321" s="1" t="s">
        <v>443</v>
      </c>
      <c r="B321" s="2" t="s">
        <v>359</v>
      </c>
      <c r="C321" s="2" t="s">
        <v>295</v>
      </c>
      <c r="D321" s="2" t="s">
        <v>431</v>
      </c>
      <c r="E321" s="6">
        <v>2200</v>
      </c>
      <c r="F321" s="18"/>
      <c r="G321" s="18"/>
      <c r="H321" s="18">
        <v>4644</v>
      </c>
      <c r="I321" s="18"/>
      <c r="J321" s="18"/>
      <c r="K321" s="18"/>
      <c r="L321" s="19">
        <f t="shared" si="16"/>
        <v>4644</v>
      </c>
      <c r="M321" s="8"/>
      <c r="N321" s="264"/>
    </row>
    <row r="322" spans="1:14" s="3" customFormat="1" ht="12.2" customHeight="1" x14ac:dyDescent="0.15">
      <c r="A322" s="1" t="s">
        <v>444</v>
      </c>
      <c r="B322" s="2" t="s">
        <v>359</v>
      </c>
      <c r="C322" s="2" t="s">
        <v>296</v>
      </c>
      <c r="D322" s="2" t="s">
        <v>431</v>
      </c>
      <c r="E322" s="6">
        <v>2300</v>
      </c>
      <c r="F322" s="18">
        <v>7000</v>
      </c>
      <c r="G322" s="18"/>
      <c r="H322" s="18"/>
      <c r="I322" s="18">
        <v>5925</v>
      </c>
      <c r="J322" s="18"/>
      <c r="K322" s="18">
        <v>1360.25</v>
      </c>
      <c r="L322" s="19">
        <f t="shared" si="16"/>
        <v>14285.25</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v>18367.93</v>
      </c>
      <c r="L324" s="19">
        <f t="shared" si="16"/>
        <v>18367.93</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189712.98</v>
      </c>
      <c r="G329" s="42">
        <f t="shared" si="17"/>
        <v>71080.87</v>
      </c>
      <c r="H329" s="42">
        <f t="shared" si="17"/>
        <v>35564.19</v>
      </c>
      <c r="I329" s="42">
        <f t="shared" si="17"/>
        <v>240535.35000000003</v>
      </c>
      <c r="J329" s="42">
        <f t="shared" si="17"/>
        <v>50877.04</v>
      </c>
      <c r="K329" s="42">
        <f t="shared" si="17"/>
        <v>28296.63</v>
      </c>
      <c r="L329" s="41">
        <f t="shared" si="17"/>
        <v>616067.06000000006</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189712.98</v>
      </c>
      <c r="G339" s="41">
        <f t="shared" si="20"/>
        <v>71080.87</v>
      </c>
      <c r="H339" s="41">
        <f t="shared" si="20"/>
        <v>35564.19</v>
      </c>
      <c r="I339" s="41">
        <f t="shared" si="20"/>
        <v>240535.35000000003</v>
      </c>
      <c r="J339" s="41">
        <f t="shared" si="20"/>
        <v>50877.04</v>
      </c>
      <c r="K339" s="41">
        <f t="shared" si="20"/>
        <v>28296.63</v>
      </c>
      <c r="L339" s="41">
        <f t="shared" si="20"/>
        <v>616067.06000000006</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189712.98</v>
      </c>
      <c r="G353" s="41">
        <f>G339</f>
        <v>71080.87</v>
      </c>
      <c r="H353" s="41">
        <f>H339</f>
        <v>35564.19</v>
      </c>
      <c r="I353" s="41">
        <f>I339</f>
        <v>240535.35000000003</v>
      </c>
      <c r="J353" s="41">
        <f>J339</f>
        <v>50877.04</v>
      </c>
      <c r="K353" s="47">
        <f>K339+K352</f>
        <v>28296.63</v>
      </c>
      <c r="L353" s="41">
        <f>L339+L352</f>
        <v>616067.06000000006</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v>216232.58</v>
      </c>
      <c r="I361" s="18"/>
      <c r="J361" s="18"/>
      <c r="K361" s="18"/>
      <c r="L361" s="19">
        <f>SUM(F361:K361)</f>
        <v>216232.58</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216232.58</v>
      </c>
      <c r="I363" s="47">
        <f t="shared" si="22"/>
        <v>0</v>
      </c>
      <c r="J363" s="47">
        <f t="shared" si="22"/>
        <v>0</v>
      </c>
      <c r="K363" s="47">
        <f t="shared" si="22"/>
        <v>0</v>
      </c>
      <c r="L363" s="47">
        <f t="shared" si="22"/>
        <v>216232.58</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v>1.22</v>
      </c>
      <c r="I390" s="18"/>
      <c r="J390" s="24" t="s">
        <v>288</v>
      </c>
      <c r="K390" s="24" t="s">
        <v>288</v>
      </c>
      <c r="L390" s="56">
        <f t="shared" si="25"/>
        <v>1.22</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1.22</v>
      </c>
      <c r="I394" s="65">
        <f>SUM(I388:I393)</f>
        <v>0</v>
      </c>
      <c r="J394" s="45" t="s">
        <v>288</v>
      </c>
      <c r="K394" s="45" t="s">
        <v>288</v>
      </c>
      <c r="L394" s="47">
        <f>SUM(L388:L393)</f>
        <v>1.22</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v>1.26</v>
      </c>
      <c r="I398" s="18"/>
      <c r="J398" s="24" t="s">
        <v>288</v>
      </c>
      <c r="K398" s="24" t="s">
        <v>288</v>
      </c>
      <c r="L398" s="56">
        <f t="shared" si="26"/>
        <v>1.26</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1.26</v>
      </c>
      <c r="I402" s="47">
        <f>SUM(I396:I401)</f>
        <v>0</v>
      </c>
      <c r="J402" s="45" t="s">
        <v>288</v>
      </c>
      <c r="K402" s="45" t="s">
        <v>288</v>
      </c>
      <c r="L402" s="47">
        <f>SUM(L396:L401)</f>
        <v>1.26</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2.48</v>
      </c>
      <c r="I409" s="47">
        <f>I394+I402+I408</f>
        <v>0</v>
      </c>
      <c r="J409" s="24" t="s">
        <v>288</v>
      </c>
      <c r="K409" s="24" t="s">
        <v>288</v>
      </c>
      <c r="L409" s="47">
        <f>L394+L402+L408</f>
        <v>2.48</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3518.63</v>
      </c>
      <c r="G441" s="18"/>
      <c r="H441" s="18"/>
      <c r="I441" s="56">
        <f t="shared" si="33"/>
        <v>3518.63</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3518.63</v>
      </c>
      <c r="G447" s="13">
        <f>SUM(G440:G446)</f>
        <v>0</v>
      </c>
      <c r="H447" s="13">
        <f>SUM(H440:H446)</f>
        <v>0</v>
      </c>
      <c r="I447" s="13">
        <f>SUM(I440:I446)</f>
        <v>3518.63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3518.63</v>
      </c>
      <c r="G460" s="18"/>
      <c r="H460" s="18"/>
      <c r="I460" s="56">
        <f t="shared" si="34"/>
        <v>3518.63</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3518.63</v>
      </c>
      <c r="G461" s="83">
        <f>SUM(G455:G460)</f>
        <v>0</v>
      </c>
      <c r="H461" s="83">
        <f>SUM(H455:H460)</f>
        <v>0</v>
      </c>
      <c r="I461" s="83">
        <f>SUM(I455:I460)</f>
        <v>3518.63</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3518.63</v>
      </c>
      <c r="G462" s="42">
        <f>G453+G461</f>
        <v>0</v>
      </c>
      <c r="H462" s="42">
        <f>H453+H461</f>
        <v>0</v>
      </c>
      <c r="I462" s="42">
        <f>I453+I461</f>
        <v>3518.63</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1082195.1100000001</v>
      </c>
      <c r="G466" s="18">
        <v>866.68</v>
      </c>
      <c r="H466" s="18">
        <v>0</v>
      </c>
      <c r="I466" s="18">
        <v>-6286.22</v>
      </c>
      <c r="J466" s="18">
        <v>3516.15</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14723585.4</v>
      </c>
      <c r="G469" s="18">
        <v>221537.76</v>
      </c>
      <c r="H469" s="18">
        <v>616067.06000000006</v>
      </c>
      <c r="I469" s="18">
        <v>0</v>
      </c>
      <c r="J469" s="18">
        <v>2.48</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14723585.4</v>
      </c>
      <c r="G471" s="53">
        <f>SUM(G469:G470)</f>
        <v>221537.76</v>
      </c>
      <c r="H471" s="53">
        <f>SUM(H469:H470)</f>
        <v>616067.06000000006</v>
      </c>
      <c r="I471" s="53">
        <f>SUM(I469:I470)</f>
        <v>0</v>
      </c>
      <c r="J471" s="53">
        <f>SUM(J469:J470)</f>
        <v>2.48</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14027736.279999999</v>
      </c>
      <c r="G473" s="18">
        <v>216232.58</v>
      </c>
      <c r="H473" s="18">
        <v>616067.06000000006</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14027736.279999999</v>
      </c>
      <c r="G475" s="53">
        <f>SUM(G473:G474)</f>
        <v>216232.58</v>
      </c>
      <c r="H475" s="53">
        <f>SUM(H473:H474)</f>
        <v>616067.06000000006</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1778044.2300000004</v>
      </c>
      <c r="G477" s="53">
        <f>(G466+G471)- G475</f>
        <v>6171.8600000000151</v>
      </c>
      <c r="H477" s="53">
        <f>(H466+H471)- H475</f>
        <v>0</v>
      </c>
      <c r="I477" s="53">
        <f>(I466+I471)- I475</f>
        <v>-6286.22</v>
      </c>
      <c r="J477" s="53">
        <f>(J466+J471)- J475</f>
        <v>3518.63</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v>978088.5</v>
      </c>
      <c r="G524" s="18">
        <v>562685.31000000006</v>
      </c>
      <c r="H524" s="18">
        <v>300796.15000000002</v>
      </c>
      <c r="I524" s="18">
        <v>5559.41</v>
      </c>
      <c r="J524" s="18">
        <v>705</v>
      </c>
      <c r="K524" s="18"/>
      <c r="L524" s="88">
        <f>SUM(F524:K524)</f>
        <v>1847834.3699999999</v>
      </c>
      <c r="N524" s="263"/>
    </row>
    <row r="525" spans="1:14" s="52" customFormat="1" ht="12.2" customHeight="1" thickTop="1" x14ac:dyDescent="0.2">
      <c r="A525" s="139" t="s">
        <v>63</v>
      </c>
      <c r="B525" s="107">
        <v>21</v>
      </c>
      <c r="C525" s="195">
        <v>4</v>
      </c>
      <c r="D525" s="196" t="s">
        <v>432</v>
      </c>
      <c r="E525" s="195"/>
      <c r="F525" s="108">
        <f>SUM(F522:F524)</f>
        <v>978088.5</v>
      </c>
      <c r="G525" s="108">
        <f t="shared" ref="G525:L525" si="36">SUM(G522:G524)</f>
        <v>562685.31000000006</v>
      </c>
      <c r="H525" s="108">
        <f t="shared" si="36"/>
        <v>300796.15000000002</v>
      </c>
      <c r="I525" s="108">
        <f t="shared" si="36"/>
        <v>5559.41</v>
      </c>
      <c r="J525" s="108">
        <f t="shared" si="36"/>
        <v>705</v>
      </c>
      <c r="K525" s="108">
        <f t="shared" si="36"/>
        <v>0</v>
      </c>
      <c r="L525" s="89">
        <f t="shared" si="36"/>
        <v>1847834.3699999999</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v>37498.160000000003</v>
      </c>
      <c r="G534" s="18">
        <v>10941.79</v>
      </c>
      <c r="H534" s="18"/>
      <c r="I534" s="18"/>
      <c r="J534" s="18"/>
      <c r="K534" s="18"/>
      <c r="L534" s="88">
        <f>SUM(F534:K534)</f>
        <v>48439.950000000004</v>
      </c>
      <c r="M534" s="8"/>
      <c r="N534" s="264"/>
    </row>
    <row r="535" spans="1:14" s="3" customFormat="1" ht="12.2" customHeight="1" thickTop="1" x14ac:dyDescent="0.15">
      <c r="A535" s="139" t="s">
        <v>67</v>
      </c>
      <c r="B535" s="107">
        <v>21</v>
      </c>
      <c r="C535" s="107">
        <v>12</v>
      </c>
      <c r="D535" s="158" t="s">
        <v>432</v>
      </c>
      <c r="E535" s="107"/>
      <c r="F535" s="89">
        <f>SUM(F532:F534)</f>
        <v>37498.160000000003</v>
      </c>
      <c r="G535" s="89">
        <f t="shared" ref="G535:L535" si="38">SUM(G532:G534)</f>
        <v>10941.79</v>
      </c>
      <c r="H535" s="89">
        <f t="shared" si="38"/>
        <v>0</v>
      </c>
      <c r="I535" s="89">
        <f t="shared" si="38"/>
        <v>0</v>
      </c>
      <c r="J535" s="89">
        <f t="shared" si="38"/>
        <v>0</v>
      </c>
      <c r="K535" s="89">
        <f t="shared" si="38"/>
        <v>0</v>
      </c>
      <c r="L535" s="89">
        <f t="shared" si="38"/>
        <v>48439.950000000004</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71819.259999999995</v>
      </c>
      <c r="I544" s="18"/>
      <c r="J544" s="18"/>
      <c r="K544" s="18"/>
      <c r="L544" s="88">
        <f>SUM(F544:K544)</f>
        <v>71819.259999999995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71819.259999999995</v>
      </c>
      <c r="I545" s="193">
        <f t="shared" si="40"/>
        <v>0</v>
      </c>
      <c r="J545" s="193">
        <f t="shared" si="40"/>
        <v>0</v>
      </c>
      <c r="K545" s="193">
        <f t="shared" si="40"/>
        <v>0</v>
      </c>
      <c r="L545" s="193">
        <f t="shared" si="40"/>
        <v>71819.259999999995</v>
      </c>
      <c r="M545" s="8"/>
      <c r="N545" s="264"/>
    </row>
    <row r="546" spans="1:14" s="3" customFormat="1" ht="12.2" customHeight="1" thickTop="1" x14ac:dyDescent="0.15">
      <c r="A546" s="98" t="s">
        <v>72</v>
      </c>
      <c r="B546" s="107">
        <v>21</v>
      </c>
      <c r="C546" s="107">
        <v>21</v>
      </c>
      <c r="D546" s="158" t="s">
        <v>432</v>
      </c>
      <c r="E546" s="107"/>
      <c r="F546" s="89">
        <f>F525+F530+F535+F540+F545</f>
        <v>1015586.66</v>
      </c>
      <c r="G546" s="89">
        <f t="shared" ref="G546:L546" si="41">G525+G530+G535+G540+G545</f>
        <v>573627.10000000009</v>
      </c>
      <c r="H546" s="89">
        <f t="shared" si="41"/>
        <v>372615.41000000003</v>
      </c>
      <c r="I546" s="89">
        <f t="shared" si="41"/>
        <v>5559.41</v>
      </c>
      <c r="J546" s="89">
        <f t="shared" si="41"/>
        <v>705</v>
      </c>
      <c r="K546" s="89">
        <f t="shared" si="41"/>
        <v>0</v>
      </c>
      <c r="L546" s="89">
        <f t="shared" si="41"/>
        <v>1968093.5799999998</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1847834.3699999999</v>
      </c>
      <c r="G552" s="87">
        <f>L529</f>
        <v>0</v>
      </c>
      <c r="H552" s="87">
        <f>L534</f>
        <v>48439.950000000004</v>
      </c>
      <c r="I552" s="87">
        <f>L539</f>
        <v>0</v>
      </c>
      <c r="J552" s="87">
        <f>L544</f>
        <v>71819.259999999995</v>
      </c>
      <c r="K552" s="87">
        <f>SUM(F552:J552)</f>
        <v>1968093.5799999998</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1847834.3699999999</v>
      </c>
      <c r="G553" s="89">
        <f t="shared" si="42"/>
        <v>0</v>
      </c>
      <c r="H553" s="89">
        <f t="shared" si="42"/>
        <v>48439.950000000004</v>
      </c>
      <c r="I553" s="89">
        <f t="shared" si="42"/>
        <v>0</v>
      </c>
      <c r="J553" s="89">
        <f t="shared" si="42"/>
        <v>71819.259999999995</v>
      </c>
      <c r="K553" s="89">
        <f t="shared" si="42"/>
        <v>1968093.5799999998</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4"/>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v>117751.81</v>
      </c>
      <c r="I583" s="87">
        <f>SUM(F583:H583)</f>
        <v>117751.81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c r="I592" s="18"/>
      <c r="J592" s="18">
        <v>414712.76</v>
      </c>
      <c r="K592" s="104">
        <f t="shared" ref="K592:K598" si="48">SUM(H592:J592)</f>
        <v>414712.76</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c r="J593" s="18">
        <v>71819.259999999995</v>
      </c>
      <c r="K593" s="104">
        <f t="shared" si="48"/>
        <v>71819.259999999995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v>71499.91</v>
      </c>
      <c r="K595" s="104">
        <f t="shared" si="48"/>
        <v>71499.91</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v>198.05</v>
      </c>
      <c r="K596" s="104">
        <f t="shared" si="48"/>
        <v>198.05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0</v>
      </c>
      <c r="J599" s="108">
        <f>SUM(J592:J598)</f>
        <v>558229.9800000001</v>
      </c>
      <c r="K599" s="108">
        <f>SUM(K592:K598)</f>
        <v>558229.9800000001</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c r="I605" s="18"/>
      <c r="J605" s="18">
        <v>218081.8</v>
      </c>
      <c r="K605" s="104">
        <f>SUM(H605:J605)</f>
        <v>218081.8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218081.8</v>
      </c>
      <c r="K606" s="108">
        <f>SUM(K603:K605)</f>
        <v>218081.8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v>21237.5</v>
      </c>
      <c r="G614" s="18">
        <v>4332.67</v>
      </c>
      <c r="H614" s="18"/>
      <c r="I614" s="18">
        <v>8047.82</v>
      </c>
      <c r="J614" s="18"/>
      <c r="K614" s="18"/>
      <c r="L614" s="88">
        <f>SUM(F614:K614)</f>
        <v>33617.99</v>
      </c>
      <c r="M614" s="8"/>
      <c r="N614" s="264"/>
    </row>
    <row r="615" spans="1:14" s="3" customFormat="1" ht="12.2" customHeight="1" thickTop="1" x14ac:dyDescent="0.15">
      <c r="A615" s="98" t="s">
        <v>340</v>
      </c>
      <c r="B615" s="107">
        <v>23</v>
      </c>
      <c r="C615" s="107">
        <v>16</v>
      </c>
      <c r="D615" s="39" t="s">
        <v>432</v>
      </c>
      <c r="E615" s="107"/>
      <c r="F615" s="108">
        <f t="shared" ref="F615:L615" si="49">SUM(F612:F614)</f>
        <v>21237.5</v>
      </c>
      <c r="G615" s="108">
        <f t="shared" si="49"/>
        <v>4332.67</v>
      </c>
      <c r="H615" s="108">
        <f t="shared" si="49"/>
        <v>0</v>
      </c>
      <c r="I615" s="108">
        <f t="shared" si="49"/>
        <v>8047.82</v>
      </c>
      <c r="J615" s="108">
        <f t="shared" si="49"/>
        <v>0</v>
      </c>
      <c r="K615" s="108">
        <f t="shared" si="49"/>
        <v>0</v>
      </c>
      <c r="L615" s="89">
        <f t="shared" si="49"/>
        <v>33617.99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1916988.4300000002</v>
      </c>
      <c r="H618" s="109">
        <f>SUM(F52)</f>
        <v>1916988.43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6171.8600000000042</v>
      </c>
      <c r="H619" s="109">
        <f>SUM(G52)</f>
        <v>6171.86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5531.6600000000035</v>
      </c>
      <c r="H620" s="109">
        <f>SUM(H52)</f>
        <v>5531.66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3518.63</v>
      </c>
      <c r="H622" s="109">
        <f>SUM(J52)</f>
        <v>3518.63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1778044.23</v>
      </c>
      <c r="H623" s="109">
        <f>F477</f>
        <v>1778044.2300000004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6171.86</v>
      </c>
      <c r="H624" s="109">
        <f>G477</f>
        <v>6171.8600000000151</v>
      </c>
      <c r="I624" s="121" t="s">
        <v>102</v>
      </c>
      <c r="J624" s="109">
        <f t="shared" si="50"/>
        <v>-1.546140993013978E-11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-6286.22</v>
      </c>
      <c r="H626" s="109">
        <f>I477</f>
        <v>-6286.22</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3518.63</v>
      </c>
      <c r="H627" s="109">
        <f>J477</f>
        <v>3518.63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14723585.4</v>
      </c>
      <c r="H628" s="104">
        <f>SUM(F469)</f>
        <v>14723585.4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221537.75999999998</v>
      </c>
      <c r="H629" s="104">
        <f>SUM(G469)</f>
        <v>221537.76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616067.06000000006</v>
      </c>
      <c r="H630" s="104">
        <f>SUM(H469)</f>
        <v>616067.06000000006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2.48</v>
      </c>
      <c r="H632" s="104">
        <f>SUM(J469)</f>
        <v>2.48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14027736.279999999</v>
      </c>
      <c r="H633" s="104">
        <f>SUM(F473)</f>
        <v>14027736.279999999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616067.06000000006</v>
      </c>
      <c r="H634" s="104">
        <f>SUM(H473)</f>
        <v>616067.06000000006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216232.58</v>
      </c>
      <c r="H636" s="104">
        <f>SUM(G473)</f>
        <v>216232.58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2.48</v>
      </c>
      <c r="H638" s="164">
        <f>SUM(J469)</f>
        <v>2.48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3518.63</v>
      </c>
      <c r="H640" s="104">
        <f>SUM(F462)</f>
        <v>3518.63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3518.63</v>
      </c>
      <c r="H643" s="104">
        <f>SUM(I462)</f>
        <v>3518.63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2.48</v>
      </c>
      <c r="H645" s="104">
        <f>H409</f>
        <v>2.48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2.48</v>
      </c>
      <c r="H647" s="104">
        <f>L409</f>
        <v>2.48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558229.9800000001</v>
      </c>
      <c r="H648" s="104">
        <f>L209+L227+L245</f>
        <v>558229.98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218081.8</v>
      </c>
      <c r="H649" s="104">
        <f>(J258+J339)-(J256+J337)</f>
        <v>218081.80000000002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558229.98</v>
      </c>
      <c r="H652" s="104">
        <f>J599</f>
        <v>558229.9800000001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0</v>
      </c>
      <c r="G661" s="19">
        <f>(L230+L310+L360)</f>
        <v>0</v>
      </c>
      <c r="H661" s="19">
        <f>(L248+L329+L361)</f>
        <v>13827158.369999999</v>
      </c>
      <c r="I661" s="19">
        <f>SUM(F661:H661)</f>
        <v>13827158.369999999</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43846.46</v>
      </c>
      <c r="I662" s="19">
        <f>SUM(F662:H662)</f>
        <v>43846.46</v>
      </c>
      <c r="J662"/>
      <c r="K662" s="13"/>
      <c r="L662" s="13"/>
      <c r="M662" s="8"/>
    </row>
    <row r="663" spans="1:13" s="3" customFormat="1" ht="12.2" customHeight="1" x14ac:dyDescent="0.2">
      <c r="A663" s="1" t="s">
        <v>128</v>
      </c>
      <c r="F663" s="19">
        <f>(L209+L288)-(J209+J288)</f>
        <v>0</v>
      </c>
      <c r="G663" s="19">
        <f>(L227+L307)-(J227+J307)</f>
        <v>0</v>
      </c>
      <c r="H663" s="19">
        <f>(L245+L326)-(J245+J326)</f>
        <v>558229.98</v>
      </c>
      <c r="I663" s="19">
        <f>SUM(F663:H663)</f>
        <v>558229.98</v>
      </c>
      <c r="J663"/>
      <c r="K663" s="13"/>
      <c r="L663" s="13"/>
      <c r="M663" s="9"/>
    </row>
    <row r="664" spans="1:13" s="3" customFormat="1" ht="12.2" customHeight="1" x14ac:dyDescent="0.15">
      <c r="A664" s="198" t="s">
        <v>129</v>
      </c>
      <c r="B664" s="169"/>
      <c r="C664" s="169"/>
      <c r="D664" s="169"/>
      <c r="E664" s="169"/>
      <c r="F664" s="199">
        <f>SUM(F576:F588)+SUM(H603:H605)+SUM(L612)</f>
        <v>0</v>
      </c>
      <c r="G664" s="199">
        <f>SUM(G576:G588)+SUM(I603:I605)+L613</f>
        <v>0</v>
      </c>
      <c r="H664" s="199">
        <f>SUM(H576:H588)+SUM(J603:J605)+L614</f>
        <v>369451.6</v>
      </c>
      <c r="I664" s="19">
        <f>SUM(F664:H664)</f>
        <v>369451.6</v>
      </c>
      <c r="J664" s="13"/>
      <c r="K664" s="13"/>
      <c r="L664" s="13"/>
      <c r="M664" s="9"/>
    </row>
    <row r="665" spans="1:13" s="3" customFormat="1" ht="12.2" customHeight="1" x14ac:dyDescent="0.15">
      <c r="A665" s="1" t="s">
        <v>130</v>
      </c>
      <c r="F665" s="19">
        <f>F661-SUM(F662:F664)</f>
        <v>0</v>
      </c>
      <c r="G665" s="19">
        <f>G661-SUM(G662:G664)</f>
        <v>0</v>
      </c>
      <c r="H665" s="19">
        <f>H661-SUM(H662:H664)</f>
        <v>12855630.33</v>
      </c>
      <c r="I665" s="19">
        <f>I661-SUM(I662:I664)</f>
        <v>12855630.33</v>
      </c>
      <c r="J665" s="13"/>
      <c r="K665" s="13"/>
      <c r="L665" s="13"/>
      <c r="M665" s="8"/>
    </row>
    <row r="666" spans="1:13" s="3" customFormat="1" ht="12.2" customHeight="1" x14ac:dyDescent="0.25">
      <c r="A666" s="1" t="s">
        <v>131</v>
      </c>
      <c r="F666" s="359">
        <v>0</v>
      </c>
      <c r="G666" s="359">
        <v>0</v>
      </c>
      <c r="H666" s="359">
        <v>628.86</v>
      </c>
      <c r="I666" s="19">
        <f>SUM(F666:H666)</f>
        <v>628.86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f>ROUND(H665/H666,2)</f>
        <v>20442.75</v>
      </c>
      <c r="I668" s="19">
        <f>ROUND(I665/I666,2)</f>
        <v>20442.75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0.33</v>
      </c>
      <c r="I671" s="19">
        <f>SUM(F671:H671)</f>
        <v>0.33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f>ROUND((H665+H670)/(H666+H671),2)</f>
        <v>20432.03</v>
      </c>
      <c r="I673" s="19">
        <f>ROUND((I665+I670)/(I666+I671),2)</f>
        <v>20432.03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30" sqref="E30"/>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'DOE25'!F162+'DOE25'!G162+'DOE25'!H162</f>
        <v>147958.25</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125600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125600+147958.25</f>
        <v>273558.25</v>
      </c>
      <c r="F22" s="346"/>
    </row>
    <row r="23" spans="2:8" x14ac:dyDescent="0.25">
      <c r="B23" s="346"/>
      <c r="C23" s="346"/>
      <c r="D23" s="346"/>
      <c r="E23" s="346"/>
      <c r="F23" s="346"/>
    </row>
    <row r="24" spans="2:8" ht="26.25" customHeight="1" x14ac:dyDescent="0.25">
      <c r="B24" s="346"/>
      <c r="C24" s="348" t="s">
        <v>1661</v>
      </c>
      <c r="D24" s="346"/>
      <c r="E24" s="341">
        <f>125600+(147958-7179-14947)</f>
        <v>251432</v>
      </c>
      <c r="F24" s="346"/>
    </row>
    <row r="25" spans="2:8" ht="18" x14ac:dyDescent="0.25">
      <c r="B25" s="346"/>
      <c r="C25" s="349"/>
      <c r="D25" s="346"/>
      <c r="E25" s="346"/>
      <c r="F25" s="346"/>
    </row>
    <row r="26" spans="2:8" ht="27.75" customHeight="1" x14ac:dyDescent="0.25">
      <c r="B26" s="346"/>
      <c r="C26" s="348" t="s">
        <v>1662</v>
      </c>
      <c r="D26" s="346"/>
      <c r="E26" s="341">
        <f>4770+1155+7179</f>
        <v>13104</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14947</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Pemi-Baker School District</v>
      </c>
      <c r="C5" s="363"/>
      <c r="D5" s="363"/>
      <c r="E5" s="363"/>
      <c r="F5" s="363"/>
    </row>
    <row r="8" spans="1:9" ht="18" x14ac:dyDescent="0.25">
      <c r="A8" s="317" t="s">
        <v>1576</v>
      </c>
      <c r="F8" s="324" t="s">
        <v>1594</v>
      </c>
    </row>
    <row r="9" spans="1:9" ht="15" x14ac:dyDescent="0.2">
      <c r="A9" s="315" t="s">
        <v>1577</v>
      </c>
      <c r="B9" s="318">
        <f>'DOE25'!G97</f>
        <v>43846.46</v>
      </c>
      <c r="F9" s="315" t="s">
        <v>1590</v>
      </c>
    </row>
    <row r="10" spans="1:9" ht="15" x14ac:dyDescent="0.2">
      <c r="A10" s="315" t="s">
        <v>1578</v>
      </c>
      <c r="B10" s="318">
        <f>'DOE25'!G112-'DOE25'!G97</f>
        <v>0</v>
      </c>
      <c r="F10" s="315" t="s">
        <v>1591</v>
      </c>
    </row>
    <row r="11" spans="1:9" ht="15" x14ac:dyDescent="0.2">
      <c r="A11" s="315" t="s">
        <v>1579</v>
      </c>
      <c r="B11" s="318">
        <f>'DOE25'!G140</f>
        <v>2230.69</v>
      </c>
      <c r="F11" s="315" t="s">
        <v>1592</v>
      </c>
    </row>
    <row r="12" spans="1:9" ht="15" x14ac:dyDescent="0.2">
      <c r="A12" s="315" t="s">
        <v>1580</v>
      </c>
      <c r="B12" s="318">
        <f>'DOE25'!G170</f>
        <v>175460.61</v>
      </c>
      <c r="F12" s="315" t="s">
        <v>1593</v>
      </c>
    </row>
    <row r="13" spans="1:9" ht="15" x14ac:dyDescent="0.2">
      <c r="A13" s="315" t="s">
        <v>1581</v>
      </c>
      <c r="B13" s="318">
        <f>'DOE25'!G193-'DOE25'!G180</f>
        <v>0</v>
      </c>
      <c r="F13" s="315" t="s">
        <v>1603</v>
      </c>
    </row>
    <row r="14" spans="1:9" ht="18" x14ac:dyDescent="0.25">
      <c r="A14" s="317" t="s">
        <v>732</v>
      </c>
      <c r="B14" s="319">
        <f>SUM(B9:B13)</f>
        <v>221537.75999999998</v>
      </c>
    </row>
    <row r="16" spans="1:9" ht="18" x14ac:dyDescent="0.25">
      <c r="A16" s="317" t="s">
        <v>786</v>
      </c>
      <c r="F16" s="324" t="s">
        <v>1595</v>
      </c>
    </row>
    <row r="17" spans="1:6" ht="15" x14ac:dyDescent="0.2">
      <c r="A17" s="315" t="s">
        <v>1582</v>
      </c>
      <c r="B17" s="318">
        <f>'DOE25'!L363-'DOE25'!L362</f>
        <v>216232.58</v>
      </c>
      <c r="F17" s="315" t="s">
        <v>1596</v>
      </c>
    </row>
    <row r="18" spans="1:6" ht="15" x14ac:dyDescent="0.2">
      <c r="A18" s="315" t="s">
        <v>1583</v>
      </c>
      <c r="B18" s="328"/>
      <c r="F18" s="324" t="s">
        <v>1620</v>
      </c>
    </row>
    <row r="19" spans="1:6" ht="18" x14ac:dyDescent="0.25">
      <c r="A19" s="317" t="s">
        <v>725</v>
      </c>
      <c r="B19" s="319">
        <f>SUM(B17:B18)</f>
        <v>216232.58</v>
      </c>
    </row>
    <row r="21" spans="1:6" ht="18.75" thickBot="1" x14ac:dyDescent="0.3">
      <c r="A21" s="317" t="s">
        <v>1584</v>
      </c>
    </row>
    <row r="22" spans="1:6" ht="18.75" thickTop="1" x14ac:dyDescent="0.25">
      <c r="A22" s="317" t="s">
        <v>1585</v>
      </c>
      <c r="B22" s="323">
        <f>B14-B19</f>
        <v>5305.179999999993</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866.68</v>
      </c>
      <c r="F31" s="315" t="s">
        <v>1600</v>
      </c>
    </row>
    <row r="33" spans="1:6" ht="15" x14ac:dyDescent="0.2">
      <c r="A33" s="315" t="s">
        <v>1629</v>
      </c>
      <c r="B33" s="318">
        <f>'DOE25'!G477</f>
        <v>6171.8600000000151</v>
      </c>
      <c r="F33" s="315" t="s">
        <v>1601</v>
      </c>
    </row>
    <row r="36" spans="1:6" ht="15" x14ac:dyDescent="0.2">
      <c r="A36" s="315" t="s">
        <v>1587</v>
      </c>
      <c r="B36" s="329">
        <v>15589.73</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Pemi-Baker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3020454.26</v>
      </c>
      <c r="C9" s="229">
        <f>'DOE25'!G198+'DOE25'!G216+'DOE25'!G234+'DOE25'!G277+'DOE25'!G296+'DOE25'!G315</f>
        <v>1800434.4700000002</v>
      </c>
    </row>
    <row r="10" spans="1:3" x14ac:dyDescent="0.2">
      <c r="A10" t="s">
        <v>775</v>
      </c>
      <c r="B10" s="240">
        <v>2906090.31</v>
      </c>
      <c r="C10" s="240">
        <v>1727439.27</v>
      </c>
    </row>
    <row r="11" spans="1:3" x14ac:dyDescent="0.2">
      <c r="A11" t="s">
        <v>776</v>
      </c>
      <c r="B11" s="240">
        <v>105213.9</v>
      </c>
      <c r="C11" s="240">
        <v>70999.61</v>
      </c>
    </row>
    <row r="12" spans="1:3" x14ac:dyDescent="0.2">
      <c r="A12" t="s">
        <v>777</v>
      </c>
      <c r="B12" s="240">
        <v>9150.0499999999993</v>
      </c>
      <c r="C12" s="240">
        <v>1995.59</v>
      </c>
    </row>
    <row r="13" spans="1:3" x14ac:dyDescent="0.2">
      <c r="A13" t="str">
        <f>IF(B9=B13,IF(C9=C13,"Check Total OK","Check Total Error"),"Check Total Error")</f>
        <v>Check Total OK</v>
      </c>
      <c r="B13" s="231">
        <f>SUM(B10:B12)</f>
        <v>3020454.26</v>
      </c>
      <c r="C13" s="231">
        <f>SUM(C10:C12)</f>
        <v>1800434.4700000002</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1006616.1</v>
      </c>
      <c r="C18" s="229">
        <f>'DOE25'!G199+'DOE25'!G217+'DOE25'!G235+'DOE25'!G278+'DOE25'!G297+'DOE25'!G316</f>
        <v>567566.6100000001</v>
      </c>
    </row>
    <row r="19" spans="1:3" x14ac:dyDescent="0.2">
      <c r="A19" t="s">
        <v>775</v>
      </c>
      <c r="B19" s="240">
        <v>554758.6</v>
      </c>
      <c r="C19" s="240">
        <v>297508.06</v>
      </c>
    </row>
    <row r="20" spans="1:3" x14ac:dyDescent="0.2">
      <c r="A20" t="s">
        <v>776</v>
      </c>
      <c r="B20" s="240">
        <v>391902.86</v>
      </c>
      <c r="C20" s="240">
        <v>239483.99</v>
      </c>
    </row>
    <row r="21" spans="1:3" x14ac:dyDescent="0.2">
      <c r="A21" t="s">
        <v>777</v>
      </c>
      <c r="B21" s="240">
        <v>59954.64</v>
      </c>
      <c r="C21" s="240">
        <v>30574.560000000001</v>
      </c>
    </row>
    <row r="22" spans="1:3" x14ac:dyDescent="0.2">
      <c r="A22" t="str">
        <f>IF(B18=B22,IF(C18=C22,"Check Total OK","Check Total Error"),"Check Total Error")</f>
        <v>Check Total OK</v>
      </c>
      <c r="B22" s="231">
        <f>SUM(B19:B21)</f>
        <v>1006616.1</v>
      </c>
      <c r="C22" s="231">
        <f>SUM(C19:C21)</f>
        <v>567566.6100000001</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472611.08</v>
      </c>
      <c r="C27" s="234">
        <f>'DOE25'!G200+'DOE25'!G218+'DOE25'!G236+'DOE25'!G279+'DOE25'!G298+'DOE25'!G317</f>
        <v>230536.97</v>
      </c>
    </row>
    <row r="28" spans="1:3" x14ac:dyDescent="0.2">
      <c r="A28" t="s">
        <v>775</v>
      </c>
      <c r="B28" s="240">
        <v>472611.08</v>
      </c>
      <c r="C28" s="240">
        <v>230536.97</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472611.08</v>
      </c>
      <c r="C31" s="231">
        <f>SUM(C28:C30)</f>
        <v>230536.97</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285488.81</v>
      </c>
      <c r="C36" s="235">
        <f>'DOE25'!G201+'DOE25'!G219+'DOE25'!G237+'DOE25'!G280+'DOE25'!G299+'DOE25'!G318</f>
        <v>54016.72</v>
      </c>
    </row>
    <row r="37" spans="1:3" x14ac:dyDescent="0.2">
      <c r="A37" t="s">
        <v>775</v>
      </c>
      <c r="B37" s="240"/>
      <c r="C37" s="240"/>
    </row>
    <row r="38" spans="1:3" x14ac:dyDescent="0.2">
      <c r="A38" t="s">
        <v>776</v>
      </c>
      <c r="B38" s="240"/>
      <c r="C38" s="240"/>
    </row>
    <row r="39" spans="1:3" x14ac:dyDescent="0.2">
      <c r="A39" t="s">
        <v>777</v>
      </c>
      <c r="B39" s="240">
        <v>285488.81</v>
      </c>
      <c r="C39" s="240">
        <v>54016.72</v>
      </c>
    </row>
    <row r="40" spans="1:3" x14ac:dyDescent="0.2">
      <c r="A40" t="str">
        <f>IF(B36=B40,IF(C36=C40,"Check Total OK","Check Total Error"),"Check Total Error")</f>
        <v>Check Total OK</v>
      </c>
      <c r="B40" s="231">
        <f>SUM(B37:B39)</f>
        <v>285488.81</v>
      </c>
      <c r="C40" s="231">
        <f>SUM(C37:C39)</f>
        <v>54016.72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20" zoomScaleNormal="12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Pemi-Baker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7937076.5599999996</v>
      </c>
      <c r="D5" s="20">
        <f>SUM('DOE25'!L198:L201)+SUM('DOE25'!L216:L219)+SUM('DOE25'!L234:L237)-F5-G5-H5</f>
        <v>7822599.0999999996</v>
      </c>
      <c r="E5" s="243"/>
      <c r="F5" s="244"/>
      <c r="G5" s="53">
        <f>SUM('DOE25'!J198:J201)+SUM('DOE25'!J216:J219)+SUM('DOE25'!J234:J237)</f>
        <v>102996.71</v>
      </c>
      <c r="H5" s="53">
        <f>SUM('DOE25'!K198:K201)+SUM('DOE25'!K216:K219)+SUM('DOE25'!K234:K237)</f>
        <v>11480.75</v>
      </c>
      <c r="I5" s="254"/>
    </row>
    <row r="6" spans="1:9" x14ac:dyDescent="0.2">
      <c r="A6" s="32">
        <v>2100</v>
      </c>
      <c r="B6" t="s">
        <v>796</v>
      </c>
      <c r="C6" s="273">
        <f t="shared" si="0"/>
        <v>1150437.8900000001</v>
      </c>
      <c r="D6" s="20">
        <f>'DOE25'!L203+'DOE25'!L221+'DOE25'!L239-F6-G6-H6</f>
        <v>1035722.6000000001</v>
      </c>
      <c r="E6" s="243"/>
      <c r="F6" s="244">
        <f>69654+43000</f>
        <v>112654</v>
      </c>
      <c r="G6" s="53">
        <f>'DOE25'!J203+'DOE25'!J221+'DOE25'!J239</f>
        <v>608.29</v>
      </c>
      <c r="H6" s="53">
        <f>'DOE25'!K203+'DOE25'!K221+'DOE25'!K239</f>
        <v>1453</v>
      </c>
      <c r="I6" s="254"/>
    </row>
    <row r="7" spans="1:9" x14ac:dyDescent="0.2">
      <c r="A7" s="32">
        <v>2200</v>
      </c>
      <c r="B7" t="s">
        <v>821</v>
      </c>
      <c r="C7" s="273">
        <f t="shared" si="0"/>
        <v>185445.44000000003</v>
      </c>
      <c r="D7" s="20">
        <f>'DOE25'!L204+'DOE25'!L222+'DOE25'!L240-F7-G7-H7</f>
        <v>184343.13000000003</v>
      </c>
      <c r="E7" s="243"/>
      <c r="F7" s="244"/>
      <c r="G7" s="53">
        <f>'DOE25'!J204+'DOE25'!J222+'DOE25'!J240</f>
        <v>1102.31</v>
      </c>
      <c r="H7" s="53">
        <f>'DOE25'!K204+'DOE25'!K222+'DOE25'!K240</f>
        <v>0</v>
      </c>
      <c r="I7" s="254"/>
    </row>
    <row r="8" spans="1:9" x14ac:dyDescent="0.2">
      <c r="A8" s="32">
        <v>2300</v>
      </c>
      <c r="B8" t="s">
        <v>797</v>
      </c>
      <c r="C8" s="273">
        <f t="shared" si="0"/>
        <v>786386.20000000007</v>
      </c>
      <c r="D8" s="243"/>
      <c r="E8" s="20">
        <f>'DOE25'!L205+'DOE25'!L223+'DOE25'!L241-F8-G8-H8-D9-D11</f>
        <v>782227.22000000009</v>
      </c>
      <c r="F8" s="244"/>
      <c r="G8" s="53">
        <f>'DOE25'!J205+'DOE25'!J223+'DOE25'!J241</f>
        <v>0</v>
      </c>
      <c r="H8" s="53">
        <f>'DOE25'!K205+'DOE25'!K223+'DOE25'!K241</f>
        <v>4158.9799999999996</v>
      </c>
      <c r="I8" s="254"/>
    </row>
    <row r="9" spans="1:9" ht="14.25" x14ac:dyDescent="0.2">
      <c r="A9" s="32">
        <v>2310</v>
      </c>
      <c r="B9" s="185" t="s">
        <v>888</v>
      </c>
      <c r="C9" s="273">
        <f t="shared" si="0"/>
        <v>40925.33</v>
      </c>
      <c r="D9" s="244">
        <v>40925.33</v>
      </c>
      <c r="E9" s="243"/>
      <c r="F9" s="251"/>
      <c r="G9" s="251"/>
      <c r="H9" s="251"/>
      <c r="I9" s="254"/>
    </row>
    <row r="10" spans="1:9" ht="14.25" x14ac:dyDescent="0.2">
      <c r="A10" s="32">
        <v>2317</v>
      </c>
      <c r="B10" s="185" t="s">
        <v>889</v>
      </c>
      <c r="C10" s="273">
        <f t="shared" si="0"/>
        <v>7000</v>
      </c>
      <c r="D10" s="243"/>
      <c r="E10" s="244">
        <v>7000</v>
      </c>
      <c r="F10" s="251"/>
      <c r="G10" s="251"/>
      <c r="H10" s="251"/>
      <c r="I10" s="254"/>
    </row>
    <row r="11" spans="1:9" ht="14.25" x14ac:dyDescent="0.2">
      <c r="A11" s="32">
        <v>2321</v>
      </c>
      <c r="B11" s="185" t="s">
        <v>890</v>
      </c>
      <c r="C11" s="273">
        <f t="shared" si="0"/>
        <v>175727.72</v>
      </c>
      <c r="D11" s="244">
        <v>175727.72</v>
      </c>
      <c r="E11" s="243"/>
      <c r="F11" s="251"/>
      <c r="G11" s="251"/>
      <c r="H11" s="251"/>
      <c r="I11" s="254"/>
    </row>
    <row r="12" spans="1:9" x14ac:dyDescent="0.2">
      <c r="A12" s="32">
        <v>2400</v>
      </c>
      <c r="B12" t="s">
        <v>711</v>
      </c>
      <c r="C12" s="273">
        <f t="shared" si="0"/>
        <v>613851.16999999993</v>
      </c>
      <c r="D12" s="20">
        <f>'DOE25'!L206+'DOE25'!L224+'DOE25'!L242-F12-G12-H12</f>
        <v>591104.12999999989</v>
      </c>
      <c r="E12" s="243"/>
      <c r="F12" s="244"/>
      <c r="G12" s="53">
        <f>'DOE25'!J206+'DOE25'!J224+'DOE25'!J242</f>
        <v>0</v>
      </c>
      <c r="H12" s="53">
        <f>'DOE25'!K206+'DOE25'!K224+'DOE25'!K242</f>
        <v>22747.040000000001</v>
      </c>
      <c r="I12" s="254"/>
    </row>
    <row r="13" spans="1:9" x14ac:dyDescent="0.2">
      <c r="A13" s="32">
        <v>2500</v>
      </c>
      <c r="B13" t="s">
        <v>798</v>
      </c>
      <c r="C13" s="273">
        <f t="shared" si="0"/>
        <v>3350.79</v>
      </c>
      <c r="D13" s="243"/>
      <c r="E13" s="20">
        <f>'DOE25'!L207+'DOE25'!L225+'DOE25'!L243-F13-G13-H13</f>
        <v>3350.79</v>
      </c>
      <c r="F13" s="244"/>
      <c r="G13" s="53">
        <f>'DOE25'!J207+'DOE25'!J225+'DOE25'!J243</f>
        <v>0</v>
      </c>
      <c r="H13" s="53">
        <f>'DOE25'!K207+'DOE25'!K225+'DOE25'!K243</f>
        <v>0</v>
      </c>
      <c r="I13" s="254"/>
    </row>
    <row r="14" spans="1:9" x14ac:dyDescent="0.2">
      <c r="A14" s="32">
        <v>2600</v>
      </c>
      <c r="B14" t="s">
        <v>819</v>
      </c>
      <c r="C14" s="273">
        <f t="shared" si="0"/>
        <v>1486954.6500000001</v>
      </c>
      <c r="D14" s="20">
        <f>'DOE25'!L208+'DOE25'!L226+'DOE25'!L244-F14-G14-H14</f>
        <v>1424457.2000000002</v>
      </c>
      <c r="E14" s="243"/>
      <c r="F14" s="244"/>
      <c r="G14" s="53">
        <f>'DOE25'!J208+'DOE25'!J226+'DOE25'!J244</f>
        <v>62497.45</v>
      </c>
      <c r="H14" s="53">
        <f>'DOE25'!K208+'DOE25'!K226+'DOE25'!K244</f>
        <v>0</v>
      </c>
      <c r="I14" s="254"/>
    </row>
    <row r="15" spans="1:9" x14ac:dyDescent="0.2">
      <c r="A15" s="32">
        <v>2700</v>
      </c>
      <c r="B15" t="s">
        <v>799</v>
      </c>
      <c r="C15" s="273">
        <f t="shared" si="0"/>
        <v>558229.98</v>
      </c>
      <c r="D15" s="20">
        <f>'DOE25'!L209+'DOE25'!L227+'DOE25'!L245-F15-G15-H15</f>
        <v>72759.979999999981</v>
      </c>
      <c r="E15" s="243"/>
      <c r="F15" s="244">
        <v>485470</v>
      </c>
      <c r="G15" s="53">
        <f>'DOE25'!J209+'DOE25'!J227+'DOE25'!J245</f>
        <v>0</v>
      </c>
      <c r="H15" s="53">
        <f>'DOE25'!K209+'DOE25'!K227+'DOE25'!K245</f>
        <v>0</v>
      </c>
      <c r="I15" s="254"/>
    </row>
    <row r="16" spans="1:9" x14ac:dyDescent="0.2">
      <c r="A16" s="32">
        <v>2800</v>
      </c>
      <c r="B16" t="s">
        <v>800</v>
      </c>
      <c r="C16" s="273">
        <f t="shared" si="0"/>
        <v>56473</v>
      </c>
      <c r="D16" s="243"/>
      <c r="E16" s="20">
        <f>'DOE25'!L210+'DOE25'!L228+'DOE25'!L246-F16-G16-H16</f>
        <v>56473</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431070.32</v>
      </c>
      <c r="D22" s="243"/>
      <c r="E22" s="243"/>
      <c r="F22" s="243"/>
      <c r="G22" s="53">
        <f>'DOE25'!L256+'DOE25'!L337</f>
        <v>431070.32</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601807.23</v>
      </c>
      <c r="D25" s="243"/>
      <c r="E25" s="243"/>
      <c r="F25" s="253"/>
      <c r="G25" s="251"/>
      <c r="H25" s="251"/>
      <c r="I25" s="252">
        <f>'DOE25'!L261+'DOE25'!L262+'DOE25'!L342+'DOE25'!L343</f>
        <v>601807.23</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216232.58</v>
      </c>
      <c r="D29" s="281">
        <f>'DOE25'!L359+'DOE25'!L360+'DOE25'!L361-'DOE25'!I368-F29-G29-H29</f>
        <v>68003.579999999987</v>
      </c>
      <c r="E29" s="243"/>
      <c r="F29" s="244">
        <f>215701-67472</f>
        <v>148229</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616067.06000000006</v>
      </c>
      <c r="D31" s="20">
        <f>'DOE25'!L291+'DOE25'!L310+'DOE25'!L329+'DOE25'!L334+'DOE25'!L335+'DOE25'!L336-F31-G31-H31</f>
        <v>536893.39</v>
      </c>
      <c r="E31" s="243"/>
      <c r="F31" s="244"/>
      <c r="G31" s="53">
        <f>'DOE25'!J291+'DOE25'!J310+'DOE25'!J329+'DOE25'!J334+'DOE25'!J335+'DOE25'!J336</f>
        <v>50877.04</v>
      </c>
      <c r="H31" s="53">
        <f>'DOE25'!K291+'DOE25'!K310+'DOE25'!K329+'DOE25'!K334+'DOE25'!K335+'DOE25'!K336</f>
        <v>28296.63</v>
      </c>
      <c r="I31" s="254"/>
    </row>
    <row r="32" spans="1:9" ht="12" thickBot="1" x14ac:dyDescent="0.25">
      <c r="C32" s="274"/>
      <c r="G32" s="249"/>
      <c r="H32" s="249"/>
      <c r="I32" s="256"/>
    </row>
    <row r="33" spans="1:9" ht="12" thickTop="1" x14ac:dyDescent="0.2">
      <c r="B33" t="s">
        <v>809</v>
      </c>
      <c r="D33" s="245">
        <f t="shared" ref="D33:I33" si="1">SUM(D5:D31)</f>
        <v>11952536.160000002</v>
      </c>
      <c r="E33" s="245">
        <f t="shared" si="1"/>
        <v>849051.01000000013</v>
      </c>
      <c r="F33" s="245">
        <f t="shared" si="1"/>
        <v>746353</v>
      </c>
      <c r="G33" s="245">
        <f t="shared" si="1"/>
        <v>649152.12000000011</v>
      </c>
      <c r="H33" s="245">
        <f t="shared" si="1"/>
        <v>68136.400000000009</v>
      </c>
      <c r="I33" s="245">
        <f t="shared" si="1"/>
        <v>601807.23</v>
      </c>
    </row>
    <row r="35" spans="1:9" ht="12" thickBot="1" x14ac:dyDescent="0.25">
      <c r="B35" s="249" t="s">
        <v>831</v>
      </c>
      <c r="D35" s="250">
        <f>E33</f>
        <v>849051.01000000013</v>
      </c>
      <c r="E35" s="246"/>
      <c r="F35" s="333" t="s">
        <v>1632</v>
      </c>
      <c r="G35" s="334"/>
      <c r="H35" s="334"/>
      <c r="I35" s="334"/>
    </row>
    <row r="36" spans="1:9" ht="12" thickTop="1" x14ac:dyDescent="0.2">
      <c r="B36" t="s">
        <v>810</v>
      </c>
      <c r="D36" s="20">
        <f>D33</f>
        <v>11952536.160000002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Pemi-Baker School District</v>
      </c>
      <c r="B2" s="126">
        <f>'DOE25'!B2</f>
        <v>428</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0</v>
      </c>
      <c r="G4" s="300">
        <f>'DOE25'!L212+'DOE25'!L291</f>
        <v>0</v>
      </c>
      <c r="H4" s="353">
        <f>F4-G4</f>
        <v>0</v>
      </c>
      <c r="I4" s="371" t="str">
        <f>IF(H4=0,"","ISSUES!! Please review page 7 and 11 totals in comparison with total on this page")</f>
        <v/>
      </c>
      <c r="N4"/>
    </row>
    <row r="5" spans="1:18" x14ac:dyDescent="0.2">
      <c r="A5" s="21"/>
      <c r="B5" s="301" t="str">
        <f>IFERROR(VLOOKUP(A5,'School Tables'!$C$3:$D$365,2,FALSE),"")</f>
        <v/>
      </c>
      <c r="C5" s="294" t="str">
        <f>IFERROR(INDEX('School Tables'!$B$3:$B$365,MATCH('School Level Expenditures'!B5,'School Tables'!$D$3:$D$365,0)),"")</f>
        <v/>
      </c>
      <c r="D5" s="291"/>
      <c r="E5" s="291"/>
      <c r="F5" s="304">
        <f>D5+E5</f>
        <v>0</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0</v>
      </c>
      <c r="E21" s="351">
        <f>SUM(E5:E20)</f>
        <v>0</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13610925.790000001</v>
      </c>
      <c r="G36" s="300">
        <f>'DOE25'!L248+'DOE25'!L329</f>
        <v>13610925.789999999</v>
      </c>
      <c r="H36" s="353">
        <f>F36-G36</f>
        <v>0</v>
      </c>
      <c r="I36" s="371" t="str">
        <f>IF(H36=0,"","ISSUES!! Please review page 9 and 13 totals in comparison with total on this page")</f>
        <v/>
      </c>
      <c r="N36"/>
    </row>
    <row r="37" spans="1:14" x14ac:dyDescent="0.2">
      <c r="A37" s="21" t="s">
        <v>1352</v>
      </c>
      <c r="B37" s="301">
        <f>IFERROR(VLOOKUP(A37,'School Tables'!$O$3:$P$118,2,FALSE),"")</f>
        <v>22350</v>
      </c>
      <c r="C37" s="294" t="str">
        <f t="array" ref="C37">IFERROR(INDEX('School Tables'!$N$3:$N$118,MATCH('School Level Expenditures'!B37,'School Tables'!$P$3:$P$118,0)),"")</f>
        <v>Pemi-Baker Regional</v>
      </c>
      <c r="D37" s="291">
        <v>12994858.73</v>
      </c>
      <c r="E37" s="291">
        <v>616067.06000000006</v>
      </c>
      <c r="F37" s="304">
        <f t="shared" ref="F37:F42" si="2">D37+E37</f>
        <v>13610925.790000001</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12994858.73</v>
      </c>
      <c r="E43" s="352">
        <f>SUM(E37:E42)</f>
        <v>616067.06000000006</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Pemi-Baker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1487638.61</v>
      </c>
      <c r="D8" s="95">
        <f>'DOE25'!G9</f>
        <v>-65542.559999999998</v>
      </c>
      <c r="E8" s="95">
        <f>'DOE25'!H9</f>
        <v>-82438.97</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3518.63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219703.19</v>
      </c>
      <c r="D12" s="95">
        <f>'DOE25'!G13</f>
        <v>42366.37</v>
      </c>
      <c r="E12" s="95">
        <f>'DOE25'!H13</f>
        <v>87970.63</v>
      </c>
      <c r="F12" s="95">
        <f>'DOE25'!I13</f>
        <v>0</v>
      </c>
      <c r="G12" s="95">
        <f>'DOE25'!J13</f>
        <v>0</v>
      </c>
      <c r="H12" s="124"/>
      <c r="I12" s="124"/>
    </row>
    <row r="13" spans="1:9" x14ac:dyDescent="0.2">
      <c r="A13" s="1" t="s">
        <v>144</v>
      </c>
      <c r="B13" s="6">
        <v>150</v>
      </c>
      <c r="C13" s="95">
        <f>'DOE25'!F14</f>
        <v>13818</v>
      </c>
      <c r="D13" s="95">
        <f>'DOE25'!G14</f>
        <v>29348.05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195828.63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1916988.4300000002</v>
      </c>
      <c r="D18" s="41">
        <f>SUM(D8:D17)</f>
        <v>6171.8600000000042</v>
      </c>
      <c r="E18" s="41">
        <f>SUM(E8:E17)</f>
        <v>5531.6600000000035</v>
      </c>
      <c r="F18" s="41">
        <f>SUM(F8:F17)</f>
        <v>0</v>
      </c>
      <c r="G18" s="41">
        <f>SUM(G8:G17)</f>
        <v>3518.63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98799.7</v>
      </c>
      <c r="D23" s="95">
        <f>'DOE25'!G24</f>
        <v>0</v>
      </c>
      <c r="E23" s="95">
        <f>'DOE25'!H24</f>
        <v>4130.1000000000004</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40144.5</v>
      </c>
      <c r="D29" s="95">
        <f>'DOE25'!G30</f>
        <v>0</v>
      </c>
      <c r="E29" s="95">
        <f>'DOE25'!H30</f>
        <v>1401.56</v>
      </c>
      <c r="F29" s="95">
        <f>'DOE25'!I30</f>
        <v>6286.22</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138944.20000000001</v>
      </c>
      <c r="D31" s="41">
        <f>SUM(D21:D30)</f>
        <v>0</v>
      </c>
      <c r="E31" s="41">
        <f>SUM(E21:E30)</f>
        <v>5531.66</v>
      </c>
      <c r="F31" s="41">
        <f>SUM(F21:F30)</f>
        <v>6286.22</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260136.22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6171.86</v>
      </c>
      <c r="E47" s="95">
        <f>'DOE25'!H48</f>
        <v>-150</v>
      </c>
      <c r="F47" s="95">
        <f>'DOE25'!I48</f>
        <v>-6286.22</v>
      </c>
      <c r="G47" s="95">
        <f>'DOE25'!J48</f>
        <v>3518.63</v>
      </c>
      <c r="H47" s="124"/>
      <c r="I47" s="124"/>
    </row>
    <row r="48" spans="1:9" x14ac:dyDescent="0.2">
      <c r="A48" s="1" t="s">
        <v>882</v>
      </c>
      <c r="B48" s="6">
        <v>753</v>
      </c>
      <c r="C48" s="95">
        <f>'DOE25'!F49</f>
        <v>1225184.01</v>
      </c>
      <c r="D48" s="95">
        <f>'DOE25'!G49</f>
        <v>0</v>
      </c>
      <c r="E48" s="95">
        <f>'DOE25'!H49</f>
        <v>150</v>
      </c>
      <c r="F48" s="95">
        <f>'DOE25'!I49</f>
        <v>0</v>
      </c>
      <c r="G48" s="95">
        <f>'DOE25'!J49</f>
        <v>0</v>
      </c>
      <c r="H48" s="124"/>
      <c r="I48" s="124"/>
    </row>
    <row r="49" spans="1:9" ht="12" thickBot="1" x14ac:dyDescent="0.25">
      <c r="A49" s="29" t="s">
        <v>883</v>
      </c>
      <c r="B49" s="71">
        <v>770</v>
      </c>
      <c r="C49" s="95">
        <f>'DOE25'!F50</f>
        <v>292724</v>
      </c>
      <c r="D49" s="24" t="s">
        <v>288</v>
      </c>
      <c r="E49" s="24" t="s">
        <v>288</v>
      </c>
      <c r="F49" s="24" t="s">
        <v>288</v>
      </c>
      <c r="G49" s="24" t="s">
        <v>288</v>
      </c>
      <c r="H49" s="124"/>
      <c r="I49" s="124"/>
    </row>
    <row r="50" spans="1:9" ht="12.75" thickTop="1" thickBot="1" x14ac:dyDescent="0.25">
      <c r="A50" s="38" t="s">
        <v>884</v>
      </c>
      <c r="B50" s="48"/>
      <c r="C50" s="41">
        <f>SUM(C34:C49)</f>
        <v>1778044.23</v>
      </c>
      <c r="D50" s="41">
        <f>SUM(D34:D49)</f>
        <v>6171.86</v>
      </c>
      <c r="E50" s="41">
        <f>SUM(E34:E49)</f>
        <v>0</v>
      </c>
      <c r="F50" s="41">
        <f>SUM(F34:F49)</f>
        <v>-6286.22</v>
      </c>
      <c r="G50" s="41">
        <f>SUM(G34:G49)</f>
        <v>3518.63</v>
      </c>
      <c r="H50" s="124"/>
      <c r="I50" s="124"/>
    </row>
    <row r="51" spans="1:9" ht="12" thickTop="1" x14ac:dyDescent="0.2">
      <c r="A51" s="38" t="s">
        <v>885</v>
      </c>
      <c r="B51" s="2"/>
      <c r="C51" s="41">
        <f>C50+C31</f>
        <v>1916988.43</v>
      </c>
      <c r="D51" s="41">
        <f>D50+D31</f>
        <v>6171.86</v>
      </c>
      <c r="E51" s="41">
        <f>E50+E31</f>
        <v>5531.66</v>
      </c>
      <c r="F51" s="41">
        <f>F50+F31</f>
        <v>0</v>
      </c>
      <c r="G51" s="41">
        <f>G50+G31</f>
        <v>3518.63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10147134</v>
      </c>
      <c r="D56" s="95">
        <f>'DOE25'!G60</f>
        <v>0</v>
      </c>
      <c r="E56" s="95">
        <f>'DOE25'!H60</f>
        <v>0</v>
      </c>
      <c r="F56" s="95">
        <f>'DOE25'!I60</f>
        <v>0</v>
      </c>
      <c r="G56" s="95">
        <f>'DOE25'!J60</f>
        <v>0</v>
      </c>
      <c r="H56"/>
      <c r="I56"/>
    </row>
    <row r="57" spans="1:9" x14ac:dyDescent="0.2">
      <c r="A57" s="1" t="s">
        <v>164</v>
      </c>
      <c r="B57" s="6" t="s">
        <v>165</v>
      </c>
      <c r="C57" s="95">
        <f>'DOE25'!F79</f>
        <v>172972.66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3644.57</v>
      </c>
      <c r="D59" s="95">
        <f>'DOE25'!G96</f>
        <v>0</v>
      </c>
      <c r="E59" s="95">
        <f>'DOE25'!H96</f>
        <v>0</v>
      </c>
      <c r="F59" s="95">
        <f>'DOE25'!I96</f>
        <v>0</v>
      </c>
      <c r="G59" s="95">
        <f>'DOE25'!J96</f>
        <v>2.48</v>
      </c>
      <c r="H59"/>
      <c r="I59"/>
    </row>
    <row r="60" spans="1:9" x14ac:dyDescent="0.2">
      <c r="A60" s="1" t="s">
        <v>170</v>
      </c>
      <c r="B60" s="118" t="s">
        <v>171</v>
      </c>
      <c r="C60" s="24" t="s">
        <v>288</v>
      </c>
      <c r="D60" s="95">
        <f>'DOE25'!G97</f>
        <v>43846.46</v>
      </c>
      <c r="E60" s="24" t="s">
        <v>288</v>
      </c>
      <c r="F60" s="24" t="s">
        <v>288</v>
      </c>
      <c r="G60" s="24" t="s">
        <v>288</v>
      </c>
      <c r="H60"/>
      <c r="I60"/>
    </row>
    <row r="61" spans="1:9" ht="12" thickBot="1" x14ac:dyDescent="0.25">
      <c r="A61" s="1" t="s">
        <v>172</v>
      </c>
      <c r="B61" s="118" t="s">
        <v>173</v>
      </c>
      <c r="C61" s="95">
        <f>SUM('DOE25'!F98:F110)</f>
        <v>154991.07</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331608.30000000005</v>
      </c>
      <c r="D62" s="130">
        <f>SUM(D57:D61)</f>
        <v>43846.46</v>
      </c>
      <c r="E62" s="130">
        <f>SUM(E57:E61)</f>
        <v>0</v>
      </c>
      <c r="F62" s="130">
        <f>SUM(F57:F61)</f>
        <v>0</v>
      </c>
      <c r="G62" s="130">
        <f>SUM(G57:G61)</f>
        <v>2.48</v>
      </c>
      <c r="H62"/>
      <c r="I62"/>
    </row>
    <row r="63" spans="1:9" ht="12" thickTop="1" x14ac:dyDescent="0.2">
      <c r="A63" s="29" t="s">
        <v>175</v>
      </c>
      <c r="B63" s="6"/>
      <c r="C63" s="22">
        <f>C56+C62</f>
        <v>10478742.300000001</v>
      </c>
      <c r="D63" s="22">
        <f>D56+D62</f>
        <v>43846.46</v>
      </c>
      <c r="E63" s="22">
        <f>E56+E62</f>
        <v>0</v>
      </c>
      <c r="F63" s="22">
        <f>F56+F62</f>
        <v>0</v>
      </c>
      <c r="G63" s="22">
        <f>G56+G62</f>
        <v>2.48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2564090.9700000002</v>
      </c>
      <c r="D66" s="24" t="s">
        <v>288</v>
      </c>
      <c r="E66" s="24" t="s">
        <v>288</v>
      </c>
      <c r="F66" s="24" t="s">
        <v>288</v>
      </c>
      <c r="G66" s="24" t="s">
        <v>288</v>
      </c>
      <c r="H66"/>
      <c r="I66"/>
    </row>
    <row r="67" spans="1:9" x14ac:dyDescent="0.2">
      <c r="A67" s="1" t="s">
        <v>770</v>
      </c>
      <c r="B67" s="6">
        <v>3112</v>
      </c>
      <c r="C67" s="95">
        <f>'DOE25'!F118</f>
        <v>1554258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4118348.97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32394.16</v>
      </c>
      <c r="D75" s="24" t="s">
        <v>288</v>
      </c>
      <c r="E75" s="24" t="s">
        <v>288</v>
      </c>
      <c r="F75" s="24" t="s">
        <v>288</v>
      </c>
      <c r="G75" s="24" t="s">
        <v>288</v>
      </c>
      <c r="H75"/>
      <c r="I75"/>
    </row>
    <row r="76" spans="1:9" x14ac:dyDescent="0.2">
      <c r="A76" s="1" t="s">
        <v>257</v>
      </c>
      <c r="B76" s="6" t="s">
        <v>179</v>
      </c>
      <c r="C76" s="95">
        <f>SUM('DOE25'!F127:F130)</f>
        <v>15072.06</v>
      </c>
      <c r="D76" s="24" t="s">
        <v>288</v>
      </c>
      <c r="E76" s="95">
        <f>SUM('DOE25'!H127:H130)</f>
        <v>0</v>
      </c>
      <c r="F76" s="95">
        <f>SUM('DOE25'!I127:I130)</f>
        <v>0</v>
      </c>
      <c r="G76" s="24" t="s">
        <v>288</v>
      </c>
      <c r="H76"/>
      <c r="I76"/>
    </row>
    <row r="77" spans="1:9" ht="12" thickBot="1" x14ac:dyDescent="0.25">
      <c r="A77" s="1" t="s">
        <v>258</v>
      </c>
      <c r="B77" s="6" t="s">
        <v>180</v>
      </c>
      <c r="C77" s="95">
        <f>SUM('DOE25'!F131:F135)</f>
        <v>27121.47</v>
      </c>
      <c r="D77" s="95">
        <f>SUM('DOE25'!G131:G135)</f>
        <v>2230.69</v>
      </c>
      <c r="E77" s="95">
        <f>SUM('DOE25'!H131:H135)</f>
        <v>0</v>
      </c>
      <c r="F77" s="95">
        <f>SUM('DOE25'!I131:I135)</f>
        <v>0</v>
      </c>
      <c r="G77" s="95">
        <f>SUM('DOE25'!J131:J135)</f>
        <v>0</v>
      </c>
      <c r="H77"/>
      <c r="I77"/>
    </row>
    <row r="78" spans="1:9" ht="12.75" thickTop="1" thickBot="1" x14ac:dyDescent="0.25">
      <c r="A78" s="29" t="s">
        <v>259</v>
      </c>
      <c r="B78" s="6"/>
      <c r="C78" s="130">
        <f>SUM(C72:C77)</f>
        <v>74587.69</v>
      </c>
      <c r="D78" s="130">
        <f>SUM(D72:D77)</f>
        <v>2230.69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4192936.66</v>
      </c>
      <c r="D81" s="130">
        <f>SUM(D79:D80)+D78+D70</f>
        <v>2230.69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51906.44</v>
      </c>
      <c r="D88" s="331">
        <f>SUM('DOE25'!G153:G162)</f>
        <v>175460.61</v>
      </c>
      <c r="E88" s="331">
        <f>SUM('DOE25'!H153:H162)</f>
        <v>616067.06000000006</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51906.44</v>
      </c>
      <c r="D91" s="131">
        <f>SUM(D85:D90)</f>
        <v>175460.61</v>
      </c>
      <c r="E91" s="131">
        <f>SUM(E85:E90)</f>
        <v>616067.06000000006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14723585.4</v>
      </c>
      <c r="D104" s="86">
        <f>D63+D81+D91+D103</f>
        <v>221537.75999999998</v>
      </c>
      <c r="E104" s="86">
        <f>E63+E81+E91+E103</f>
        <v>616067.06000000006</v>
      </c>
      <c r="F104" s="86">
        <f>F63+F81+F91+F103</f>
        <v>0</v>
      </c>
      <c r="G104" s="86">
        <f>G63+G81+G103</f>
        <v>2.48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4862649.5699999994</v>
      </c>
      <c r="D109" s="24" t="s">
        <v>288</v>
      </c>
      <c r="E109" s="95">
        <f>('DOE25'!L277)+('DOE25'!L296)+('DOE25'!L315)</f>
        <v>385877.92</v>
      </c>
      <c r="F109" s="24" t="s">
        <v>288</v>
      </c>
      <c r="G109" s="24" t="s">
        <v>288</v>
      </c>
    </row>
    <row r="110" spans="1:7" x14ac:dyDescent="0.2">
      <c r="A110" t="s">
        <v>198</v>
      </c>
      <c r="B110" s="32" t="s">
        <v>199</v>
      </c>
      <c r="C110" s="95">
        <f>('DOE25'!L199)+('DOE25'!L217)+('DOE25'!L235)</f>
        <v>1848424.3699999999</v>
      </c>
      <c r="D110" s="24" t="s">
        <v>288</v>
      </c>
      <c r="E110" s="95">
        <f>('DOE25'!L278)+('DOE25'!L297)+('DOE25'!L316)</f>
        <v>33408.9</v>
      </c>
      <c r="F110" s="24" t="s">
        <v>288</v>
      </c>
      <c r="G110" s="24" t="s">
        <v>288</v>
      </c>
    </row>
    <row r="111" spans="1:7" x14ac:dyDescent="0.2">
      <c r="A111" t="s">
        <v>200</v>
      </c>
      <c r="B111" s="32" t="s">
        <v>165</v>
      </c>
      <c r="C111" s="95">
        <f>('DOE25'!L200)+('DOE25'!L218)+('DOE25'!L236)</f>
        <v>739873.47</v>
      </c>
      <c r="D111" s="24" t="s">
        <v>288</v>
      </c>
      <c r="E111" s="95">
        <f>('DOE25'!L279)+('DOE25'!L298)+('DOE25'!L317)</f>
        <v>76805.929999999993</v>
      </c>
      <c r="F111" s="24" t="s">
        <v>288</v>
      </c>
      <c r="G111" s="24" t="s">
        <v>288</v>
      </c>
    </row>
    <row r="112" spans="1:7" x14ac:dyDescent="0.2">
      <c r="A112" t="s">
        <v>201</v>
      </c>
      <c r="B112" s="32" t="s">
        <v>167</v>
      </c>
      <c r="C112" s="95">
        <f>('DOE25'!L201)+('DOE25'!L219)+('DOE25'!L237)</f>
        <v>486129.14999999997</v>
      </c>
      <c r="D112" s="24" t="s">
        <v>288</v>
      </c>
      <c r="E112" s="95">
        <f>+('DOE25'!L280)+('DOE25'!L299)+('DOE25'!L318)</f>
        <v>29426.92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7937076.5599999996</v>
      </c>
      <c r="D115" s="86">
        <f>SUM(D109:D114)</f>
        <v>0</v>
      </c>
      <c r="E115" s="86">
        <f>SUM(E109:E114)</f>
        <v>525519.67000000004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1150437.8900000001</v>
      </c>
      <c r="D118" s="24" t="s">
        <v>288</v>
      </c>
      <c r="E118" s="95">
        <f>+('DOE25'!L282)+('DOE25'!L301)+('DOE25'!L320)</f>
        <v>53250.21</v>
      </c>
      <c r="F118" s="24" t="s">
        <v>288</v>
      </c>
      <c r="G118" s="24" t="s">
        <v>288</v>
      </c>
    </row>
    <row r="119" spans="1:7" x14ac:dyDescent="0.2">
      <c r="A119" t="s">
        <v>208</v>
      </c>
      <c r="B119" s="32" t="s">
        <v>209</v>
      </c>
      <c r="C119" s="95">
        <f>('DOE25'!L204)+('DOE25'!L222)+('DOE25'!L240)</f>
        <v>185445.44000000003</v>
      </c>
      <c r="D119" s="24" t="s">
        <v>288</v>
      </c>
      <c r="E119" s="95">
        <f>+('DOE25'!L283)+('DOE25'!L302)+('DOE25'!L321)</f>
        <v>4644</v>
      </c>
      <c r="F119" s="24" t="s">
        <v>288</v>
      </c>
      <c r="G119" s="24" t="s">
        <v>288</v>
      </c>
    </row>
    <row r="120" spans="1:7" x14ac:dyDescent="0.2">
      <c r="A120" t="s">
        <v>210</v>
      </c>
      <c r="B120" s="32" t="s">
        <v>211</v>
      </c>
      <c r="C120" s="95">
        <f>('DOE25'!L205)+('DOE25'!L223)+('DOE25'!L241)</f>
        <v>1003039.25</v>
      </c>
      <c r="D120" s="24" t="s">
        <v>288</v>
      </c>
      <c r="E120" s="95">
        <f>+('DOE25'!L284)+('DOE25'!L303)+('DOE25'!L322)</f>
        <v>14285.25</v>
      </c>
      <c r="F120" s="24" t="s">
        <v>288</v>
      </c>
      <c r="G120" s="24" t="s">
        <v>288</v>
      </c>
    </row>
    <row r="121" spans="1:7" x14ac:dyDescent="0.2">
      <c r="A121" t="s">
        <v>212</v>
      </c>
      <c r="B121" s="32" t="s">
        <v>213</v>
      </c>
      <c r="C121" s="95">
        <f>('DOE25'!L206)+('DOE25'!L224)+('DOE25'!L242)</f>
        <v>613851.16999999993</v>
      </c>
      <c r="D121" s="24" t="s">
        <v>288</v>
      </c>
      <c r="E121" s="95">
        <f>+('DOE25'!L285)+('DOE25'!L304)+('DOE25'!L323)</f>
        <v>0</v>
      </c>
      <c r="F121" s="24" t="s">
        <v>288</v>
      </c>
      <c r="G121" s="24" t="s">
        <v>288</v>
      </c>
    </row>
    <row r="122" spans="1:7" x14ac:dyDescent="0.2">
      <c r="A122" t="s">
        <v>214</v>
      </c>
      <c r="B122" s="32" t="s">
        <v>215</v>
      </c>
      <c r="C122" s="95">
        <f>('DOE25'!L207)+('DOE25'!L225)+('DOE25'!L243)</f>
        <v>3350.79</v>
      </c>
      <c r="D122" s="24" t="s">
        <v>288</v>
      </c>
      <c r="E122" s="95">
        <f>+('DOE25'!L286)+('DOE25'!L305)+('DOE25'!L324)</f>
        <v>18367.93</v>
      </c>
      <c r="F122" s="24" t="s">
        <v>288</v>
      </c>
      <c r="G122" s="24" t="s">
        <v>288</v>
      </c>
    </row>
    <row r="123" spans="1:7" x14ac:dyDescent="0.2">
      <c r="A123" t="s">
        <v>216</v>
      </c>
      <c r="B123" s="32" t="s">
        <v>217</v>
      </c>
      <c r="C123" s="95">
        <f>('DOE25'!L208)+('DOE25'!L226)+('DOE25'!L244)</f>
        <v>1486954.6500000001</v>
      </c>
      <c r="D123" s="24" t="s">
        <v>288</v>
      </c>
      <c r="E123" s="95">
        <f>+('DOE25'!L287)+('DOE25'!L306)+('DOE25'!L325)</f>
        <v>0</v>
      </c>
      <c r="F123" s="24" t="s">
        <v>288</v>
      </c>
      <c r="G123" s="24" t="s">
        <v>288</v>
      </c>
    </row>
    <row r="124" spans="1:7" x14ac:dyDescent="0.2">
      <c r="A124" t="s">
        <v>218</v>
      </c>
      <c r="B124" s="32" t="s">
        <v>219</v>
      </c>
      <c r="C124" s="95">
        <f>('DOE25'!L209)+('DOE25'!L227)+('DOE25'!L245+'DOE25'!L255)</f>
        <v>558229.98</v>
      </c>
      <c r="D124" s="24" t="s">
        <v>288</v>
      </c>
      <c r="E124" s="95">
        <f>+('DOE25'!L288)+('DOE25'!L307)+('DOE25'!L326)</f>
        <v>0</v>
      </c>
      <c r="F124" s="24" t="s">
        <v>288</v>
      </c>
      <c r="G124" s="24" t="s">
        <v>288</v>
      </c>
    </row>
    <row r="125" spans="1:7" x14ac:dyDescent="0.2">
      <c r="A125" t="s">
        <v>220</v>
      </c>
      <c r="B125" s="32" t="s">
        <v>221</v>
      </c>
      <c r="C125" s="95">
        <f>('DOE25'!L210)+('DOE25'!L228)+('DOE25'!L246)</f>
        <v>56473</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216232.58</v>
      </c>
      <c r="E127" s="24" t="s">
        <v>288</v>
      </c>
      <c r="F127" s="24" t="s">
        <v>288</v>
      </c>
      <c r="G127" s="24" t="s">
        <v>288</v>
      </c>
    </row>
    <row r="128" spans="1:7" ht="12.75" thickTop="1" thickBot="1" x14ac:dyDescent="0.25">
      <c r="A128" s="33" t="s">
        <v>226</v>
      </c>
      <c r="C128" s="86">
        <f>SUM(C118:C127)</f>
        <v>5057782.17</v>
      </c>
      <c r="D128" s="86">
        <f>SUM(D118:D127)</f>
        <v>216232.58</v>
      </c>
      <c r="E128" s="86">
        <f>SUM(E118:E127)</f>
        <v>90547.389999999985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431070.32</v>
      </c>
      <c r="D130" s="24" t="s">
        <v>288</v>
      </c>
      <c r="E130" s="129">
        <f>'DOE25'!L337</f>
        <v>0</v>
      </c>
      <c r="F130" s="129">
        <f>SUM('DOE25'!L375:'DOE25'!L381)</f>
        <v>0</v>
      </c>
      <c r="G130" s="24" t="s">
        <v>288</v>
      </c>
    </row>
    <row r="131" spans="1:7" x14ac:dyDescent="0.2">
      <c r="A131" t="s">
        <v>229</v>
      </c>
      <c r="B131" s="32">
        <v>5110</v>
      </c>
      <c r="C131" s="95">
        <f>'DOE25'!L261</f>
        <v>475589.97</v>
      </c>
      <c r="D131" s="24" t="s">
        <v>288</v>
      </c>
      <c r="E131" s="129">
        <f>'DOE25'!L342</f>
        <v>0</v>
      </c>
      <c r="F131" s="24" t="s">
        <v>288</v>
      </c>
      <c r="G131" s="24" t="s">
        <v>288</v>
      </c>
    </row>
    <row r="132" spans="1:7" x14ac:dyDescent="0.2">
      <c r="A132" t="s">
        <v>230</v>
      </c>
      <c r="B132" s="32">
        <v>5120</v>
      </c>
      <c r="C132" s="95">
        <f>'DOE25'!L262</f>
        <v>126217.26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1.22</v>
      </c>
      <c r="D138" s="24" t="s">
        <v>288</v>
      </c>
      <c r="E138" s="24" t="s">
        <v>288</v>
      </c>
      <c r="F138" s="24" t="s">
        <v>288</v>
      </c>
      <c r="G138" s="24" t="s">
        <v>288</v>
      </c>
    </row>
    <row r="139" spans="1:7" x14ac:dyDescent="0.2">
      <c r="A139" t="s">
        <v>239</v>
      </c>
      <c r="B139" s="32">
        <v>5252</v>
      </c>
      <c r="C139" s="95">
        <f>'DOE25'!L402</f>
        <v>1.26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-2.48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1032877.55</v>
      </c>
      <c r="D144" s="141">
        <f>SUM(D130:D143)</f>
        <v>0</v>
      </c>
      <c r="E144" s="141">
        <f>SUM(E130:E143)</f>
        <v>0</v>
      </c>
      <c r="F144" s="141">
        <f>SUM(F130:F143)</f>
        <v>0</v>
      </c>
      <c r="G144" s="141">
        <f>SUM(G130:G143)</f>
        <v>0</v>
      </c>
    </row>
    <row r="145" spans="1:9" ht="12.75" thickTop="1" thickBot="1" x14ac:dyDescent="0.25">
      <c r="A145" s="33" t="s">
        <v>244</v>
      </c>
      <c r="C145" s="86">
        <f>(C115+C128+C144)</f>
        <v>14027736.280000001</v>
      </c>
      <c r="D145" s="86">
        <f>(D115+D128+D144)</f>
        <v>216232.58</v>
      </c>
      <c r="E145" s="86">
        <f>(E115+E128+E144)</f>
        <v>616067.06000000006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Pemi-Baker School District</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20432</v>
      </c>
    </row>
    <row r="7" spans="1:4" x14ac:dyDescent="0.2">
      <c r="B7" t="s">
        <v>701</v>
      </c>
      <c r="C7" s="179">
        <f>IF('DOE25'!I666+'DOE25'!I671=0,0,ROUND('DOE25'!I673,0))</f>
        <v>20432</v>
      </c>
    </row>
    <row r="9" spans="1:4" x14ac:dyDescent="0.2">
      <c r="A9" s="187" t="s">
        <v>94</v>
      </c>
      <c r="B9" s="188" t="s">
        <v>1671</v>
      </c>
      <c r="C9" s="181" t="s">
        <v>720</v>
      </c>
      <c r="D9" s="181" t="s">
        <v>721</v>
      </c>
    </row>
    <row r="10" spans="1:4" x14ac:dyDescent="0.2">
      <c r="A10">
        <v>1100</v>
      </c>
      <c r="B10" t="s">
        <v>702</v>
      </c>
      <c r="C10" s="179">
        <f>ROUND('DOE25'!L198+'DOE25'!L216+'DOE25'!L234+'DOE25'!L277+'DOE25'!L296+'DOE25'!L315,0)</f>
        <v>5248527</v>
      </c>
      <c r="D10" s="182">
        <f>ROUND((C10/$C$28)*100,1)</f>
        <v>37.700000000000003</v>
      </c>
    </row>
    <row r="11" spans="1:4" x14ac:dyDescent="0.2">
      <c r="A11">
        <v>1200</v>
      </c>
      <c r="B11" t="s">
        <v>703</v>
      </c>
      <c r="C11" s="179">
        <f>ROUND('DOE25'!L199+'DOE25'!L217+'DOE25'!L235+'DOE25'!L278+'DOE25'!L297+'DOE25'!L316,0)</f>
        <v>1881833</v>
      </c>
      <c r="D11" s="182">
        <f>ROUND((C11/$C$28)*100,1)</f>
        <v>13.5</v>
      </c>
    </row>
    <row r="12" spans="1:4" x14ac:dyDescent="0.2">
      <c r="A12">
        <v>1300</v>
      </c>
      <c r="B12" t="s">
        <v>704</v>
      </c>
      <c r="C12" s="179">
        <f>ROUND('DOE25'!L200+'DOE25'!L218+'DOE25'!L236+'DOE25'!L279+'DOE25'!L298+'DOE25'!L317,0)</f>
        <v>816679</v>
      </c>
      <c r="D12" s="182">
        <f>ROUND((C12/$C$28)*100,1)</f>
        <v>5.9</v>
      </c>
    </row>
    <row r="13" spans="1:4" x14ac:dyDescent="0.2">
      <c r="A13">
        <v>1400</v>
      </c>
      <c r="B13" t="s">
        <v>705</v>
      </c>
      <c r="C13" s="179">
        <f>ROUND('DOE25'!L201+'DOE25'!L219+'DOE25'!L237+'DOE25'!L280+'DOE25'!L299+'DOE25'!L318,0)</f>
        <v>515556</v>
      </c>
      <c r="D13" s="182">
        <f>ROUND((C13/$C$28)*100,1)</f>
        <v>3.7</v>
      </c>
    </row>
    <row r="14" spans="1:4" x14ac:dyDescent="0.2">
      <c r="D14" s="182"/>
    </row>
    <row r="15" spans="1:4" x14ac:dyDescent="0.2">
      <c r="A15">
        <v>2100</v>
      </c>
      <c r="B15" t="s">
        <v>706</v>
      </c>
      <c r="C15" s="179">
        <f>ROUND('DOE25'!L203+'DOE25'!L221+'DOE25'!L239+'DOE25'!L282+'DOE25'!L301+'DOE25'!L320,0)</f>
        <v>1203688</v>
      </c>
      <c r="D15" s="182">
        <f t="shared" ref="D15:D27" si="0">ROUND((C15/$C$28)*100,1)</f>
        <v>8.6999999999999993</v>
      </c>
    </row>
    <row r="16" spans="1:4" x14ac:dyDescent="0.2">
      <c r="A16">
        <v>2200</v>
      </c>
      <c r="B16" t="s">
        <v>707</v>
      </c>
      <c r="C16" s="179">
        <f>ROUND('DOE25'!L204+'DOE25'!L222+'DOE25'!L240+'DOE25'!L283+'DOE25'!L302+'DOE25'!L321,0)</f>
        <v>190089</v>
      </c>
      <c r="D16" s="182">
        <f t="shared" si="0"/>
        <v>1.4</v>
      </c>
    </row>
    <row r="17" spans="1:4" x14ac:dyDescent="0.2">
      <c r="A17" s="183" t="s">
        <v>723</v>
      </c>
      <c r="B17" t="s">
        <v>738</v>
      </c>
      <c r="C17" s="179">
        <f>ROUND('DOE25'!L205+'DOE25'!L210+'DOE25'!L223+'DOE25'!L228+'DOE25'!L241+'DOE25'!L246+'DOE25'!L284+'DOE25'!L289+'DOE25'!L303+'DOE25'!L308+'DOE25'!L322+'DOE25'!L327,0)</f>
        <v>1073798</v>
      </c>
      <c r="D17" s="182">
        <f t="shared" si="0"/>
        <v>7.7</v>
      </c>
    </row>
    <row r="18" spans="1:4" x14ac:dyDescent="0.2">
      <c r="A18">
        <v>2400</v>
      </c>
      <c r="B18" t="s">
        <v>711</v>
      </c>
      <c r="C18" s="179">
        <f>ROUND('DOE25'!L206+'DOE25'!L224+'DOE25'!L242+'DOE25'!L285+'DOE25'!L304+'DOE25'!L323,0)</f>
        <v>613851</v>
      </c>
      <c r="D18" s="182">
        <f t="shared" si="0"/>
        <v>4.4000000000000004</v>
      </c>
    </row>
    <row r="19" spans="1:4" x14ac:dyDescent="0.2">
      <c r="A19">
        <v>2500</v>
      </c>
      <c r="B19" t="s">
        <v>708</v>
      </c>
      <c r="C19" s="179">
        <f>ROUND('DOE25'!L207+'DOE25'!L225+'DOE25'!L243+'DOE25'!L286+'DOE25'!L305+'DOE25'!L324,0)</f>
        <v>21719</v>
      </c>
      <c r="D19" s="182">
        <f t="shared" si="0"/>
        <v>0.2</v>
      </c>
    </row>
    <row r="20" spans="1:4" x14ac:dyDescent="0.2">
      <c r="A20">
        <v>2600</v>
      </c>
      <c r="B20" t="s">
        <v>709</v>
      </c>
      <c r="C20" s="179">
        <f>ROUND('DOE25'!L208+'DOE25'!L226+'DOE25'!L244+'DOE25'!L287+'DOE25'!L306+'DOE25'!L325,0)</f>
        <v>1486955</v>
      </c>
      <c r="D20" s="182">
        <f t="shared" si="0"/>
        <v>10.7</v>
      </c>
    </row>
    <row r="21" spans="1:4" x14ac:dyDescent="0.2">
      <c r="A21">
        <v>2700</v>
      </c>
      <c r="B21" t="s">
        <v>710</v>
      </c>
      <c r="C21" s="179">
        <f>ROUND('DOE25'!L209+'DOE25'!L227+'DOE25'!L245+'DOE25'!L288+'DOE25'!L307+'DOE25'!L326,0)</f>
        <v>558230</v>
      </c>
      <c r="D21" s="182">
        <f t="shared" si="0"/>
        <v>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126217</v>
      </c>
      <c r="D25" s="182">
        <f t="shared" si="0"/>
        <v>0.9</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172386.54</v>
      </c>
      <c r="D27" s="182">
        <f t="shared" si="0"/>
        <v>1.2</v>
      </c>
    </row>
    <row r="28" spans="1:4" x14ac:dyDescent="0.2">
      <c r="B28" s="187" t="s">
        <v>719</v>
      </c>
      <c r="C28" s="180">
        <f>SUM(C10:C27)</f>
        <v>13909528.539999999</v>
      </c>
      <c r="D28" s="184">
        <f>ROUND(SUM(D10:D27),0)</f>
        <v>100</v>
      </c>
    </row>
    <row r="29" spans="1:4" x14ac:dyDescent="0.2">
      <c r="A29">
        <v>4000</v>
      </c>
      <c r="B29" t="s">
        <v>724</v>
      </c>
      <c r="C29" s="179">
        <f>ROUND('DOE25'!L256+'DOE25'!L337+'DOE25'!L375+'DOE25'!L376+'DOE25'!L377+'DOE25'!L378+'DOE25'!L379+'DOE25'!L380+'DOE25'!L381,0)</f>
        <v>431070</v>
      </c>
    </row>
    <row r="30" spans="1:4" x14ac:dyDescent="0.2">
      <c r="B30" s="187" t="s">
        <v>725</v>
      </c>
      <c r="C30" s="180">
        <f>SUM(C28:C29)</f>
        <v>14340598.539999999</v>
      </c>
    </row>
    <row r="31" spans="1:4" x14ac:dyDescent="0.2">
      <c r="B31" s="33"/>
      <c r="C31" s="180"/>
    </row>
    <row r="32" spans="1:4" x14ac:dyDescent="0.2">
      <c r="A32">
        <v>5100</v>
      </c>
      <c r="B32" s="33" t="s">
        <v>726</v>
      </c>
      <c r="C32" s="180">
        <f>ROUND('DOE25'!L261+'DOE25'!L342,0)</f>
        <v>475590</v>
      </c>
    </row>
    <row r="34" spans="1:4" x14ac:dyDescent="0.2">
      <c r="A34" s="187" t="s">
        <v>94</v>
      </c>
      <c r="B34" s="188" t="s">
        <v>1667</v>
      </c>
      <c r="C34" s="181" t="s">
        <v>720</v>
      </c>
      <c r="D34" s="181" t="s">
        <v>721</v>
      </c>
    </row>
    <row r="35" spans="1:4" x14ac:dyDescent="0.2">
      <c r="A35">
        <v>1100</v>
      </c>
      <c r="B35" s="185" t="s">
        <v>727</v>
      </c>
      <c r="C35" s="179">
        <f>ROUND('DOE25'!F60+'DOE25'!G60+'DOE25'!H60+'DOE25'!I60+'DOE25'!J60,0)</f>
        <v>10147134</v>
      </c>
      <c r="D35" s="182">
        <f t="shared" ref="D35:D40" si="1">ROUND((C35/$C$41)*100,1)</f>
        <v>65.400000000000006</v>
      </c>
    </row>
    <row r="36" spans="1:4" x14ac:dyDescent="0.2">
      <c r="B36" s="185" t="s">
        <v>739</v>
      </c>
      <c r="C36" s="179">
        <f>SUM('DOE25'!F112:J112)-SUM('DOE25'!G97:G110)+('DOE25'!F175+'DOE25'!F176+'DOE25'!I175+'DOE25'!I176)-C35</f>
        <v>331610.78000000119</v>
      </c>
      <c r="D36" s="182">
        <f t="shared" si="1"/>
        <v>2.1</v>
      </c>
    </row>
    <row r="37" spans="1:4" x14ac:dyDescent="0.2">
      <c r="A37" s="183" t="s">
        <v>835</v>
      </c>
      <c r="B37" s="185" t="s">
        <v>728</v>
      </c>
      <c r="C37" s="179">
        <f>ROUND('DOE25'!F117+'DOE25'!F118,0)</f>
        <v>4118349</v>
      </c>
      <c r="D37" s="182">
        <f t="shared" si="1"/>
        <v>26.5</v>
      </c>
    </row>
    <row r="38" spans="1:4" x14ac:dyDescent="0.2">
      <c r="A38" s="183" t="s">
        <v>734</v>
      </c>
      <c r="B38" s="185" t="s">
        <v>729</v>
      </c>
      <c r="C38" s="179">
        <f>ROUND(SUM('DOE25'!F140:J140)-SUM('DOE25'!F117:F119),0)</f>
        <v>76818</v>
      </c>
      <c r="D38" s="182">
        <f t="shared" si="1"/>
        <v>0.5</v>
      </c>
    </row>
    <row r="39" spans="1:4" x14ac:dyDescent="0.2">
      <c r="A39">
        <v>4000</v>
      </c>
      <c r="B39" s="185" t="s">
        <v>730</v>
      </c>
      <c r="C39" s="179">
        <f>ROUND('DOE25'!F170+'DOE25'!G170+'DOE25'!H170+'DOE25'!I170,0)</f>
        <v>843434</v>
      </c>
      <c r="D39" s="182">
        <f t="shared" si="1"/>
        <v>5.4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15517345.780000001</v>
      </c>
      <c r="D41" s="184">
        <f>SUM(D35:D40)</f>
        <v>99.9</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Pemi-Baker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2021-09-09T13:14:06Z</cp:lastPrinted>
  <dcterms:created xsi:type="dcterms:W3CDTF">1997-12-04T19:04:30Z</dcterms:created>
  <dcterms:modified xsi:type="dcterms:W3CDTF">2021-12-14T19:28:26Z</dcterms:modified>
</cp:coreProperties>
</file>