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9200" windowHeight="705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73" i="1" l="1"/>
  <c r="G473" i="1"/>
  <c r="G469" i="1"/>
  <c r="F469" i="1"/>
  <c r="F473"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I409" i="1" s="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I471" i="1"/>
  <c r="F475" i="1"/>
  <c r="G475" i="1"/>
  <c r="H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1" i="1"/>
  <c r="H633" i="1"/>
  <c r="H634" i="1"/>
  <c r="H636" i="1"/>
  <c r="H637" i="1"/>
  <c r="G641" i="1"/>
  <c r="G644" i="1"/>
  <c r="G645" i="1"/>
  <c r="G651" i="1"/>
  <c r="G652" i="1"/>
  <c r="J652" i="1" s="1"/>
  <c r="G653" i="1"/>
  <c r="H653" i="1"/>
  <c r="G654" i="1"/>
  <c r="H654" i="1"/>
  <c r="G655" i="1"/>
  <c r="H655" i="1"/>
  <c r="H656" i="1"/>
  <c r="G62" i="2"/>
  <c r="I170" i="1"/>
  <c r="G553" i="1" l="1"/>
  <c r="J656" i="1"/>
  <c r="G646" i="1"/>
  <c r="G409" i="1"/>
  <c r="H646" i="1" s="1"/>
  <c r="J646" i="1" s="1"/>
  <c r="H409" i="1"/>
  <c r="H645" i="1" s="1"/>
  <c r="J645" i="1" s="1"/>
  <c r="E124" i="2"/>
  <c r="G662" i="1"/>
  <c r="K339" i="1"/>
  <c r="K353" i="1" s="1"/>
  <c r="C112" i="2"/>
  <c r="C110" i="2"/>
  <c r="C13" i="10"/>
  <c r="D15" i="13"/>
  <c r="C15" i="13" s="1"/>
  <c r="H663" i="1"/>
  <c r="E123" i="2"/>
  <c r="C119" i="2"/>
  <c r="A40" i="12"/>
  <c r="C121" i="2"/>
  <c r="J258" i="1"/>
  <c r="C120" i="2"/>
  <c r="E110" i="2"/>
  <c r="D6" i="13"/>
  <c r="C6" i="13" s="1"/>
  <c r="G339" i="1"/>
  <c r="G353" i="1" s="1"/>
  <c r="E119"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G647" i="1" l="1"/>
  <c r="J469" i="1"/>
  <c r="C141" i="2"/>
  <c r="C144" i="2" s="1"/>
  <c r="F194" i="1"/>
  <c r="G628" i="1" s="1"/>
  <c r="J628" i="1" s="1"/>
  <c r="C81" i="2"/>
  <c r="H194" i="1"/>
  <c r="E128" i="2"/>
  <c r="H649" i="1"/>
  <c r="J649" i="1" s="1"/>
  <c r="E115" i="2"/>
  <c r="G24" i="14"/>
  <c r="H24" i="14" s="1"/>
  <c r="I24" i="14" s="1"/>
  <c r="F661" i="1"/>
  <c r="F665" i="1" s="1"/>
  <c r="F668" i="1" s="1"/>
  <c r="H661" i="1"/>
  <c r="H665" i="1" s="1"/>
  <c r="H668" i="1" s="1"/>
  <c r="F51" i="2"/>
  <c r="G36" i="14"/>
  <c r="H36" i="14" s="1"/>
  <c r="I36" i="14" s="1"/>
  <c r="E104" i="2"/>
  <c r="C36" i="10"/>
  <c r="L435" i="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G194" i="1"/>
  <c r="G629" i="1" s="1"/>
  <c r="J629" i="1" s="1"/>
  <c r="G627" i="1"/>
  <c r="J52" i="1"/>
  <c r="H622" i="1" s="1"/>
  <c r="J622" i="1" s="1"/>
  <c r="C38" i="10"/>
  <c r="G639" i="1" l="1"/>
  <c r="J473" i="1"/>
  <c r="J471" i="1"/>
  <c r="H638" i="1"/>
  <c r="H632" i="1"/>
  <c r="J632" i="1" s="1"/>
  <c r="G630" i="1"/>
  <c r="H469" i="1"/>
  <c r="C104" i="2"/>
  <c r="E145" i="2"/>
  <c r="H673" i="1"/>
  <c r="C6" i="10"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J475" i="1" l="1"/>
  <c r="J477" i="1" s="1"/>
  <c r="H627" i="1" s="1"/>
  <c r="J627" i="1" s="1"/>
  <c r="H639" i="1"/>
  <c r="J639" i="1"/>
  <c r="J638" i="1"/>
  <c r="H471" i="1"/>
  <c r="H477" i="1" s="1"/>
  <c r="H625" i="1" s="1"/>
  <c r="J625" i="1" s="1"/>
  <c r="H630" i="1"/>
  <c r="J630" i="1" s="1"/>
  <c r="I668" i="1"/>
  <c r="D28" i="10"/>
  <c r="D37" i="10"/>
  <c r="D36" i="10"/>
  <c r="D35" i="10"/>
  <c r="D40" i="10"/>
  <c r="D39" i="10"/>
  <c r="H657"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<sst xmlns="http://schemas.openxmlformats.org/spreadsheetml/2006/main" count="5581" uniqueCount="1676">
  <si>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</si>
  <si>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</si>
  <si>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</si>
  <si>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</si>
  <si>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</si>
  <si>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</si>
  <si>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</si>
  <si>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</si>
  <si>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</si>
  <si>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</si>
  <si>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</si>
  <si>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</si>
  <si>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</si>
  <si>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</si>
  <si>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</si>
  <si>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</si>
  <si>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</si>
  <si>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</si>
  <si>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</si>
  <si>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</si>
  <si>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</si>
  <si>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</si>
  <si>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</si>
  <si>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</si>
  <si>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</si>
  <si>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</si>
  <si>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</si>
  <si>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</si>
  <si>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</si>
  <si>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</si>
  <si>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</si>
  <si>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</si>
  <si>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</si>
  <si>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</si>
  <si>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</si>
  <si>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</si>
  <si>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</si>
  <si>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</si>
  <si>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</si>
  <si>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</si>
  <si>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</si>
  <si>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</si>
  <si>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</si>
  <si>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</si>
  <si>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</si>
  <si>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</si>
  <si>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</si>
  <si>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</si>
  <si>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</si>
  <si>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</si>
  <si>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</si>
  <si>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</si>
  <si>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</si>
  <si>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</si>
  <si>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</si>
  <si>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</si>
  <si>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</si>
  <si>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</si>
  <si>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</si>
  <si>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</si>
  <si>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</si>
  <si>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</si>
  <si>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</si>
  <si>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</si>
  <si>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</si>
  <si>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</si>
  <si>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</si>
  <si>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</si>
  <si>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</si>
  <si>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</si>
  <si>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</si>
  <si>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</si>
  <si>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</si>
  <si>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</si>
  <si>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</si>
  <si>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</si>
  <si>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</si>
  <si>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</si>
  <si>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</si>
  <si>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</si>
  <si>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</si>
  <si>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</si>
  <si>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</si>
  <si>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</si>
  <si>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</si>
  <si>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</si>
  <si>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</si>
  <si>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</si>
  <si>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</si>
  <si>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</si>
  <si>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</si>
  <si>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</si>
  <si>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</si>
  <si>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</si>
  <si>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</si>
  <si>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</si>
  <si>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</si>
  <si>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</si>
  <si>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</si>
  <si>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</si>
  <si>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</si>
  <si>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</si>
  <si>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</si>
  <si>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</si>
  <si>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</si>
  <si>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</si>
  <si>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</si>
  <si>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</si>
  <si>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</si>
  <si>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</si>
  <si>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</si>
  <si>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</si>
  <si>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</si>
  <si>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</si>
  <si>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</si>
  <si>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</si>
  <si>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</si>
  <si>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</si>
  <si>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</si>
  <si>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</si>
  <si>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</si>
  <si>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</si>
  <si>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</si>
  <si>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</si>
  <si>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</si>
  <si>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</si>
  <si>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</si>
  <si>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</si>
  <si>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</si>
  <si>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</si>
  <si>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</si>
  <si>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</si>
  <si>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</si>
  <si>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</si>
  <si>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</si>
  <si>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</si>
  <si>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</si>
  <si>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</si>
  <si>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</si>
  <si>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</si>
  <si>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</si>
  <si>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</si>
  <si>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</si>
  <si>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</si>
  <si>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</si>
  <si>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</si>
  <si>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</si>
  <si>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</si>
  <si>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</si>
  <si>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</si>
  <si>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</si>
  <si>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</si>
  <si>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</si>
  <si>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</si>
  <si>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</si>
  <si>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</si>
  <si>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</si>
  <si>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</si>
  <si>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</si>
  <si>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</si>
  <si>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</si>
  <si>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</si>
  <si>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</si>
  <si>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</si>
  <si>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</si>
  <si>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</si>
  <si>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</si>
  <si>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</si>
  <si>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</si>
  <si>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</si>
  <si>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</si>
  <si>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</si>
  <si>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</si>
  <si>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</si>
  <si>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</si>
  <si>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</si>
  <si>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</si>
  <si>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</si>
  <si>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</si>
  <si>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</si>
  <si>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</si>
  <si>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</si>
  <si>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</si>
  <si>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</si>
  <si>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</si>
  <si>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</si>
  <si>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</si>
  <si>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</si>
  <si>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</si>
  <si>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</si>
  <si>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</si>
  <si>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</si>
  <si>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</si>
  <si>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</si>
  <si>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</si>
  <si>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</si>
  <si>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</si>
  <si>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</si>
  <si>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</si>
  <si>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</si>
  <si>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</si>
  <si>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</si>
  <si>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</si>
  <si>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</si>
  <si>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</si>
  <si>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</si>
  <si>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</si>
  <si>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</si>
  <si>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</si>
  <si>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</si>
  <si>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</si>
  <si>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</si>
  <si>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</si>
  <si>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</si>
  <si>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</si>
  <si>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</si>
  <si>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</si>
  <si>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</si>
  <si>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</si>
  <si>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</si>
  <si>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</si>
  <si>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</si>
  <si>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</si>
  <si>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</si>
  <si>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</si>
  <si>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</si>
  <si>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</si>
  <si>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</si>
  <si>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</si>
  <si>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</si>
  <si>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</si>
  <si>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</si>
  <si>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</si>
  <si>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</si>
  <si>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</si>
  <si>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</si>
  <si>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</si>
  <si>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</si>
  <si>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</si>
  <si>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</si>
  <si>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</si>
  <si>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</si>
  <si>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</si>
  <si>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</si>
  <si>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</si>
  <si>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</si>
  <si>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</si>
  <si>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</si>
  <si>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</si>
  <si>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</si>
  <si>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</si>
  <si>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</si>
  <si>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</si>
  <si>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</si>
  <si>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</si>
  <si>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</si>
  <si>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</si>
  <si>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</si>
  <si>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</si>
  <si>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</si>
  <si>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</si>
  <si>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</si>
  <si>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</si>
  <si>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</si>
  <si>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</si>
  <si>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</si>
  <si>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</si>
  <si>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</si>
  <si>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</si>
  <si>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</si>
  <si>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</si>
  <si>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</si>
  <si>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</si>
  <si>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</si>
  <si>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</si>
  <si>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</si>
  <si>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</si>
  <si>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</si>
  <si>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</si>
  <si>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</si>
  <si>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</si>
  <si>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</si>
  <si>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</si>
  <si>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</si>
  <si>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</si>
  <si>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</si>
  <si>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</si>
  <si>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</si>
  <si>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</si>
  <si>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</si>
  <si>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</si>
  <si>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</si>
  <si>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</si>
  <si>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</si>
  <si>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</si>
  <si>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</si>
  <si>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</si>
  <si>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</si>
  <si>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</si>
  <si>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</si>
  <si>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</si>
  <si>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</si>
  <si>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</si>
  <si>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</si>
  <si>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</si>
  <si>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</si>
  <si>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</si>
  <si>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</si>
  <si>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</si>
  <si>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</si>
  <si>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</si>
  <si>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</si>
  <si>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</si>
  <si>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</si>
  <si>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</si>
  <si>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</si>
  <si>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</si>
  <si>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</si>
  <si>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</si>
  <si>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</si>
  <si>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</si>
  <si>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</si>
  <si>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</si>
  <si>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</si>
  <si>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</si>
  <si>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</si>
  <si>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</si>
  <si>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</si>
  <si>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</si>
  <si>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</si>
  <si>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</si>
  <si>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</si>
  <si>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</si>
  <si>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</si>
  <si>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</si>
  <si>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</si>
  <si>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</si>
  <si>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</si>
  <si>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</si>
  <si>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</si>
  <si>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</si>
  <si>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</si>
  <si>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</si>
  <si>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</si>
  <si>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</si>
  <si>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</si>
  <si>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</si>
  <si>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</si>
  <si>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</si>
  <si>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</si>
  <si>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</si>
  <si>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</si>
  <si>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</si>
  <si>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</si>
  <si>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</si>
  <si>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</si>
  <si>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</si>
  <si>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</si>
  <si>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</si>
  <si>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</si>
  <si>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</si>
  <si>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</si>
  <si>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</si>
  <si>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</si>
  <si>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</si>
  <si>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</si>
  <si>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</si>
  <si>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</si>
  <si>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</si>
  <si>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</si>
  <si>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</si>
  <si>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</si>
  <si>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</si>
  <si>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</si>
  <si>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</si>
  <si>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</si>
  <si>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</si>
  <si>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</si>
  <si>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</si>
  <si>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</si>
  <si>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</si>
  <si>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</si>
  <si>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</si>
  <si>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</si>
  <si>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</si>
  <si>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</si>
  <si>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</si>
  <si>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</si>
  <si>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</si>
  <si>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</si>
  <si>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</si>
  <si>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</si>
  <si>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</si>
  <si>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</si>
  <si>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</si>
  <si>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</si>
  <si>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</si>
  <si>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</si>
  <si>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</si>
  <si>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</si>
  <si>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</si>
  <si>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</si>
  <si>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</si>
  <si>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</si>
  <si>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</si>
  <si>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</si>
  <si>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</si>
  <si>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</si>
  <si>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</si>
  <si>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</si>
  <si>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</si>
  <si>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</si>
  <si>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</si>
  <si>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</si>
  <si>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</si>
  <si>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</si>
  <si>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</si>
  <si>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</si>
  <si>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</si>
  <si>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</si>
  <si>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</si>
  <si>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</si>
  <si>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</si>
  <si>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</si>
  <si>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</si>
  <si>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</si>
  <si>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</si>
  <si>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</si>
  <si>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</si>
  <si>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</si>
  <si>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</si>
  <si>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</si>
  <si>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</si>
  <si>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</si>
  <si>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</si>
  <si>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</si>
  <si>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</si>
  <si>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</si>
  <si>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</si>
  <si>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</si>
  <si>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</si>
  <si>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</si>
  <si>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</si>
  <si>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</si>
  <si>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</si>
  <si>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</si>
  <si>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</si>
  <si>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</si>
  <si>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</si>
  <si>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</si>
  <si>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</si>
  <si>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</si>
  <si>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</si>
  <si>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</si>
  <si>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</si>
  <si>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</si>
  <si>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</si>
  <si>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</si>
  <si>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</si>
  <si>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</si>
  <si>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</si>
  <si>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</si>
  <si>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</si>
  <si>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</si>
  <si>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</si>
  <si>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</si>
  <si>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</si>
  <si>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</si>
  <si>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</si>
  <si>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</si>
  <si>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</si>
  <si>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</si>
  <si>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</si>
  <si>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</si>
  <si>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</si>
  <si>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</si>
  <si>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</si>
  <si>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</si>
  <si>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</si>
  <si>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</si>
  <si>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</si>
  <si>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</si>
  <si>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</si>
  <si>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</si>
  <si>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</si>
  <si>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</si>
  <si>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</si>
  <si>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</si>
  <si>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</si>
  <si>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</si>
  <si>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</si>
  <si>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</si>
  <si>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</si>
  <si>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</si>
  <si>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</si>
  <si>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</si>
  <si>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</si>
  <si>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</si>
  <si>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</si>
  <si>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</si>
  <si>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</si>
  <si>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</si>
  <si>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</si>
  <si>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</si>
  <si>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</si>
  <si>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</si>
  <si>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</si>
  <si>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</si>
  <si>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</si>
  <si>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</si>
  <si>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</si>
  <si>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</si>
  <si>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</si>
  <si>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</si>
  <si>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</si>
  <si>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</si>
  <si>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</si>
  <si>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</si>
  <si>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</si>
  <si>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</si>
  <si>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</si>
  <si>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</si>
  <si>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</si>
  <si>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</si>
  <si>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</si>
  <si>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</si>
  <si>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</si>
  <si>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</si>
  <si>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</si>
  <si>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</si>
  <si>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</si>
  <si>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</si>
  <si>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</si>
  <si>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</si>
  <si>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</si>
  <si>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</si>
  <si>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</si>
  <si>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</si>
  <si>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</si>
  <si>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</si>
  <si>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</si>
  <si>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</si>
  <si>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</si>
  <si>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</si>
  <si>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</si>
  <si>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</si>
  <si>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</si>
  <si>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</si>
  <si>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</si>
  <si>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</si>
  <si>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</si>
  <si>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</si>
  <si>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</si>
  <si>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</si>
  <si>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</si>
  <si>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</si>
  <si>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</si>
  <si>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</si>
  <si>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</si>
  <si>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</si>
  <si>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</si>
  <si>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</si>
  <si>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</si>
  <si>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</si>
  <si>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</si>
  <si>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</si>
  <si>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</si>
  <si>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</si>
  <si>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</si>
  <si>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</si>
  <si>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</si>
  <si>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</si>
  <si>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</si>
  <si>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</si>
  <si>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</si>
  <si>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</si>
  <si>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</si>
  <si>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</si>
  <si>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</si>
  <si>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</si>
  <si>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</si>
  <si>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</si>
  <si>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</si>
  <si>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</si>
  <si>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</si>
  <si>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</si>
  <si>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</si>
  <si>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</si>
  <si>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</si>
  <si>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</si>
  <si>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</si>
  <si>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</si>
  <si>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</si>
  <si>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</si>
  <si>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</si>
  <si>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</si>
  <si>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</si>
  <si>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</si>
  <si>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</si>
  <si>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</si>
  <si>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</si>
  <si>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</si>
  <si>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</si>
  <si>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</si>
  <si>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</si>
  <si>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</si>
  <si>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</si>
  <si>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</si>
  <si>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</si>
  <si>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</si>
  <si>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</si>
  <si>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</si>
  <si>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</si>
  <si>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</si>
  <si>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</si>
  <si>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</si>
  <si>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</si>
  <si>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</si>
  <si>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</si>
  <si>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</si>
  <si>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</si>
  <si>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</si>
  <si>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</si>
  <si>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</si>
  <si>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</si>
  <si>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</si>
  <si>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</si>
  <si>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</si>
  <si>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</si>
  <si>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</si>
  <si>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</si>
  <si>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</si>
  <si>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</si>
  <si>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</si>
  <si>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</si>
  <si>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</si>
  <si>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</si>
  <si>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</si>
  <si>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</si>
  <si>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</si>
  <si>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</si>
  <si>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</si>
  <si>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</si>
  <si>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</si>
  <si>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</si>
  <si>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</si>
  <si>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</si>
  <si>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</si>
  <si>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</si>
  <si>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</si>
  <si>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</si>
  <si>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</si>
  <si>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</si>
  <si>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</si>
  <si>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</si>
  <si>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</si>
  <si>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</si>
  <si>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</si>
  <si>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</si>
  <si>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</si>
  <si>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</si>
  <si>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</si>
  <si>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</si>
  <si>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</si>
  <si>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</si>
  <si>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</si>
  <si>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</si>
  <si>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</si>
  <si>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</si>
  <si>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</si>
  <si>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</si>
  <si>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</si>
  <si>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</si>
  <si>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</si>
  <si>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</si>
  <si>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</si>
  <si>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</si>
  <si>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</si>
  <si>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</si>
  <si>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</si>
  <si>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</si>
  <si>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</si>
  <si>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</si>
  <si>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</si>
  <si>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</si>
  <si>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</si>
  <si>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</si>
  <si>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</si>
  <si>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</si>
  <si>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</si>
  <si>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</si>
  <si>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</si>
  <si>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</si>
  <si>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</si>
  <si>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</si>
  <si>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</si>
  <si>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</si>
  <si>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</si>
  <si>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</si>
  <si>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</si>
  <si>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</si>
  <si>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</si>
  <si>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</si>
  <si>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</si>
  <si>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</si>
  <si>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</si>
  <si>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</si>
  <si>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</si>
  <si>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</si>
  <si>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</si>
  <si>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</si>
  <si>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</si>
  <si>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</si>
  <si>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</si>
  <si>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</si>
  <si>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</si>
  <si>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</si>
  <si>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</si>
  <si>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</si>
  <si>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</si>
  <si>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</si>
  <si>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</si>
  <si>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</si>
  <si>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</si>
  <si>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</si>
  <si>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</si>
  <si>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</si>
  <si>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</si>
  <si>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</si>
  <si>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</si>
  <si>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</si>
  <si>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</si>
  <si>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</si>
  <si>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</si>
  <si>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</si>
  <si>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</si>
  <si>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</si>
  <si>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</si>
  <si>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</si>
  <si>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</si>
  <si>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</si>
  <si>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</si>
  <si>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</si>
  <si>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</si>
  <si>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</si>
  <si>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</si>
  <si>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</si>
  <si>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</si>
  <si>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</si>
  <si>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</si>
  <si>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</si>
  <si>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</si>
  <si>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</si>
  <si>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</si>
  <si>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</si>
  <si>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</si>
  <si>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</si>
  <si>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</si>
  <si>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</si>
  <si>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</si>
  <si>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</si>
  <si>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</si>
  <si>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</si>
  <si>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</si>
  <si>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</si>
  <si>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</si>
  <si>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</si>
  <si>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</si>
  <si>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</si>
  <si>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</si>
  <si>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</si>
  <si>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</si>
  <si>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</si>
  <si>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</si>
  <si>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</si>
  <si>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</si>
  <si>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</si>
  <si>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</si>
  <si>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</si>
  <si>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</si>
  <si>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</si>
  <si>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</si>
  <si>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</si>
  <si>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</si>
  <si>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</si>
  <si>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</si>
  <si>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</si>
  <si>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</si>
  <si>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</si>
  <si>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</si>
  <si>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</si>
  <si>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</si>
  <si>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</si>
  <si>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</si>
  <si>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</si>
  <si>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</si>
  <si>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</si>
  <si>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</si>
  <si>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</si>
  <si>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</si>
  <si>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</si>
  <si>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</si>
  <si>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</si>
  <si>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</si>
  <si>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</si>
  <si>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</si>
  <si>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</si>
  <si>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</si>
  <si>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</si>
  <si>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</si>
  <si>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</si>
  <si>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</si>
  <si>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</si>
  <si>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</si>
  <si>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</si>
  <si>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</si>
  <si>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</si>
  <si>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</si>
  <si>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</si>
  <si>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</si>
  <si>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</si>
  <si>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</si>
  <si>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</si>
  <si>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</si>
  <si>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</si>
  <si>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</si>
  <si>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</si>
  <si>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</si>
  <si>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</si>
  <si>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</si>
  <si>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</si>
  <si>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</si>
  <si>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</si>
  <si>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</si>
  <si>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</si>
  <si>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</si>
  <si>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</si>
  <si>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</si>
  <si>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</si>
  <si>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</si>
  <si>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</si>
  <si>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</si>
  <si>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</si>
  <si>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</si>
  <si>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</si>
  <si>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</si>
  <si>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</si>
  <si>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</si>
  <si>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</si>
  <si>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</si>
  <si>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</si>
  <si>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</si>
  <si>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</si>
  <si>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</si>
  <si>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</si>
  <si>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</si>
  <si>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</si>
  <si>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</si>
  <si>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</si>
  <si>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</si>
  <si>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</si>
  <si>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</si>
  <si>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</si>
  <si>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</si>
  <si>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</si>
  <si>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</si>
  <si>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</si>
  <si>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</si>
  <si>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</si>
  <si>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</si>
  <si>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</si>
  <si>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</si>
  <si>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</si>
  <si>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</si>
  <si>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</si>
  <si>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</si>
  <si>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</si>
  <si>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</si>
  <si>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</si>
  <si>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</si>
  <si>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</si>
  <si>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</si>
  <si>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</si>
  <si>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</si>
  <si>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</si>
  <si>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</si>
  <si>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</si>
  <si>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</si>
  <si>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</si>
  <si>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</si>
  <si>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</si>
  <si>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</si>
  <si>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</si>
  <si>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</si>
  <si>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</si>
  <si>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</si>
  <si>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</si>
  <si>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</si>
  <si>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</si>
  <si>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</si>
  <si>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</si>
  <si>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</si>
  <si>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</si>
  <si>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</si>
  <si>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</si>
  <si>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</si>
  <si>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</si>
  <si>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</si>
  <si>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</si>
  <si>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</si>
  <si>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</si>
  <si>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</si>
  <si>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</si>
  <si>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</si>
  <si>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</si>
  <si>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</si>
  <si>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</si>
  <si>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</si>
  <si>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</si>
  <si>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</si>
  <si>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</si>
  <si>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</si>
  <si>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</si>
  <si>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</si>
  <si>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</si>
  <si>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</si>
  <si>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</si>
  <si>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</si>
  <si>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</si>
  <si>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</si>
  <si>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</si>
  <si>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</si>
  <si>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</si>
  <si>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</si>
  <si>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</si>
  <si>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</si>
  <si>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</si>
  <si>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</si>
  <si>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</si>
  <si>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</si>
  <si>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</si>
  <si>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</si>
  <si>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</si>
  <si>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</si>
  <si>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</si>
  <si>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</si>
  <si>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</si>
  <si>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</si>
  <si>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</si>
  <si>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</si>
  <si>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</si>
  <si>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</si>
  <si>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</si>
  <si>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</si>
  <si>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</si>
  <si>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</si>
  <si>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</si>
  <si>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</si>
  <si>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</si>
  <si>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</si>
  <si>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</si>
  <si>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</si>
  <si>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</si>
  <si>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</si>
  <si>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</si>
  <si>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</si>
  <si>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</si>
  <si>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</si>
  <si>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</si>
  <si>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</si>
  <si>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</si>
  <si>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</si>
  <si>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</si>
  <si>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</si>
  <si>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</si>
  <si>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</si>
  <si>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</si>
  <si>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</si>
  <si>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</si>
  <si>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</si>
  <si>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</si>
  <si>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</si>
  <si>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</si>
  <si>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</si>
  <si>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</si>
  <si>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</si>
  <si>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</si>
  <si>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</si>
  <si>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</si>
  <si>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</si>
  <si>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</si>
  <si>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</si>
  <si>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</si>
  <si>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</si>
  <si>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</si>
  <si>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</si>
  <si>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</si>
  <si>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</si>
  <si>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</si>
  <si>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</si>
  <si>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</si>
  <si>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</si>
  <si>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</si>
  <si>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</si>
  <si>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</si>
  <si>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</si>
  <si>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</si>
  <si>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</si>
  <si>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</si>
  <si>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</si>
  <si>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</si>
  <si>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</si>
  <si>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</si>
  <si>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</si>
  <si>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</si>
  <si>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</si>
  <si>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</si>
  <si>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</si>
  <si>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</si>
  <si>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</si>
  <si>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</si>
  <si>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</si>
  <si>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</si>
  <si>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</si>
  <si>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</si>
  <si>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</si>
  <si>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</si>
  <si>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</si>
  <si>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</si>
  <si>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</si>
  <si>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</si>
  <si>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</si>
  <si>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</si>
  <si>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</si>
  <si>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</si>
  <si>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</si>
  <si>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</si>
  <si>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</si>
  <si>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</si>
  <si>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</si>
  <si>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</si>
  <si>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</si>
  <si>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</si>
  <si>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</si>
  <si>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</si>
  <si>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</si>
  <si>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</si>
  <si>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</si>
  <si>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</si>
  <si>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</si>
  <si>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</si>
  <si>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</si>
  <si>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</si>
  <si>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</si>
  <si>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</si>
  <si>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</si>
  <si>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</si>
  <si>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</si>
  <si>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</si>
  <si>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</si>
  <si>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</si>
  <si>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</si>
  <si>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</si>
  <si>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</si>
  <si>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</si>
  <si>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</si>
  <si>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</si>
  <si>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</si>
  <si>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</si>
  <si>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</si>
  <si>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</si>
  <si>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</si>
  <si>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</si>
  <si>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</si>
  <si>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</si>
  <si>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</si>
  <si>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</si>
  <si>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</si>
  <si>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</si>
  <si>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</si>
  <si>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</si>
  <si>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</si>
  <si>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</si>
  <si>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</si>
  <si>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</si>
  <si>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</si>
  <si>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</si>
  <si>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</si>
  <si>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</si>
  <si>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</si>
  <si>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</si>
  <si>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</si>
  <si>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</si>
  <si>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</si>
  <si>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</si>
  <si>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</si>
  <si>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</si>
  <si>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</si>
  <si>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</si>
  <si>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</si>
  <si>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</si>
  <si>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</si>
  <si>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</si>
  <si>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</si>
  <si>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</si>
  <si>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</si>
  <si>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</si>
  <si>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</si>
  <si>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</si>
  <si>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</si>
  <si>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</si>
  <si>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</si>
  <si>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</si>
  <si>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</si>
  <si>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</si>
  <si>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</si>
  <si>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</si>
  <si>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</si>
  <si>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</si>
  <si>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</si>
  <si>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</si>
  <si>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</si>
  <si>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</si>
  <si>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</si>
  <si>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</si>
  <si>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</si>
  <si>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</si>
  <si>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</si>
  <si>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</si>
  <si>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</si>
  <si>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</si>
  <si>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</si>
  <si>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</si>
  <si>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</si>
  <si>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</si>
  <si>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</si>
  <si>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</si>
  <si>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</si>
  <si>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</si>
  <si>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</si>
  <si>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</si>
  <si>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</si>
  <si>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</si>
  <si>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</si>
  <si>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</si>
  <si>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</si>
  <si>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</si>
  <si>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</si>
  <si>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</si>
  <si>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</si>
  <si>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</si>
  <si>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</si>
  <si>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</si>
  <si>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</si>
  <si>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</si>
  <si>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</si>
  <si>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</si>
  <si>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</si>
  <si>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</si>
  <si>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</si>
  <si>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</si>
  <si>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</si>
  <si>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</si>
  <si>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</si>
  <si>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</si>
  <si>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</si>
  <si>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</si>
  <si>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</si>
  <si>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</si>
  <si>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</si>
  <si>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</si>
  <si>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</si>
  <si>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</si>
  <si>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</si>
  <si>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</si>
  <si>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</si>
  <si>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</si>
  <si>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</si>
  <si>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</si>
  <si>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</si>
  <si>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</si>
  <si>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</si>
  <si>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</si>
  <si>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</si>
  <si>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</si>
  <si>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</si>
  <si>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</si>
  <si>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</si>
  <si>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</si>
  <si>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</si>
  <si>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</si>
  <si>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</si>
  <si>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</si>
  <si>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</si>
  <si>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</si>
  <si>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</si>
  <si>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</si>
  <si>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</si>
  <si>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</si>
  <si>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</si>
  <si>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</si>
  <si>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</si>
  <si>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</si>
  <si>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</si>
  <si>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</si>
  <si>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</si>
  <si>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</si>
  <si>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</si>
  <si>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</si>
  <si>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</si>
  <si>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</si>
  <si>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</si>
  <si>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</si>
  <si>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</si>
  <si>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</si>
  <si>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</si>
  <si>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</si>
  <si>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</si>
  <si>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</si>
  <si>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</si>
  <si>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</si>
  <si>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</si>
  <si>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</si>
  <si>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</si>
  <si>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</si>
  <si>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</si>
  <si>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</si>
  <si>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</si>
  <si>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</si>
  <si>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</si>
  <si>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</si>
  <si>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</si>
  <si>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</si>
  <si>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</si>
  <si>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</si>
  <si>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</si>
  <si>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</si>
  <si>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</si>
  <si>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</si>
  <si>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</si>
  <si>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</si>
  <si>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</si>
  <si>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</si>
  <si>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</si>
  <si>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</si>
  <si>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</si>
  <si>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</si>
  <si>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</si>
  <si>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</si>
  <si>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</si>
  <si>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</si>
  <si>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</si>
  <si>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</si>
  <si>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</si>
  <si>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</si>
  <si>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</si>
  <si>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</si>
  <si>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</si>
  <si>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</si>
  <si>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</si>
  <si>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</si>
  <si>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</si>
  <si>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</si>
  <si>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</si>
  <si>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</si>
  <si>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</si>
  <si>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</si>
  <si>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</si>
  <si>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</si>
  <si>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</si>
  <si>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</si>
  <si>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</si>
  <si>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</si>
  <si>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</si>
  <si>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</si>
  <si>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</si>
  <si>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</si>
  <si>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</si>
  <si>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</si>
  <si>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</si>
  <si>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</si>
  <si>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</si>
  <si>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</si>
  <si>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</si>
  <si>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</si>
  <si>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</si>
  <si>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</si>
  <si>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</si>
  <si>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</si>
  <si>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</si>
  <si>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</si>
  <si>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</si>
  <si>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</si>
  <si>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</si>
  <si>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</si>
  <si>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</si>
  <si>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</si>
  <si>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</si>
  <si>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</si>
  <si>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</si>
  <si>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</si>
  <si>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</si>
  <si>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</si>
  <si>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</si>
  <si>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</si>
  <si>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</si>
  <si>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</si>
  <si>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</si>
  <si>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</si>
  <si>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</si>
  <si>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</si>
  <si>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</si>
  <si>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</si>
  <si>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</si>
  <si>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</si>
  <si>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</si>
  <si>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</si>
  <si>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</si>
  <si>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</si>
  <si>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</si>
  <si>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</si>
  <si>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</si>
  <si>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</si>
  <si>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</si>
  <si>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</si>
  <si>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</si>
  <si>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</si>
  <si>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</si>
  <si>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</si>
  <si>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</si>
  <si>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</si>
  <si>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</si>
  <si>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</si>
  <si>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</si>
  <si>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</si>
  <si>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</si>
  <si>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</si>
  <si>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</si>
  <si>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</si>
  <si>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</si>
  <si>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</si>
  <si>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</si>
  <si>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</si>
  <si>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</si>
  <si>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</si>
  <si>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</si>
  <si>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</si>
  <si>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</si>
  <si>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</si>
  <si>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</si>
  <si>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</si>
  <si>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</si>
  <si>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</si>
  <si>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</si>
  <si>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</si>
  <si>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</si>
  <si>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</si>
  <si>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</si>
  <si>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</si>
  <si>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</si>
  <si>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</si>
  <si>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</si>
  <si>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</si>
  <si>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</si>
  <si>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</si>
  <si>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</si>
  <si>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</si>
  <si>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</si>
  <si>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</si>
  <si>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</si>
  <si>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</si>
  <si>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</si>
  <si>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</si>
  <si>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</si>
  <si>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</si>
  <si>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</si>
  <si>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</si>
  <si>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</si>
  <si>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</si>
  <si>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</si>
  <si>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</si>
  <si>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</si>
  <si>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</si>
  <si>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</si>
  <si>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</si>
  <si>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</si>
  <si>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</si>
  <si>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</si>
  <si>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</si>
  <si>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</si>
  <si>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</si>
  <si>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</si>
  <si>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</si>
  <si>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</si>
  <si>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</si>
  <si>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</si>
  <si>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</si>
  <si>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</si>
  <si>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</si>
  <si>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</si>
  <si>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</si>
  <si>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</si>
  <si>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</si>
  <si>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</si>
  <si>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</si>
  <si>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</si>
  <si>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</si>
  <si>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</si>
  <si>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</si>
  <si>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</si>
  <si>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</si>
  <si>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</si>
  <si>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</si>
  <si>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</si>
  <si>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</si>
  <si>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</si>
  <si>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</si>
  <si>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</si>
  <si>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</si>
  <si>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</si>
  <si>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</si>
  <si>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</si>
  <si>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</si>
  <si>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</si>
  <si>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</si>
  <si>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</si>
  <si>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</si>
  <si>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</si>
  <si>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</si>
  <si>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</si>
  <si>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</si>
  <si>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</si>
  <si>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</si>
  <si>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</si>
  <si>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</si>
  <si>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</si>
  <si>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</si>
  <si>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</si>
  <si>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</si>
  <si>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</si>
  <si>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</si>
  <si>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</si>
  <si>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</si>
  <si>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</si>
  <si>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</si>
  <si>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</si>
  <si>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</si>
  <si>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</si>
  <si>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</si>
  <si>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</si>
  <si>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</si>
  <si>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</si>
  <si>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</si>
  <si>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</si>
  <si>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</si>
  <si>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</si>
  <si>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</si>
  <si>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</si>
  <si>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</si>
  <si>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</si>
  <si>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</si>
  <si>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</si>
  <si>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</si>
  <si>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</si>
  <si>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</si>
  <si>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</si>
  <si>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</si>
  <si>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</si>
  <si>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</si>
  <si>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</si>
  <si>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</si>
  <si>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</si>
  <si>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</si>
  <si>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</si>
  <si>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</si>
  <si>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</si>
  <si>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</si>
  <si>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</si>
  <si>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</si>
  <si>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</si>
  <si>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</si>
  <si>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</si>
  <si>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</si>
  <si>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</si>
  <si>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</si>
  <si>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</si>
  <si>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</si>
  <si>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</si>
  <si>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</si>
  <si>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</si>
  <si>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</si>
  <si>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</si>
  <si>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</si>
  <si>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</si>
  <si>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</si>
  <si>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</si>
  <si>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</si>
  <si>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</si>
  <si>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</si>
  <si>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</si>
  <si>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</si>
  <si>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</si>
  <si>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</si>
  <si>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</si>
  <si>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</si>
  <si>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</si>
  <si>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</si>
  <si>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</si>
  <si>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</si>
  <si>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</si>
  <si>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</si>
  <si>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</si>
  <si>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</si>
  <si>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</si>
  <si>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</si>
  <si>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</si>
  <si>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</si>
  <si>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</si>
  <si>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</si>
  <si>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</si>
  <si>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</si>
  <si>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</si>
  <si>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</si>
  <si>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</si>
  <si>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</si>
  <si>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</si>
  <si>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</si>
  <si>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</si>
  <si>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</si>
  <si>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</si>
  <si>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</si>
  <si>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</si>
  <si>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</si>
  <si>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</si>
  <si>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</si>
  <si>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</si>
  <si>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</si>
  <si>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</si>
  <si>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</si>
  <si>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</si>
  <si>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</si>
  <si>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</si>
  <si>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</si>
  <si>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</si>
  <si>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</si>
  <si>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</si>
  <si>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</si>
  <si>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</si>
  <si>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</si>
  <si>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</si>
  <si>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</si>
  <si>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</si>
  <si>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</si>
  <si>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</si>
  <si>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</si>
  <si>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</si>
  <si>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</si>
  <si>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</si>
  <si>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</si>
  <si>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</si>
  <si>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</si>
  <si>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</si>
  <si>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</si>
  <si>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</si>
  <si>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</si>
  <si>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</si>
  <si>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</si>
  <si>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</si>
  <si>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</si>
  <si>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</si>
  <si>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</si>
  <si>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</si>
  <si>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</si>
  <si>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</si>
  <si>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</si>
  <si>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</si>
  <si>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</si>
  <si>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</si>
  <si>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</si>
  <si>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</si>
  <si>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</si>
  <si>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</si>
  <si>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</si>
  <si>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</si>
  <si>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</si>
  <si>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</si>
  <si>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</si>
  <si>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</si>
  <si>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</si>
  <si>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</si>
  <si>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</si>
  <si>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</si>
  <si>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</si>
  <si>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</si>
  <si>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</si>
  <si>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</si>
  <si>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</si>
  <si>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</si>
  <si>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</si>
  <si>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</si>
  <si>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</si>
  <si>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</si>
  <si>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</si>
  <si>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</si>
  <si>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</si>
  <si>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</si>
  <si>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</si>
  <si>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</si>
  <si>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</si>
  <si>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</si>
  <si>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</si>
  <si>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</si>
  <si>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</si>
  <si>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</si>
  <si>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</si>
  <si>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</si>
  <si>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</si>
  <si>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</si>
  <si>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</si>
  <si>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</si>
  <si>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</si>
  <si>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</si>
  <si>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</si>
  <si>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</si>
  <si>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</si>
  <si>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</si>
  <si>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</si>
  <si>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</si>
  <si>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</si>
  <si>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</si>
  <si>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</si>
  <si>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</si>
  <si>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</si>
  <si>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</si>
  <si>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</si>
  <si>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</si>
  <si>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</si>
  <si>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</si>
  <si>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</si>
  <si>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</si>
  <si>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</si>
  <si>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</si>
  <si>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</si>
  <si>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</si>
  <si>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</si>
  <si>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</si>
  <si>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</si>
  <si>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</si>
  <si>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</si>
  <si>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</si>
  <si>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</si>
  <si>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</si>
  <si>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</si>
  <si>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</si>
  <si>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</si>
  <si>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</si>
  <si>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</si>
  <si>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</si>
  <si>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</si>
  <si>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</si>
  <si>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</si>
  <si>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</si>
  <si>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</si>
  <si>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</si>
  <si>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</si>
  <si>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</si>
  <si>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</si>
  <si>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</si>
  <si>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</si>
  <si>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</si>
  <si>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</si>
  <si>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</si>
  <si>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CARPENTER TRUST</t>
  </si>
  <si>
    <t>FUND 22 ACCOUNTS RECEIVABLE</t>
  </si>
  <si>
    <t>PITTSFIELD SCHOOL DISTRICT</t>
  </si>
  <si>
    <t>Pittsfield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</si>
</sst>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439</v>
      </c>
      <c r="C2" s="21">
        <v>439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388966.81</v>
      </c>
      <c r="G9" s="18">
        <v>19262.240000000002</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229281.77</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202321.04</v>
      </c>
      <c r="G12" s="18">
        <v>8032.33</v>
      </c>
      <c r="H12" s="18"/>
      <c r="I12" s="18"/>
      <c r="J12" s="67">
        <f>SUM(I442)</f>
        <v>7593.31</v>
      </c>
      <c r="K12" s="24" t="s">
        <v>288</v>
      </c>
      <c r="L12" s="24" t="s">
        <v>288</v>
      </c>
      <c r="M12" s="8"/>
      <c r="N12" s="264"/>
    </row>
    <row r="13" spans="1:14" s="3" customFormat="1" ht="12.2" customHeight="1" x14ac:dyDescent="0.15">
      <c r="A13" s="1" t="s">
        <v>604</v>
      </c>
      <c r="B13" s="2" t="s">
        <v>289</v>
      </c>
      <c r="C13" s="6">
        <v>5</v>
      </c>
      <c r="D13" s="2" t="s">
        <v>428</v>
      </c>
      <c r="E13" s="6">
        <v>140</v>
      </c>
      <c r="F13" s="18">
        <v>766989.85</v>
      </c>
      <c r="G13" s="18">
        <v>59816.28</v>
      </c>
      <c r="H13" s="18">
        <v>135166.14000000001</v>
      </c>
      <c r="I13" s="18"/>
      <c r="J13" s="67">
        <f>SUM(I443)</f>
        <v>600893.34</v>
      </c>
      <c r="K13" s="24" t="s">
        <v>288</v>
      </c>
      <c r="L13" s="24" t="s">
        <v>288</v>
      </c>
      <c r="M13" s="8"/>
      <c r="N13" s="264"/>
    </row>
    <row r="14" spans="1:14" s="3" customFormat="1" ht="12.2" customHeight="1" x14ac:dyDescent="0.15">
      <c r="A14" s="1" t="s">
        <v>565</v>
      </c>
      <c r="B14" s="2" t="s">
        <v>289</v>
      </c>
      <c r="C14" s="6">
        <v>6</v>
      </c>
      <c r="D14" s="2" t="s">
        <v>428</v>
      </c>
      <c r="E14" s="6">
        <v>150</v>
      </c>
      <c r="F14" s="18">
        <v>37533.39</v>
      </c>
      <c r="G14" s="18">
        <v>19176.82</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15997.15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1395811.0899999999</v>
      </c>
      <c r="G19" s="41">
        <f>SUM(G9:G18)</f>
        <v>122284.82</v>
      </c>
      <c r="H19" s="41">
        <f>SUM(H9:H18)</f>
        <v>135166.14000000001</v>
      </c>
      <c r="I19" s="41">
        <f>SUM(I9:I18)</f>
        <v>0</v>
      </c>
      <c r="J19" s="41">
        <f>SUM(J9:J18)</f>
        <v>837768.41999999993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7593.31</v>
      </c>
      <c r="G22" s="18">
        <v>90651.76</v>
      </c>
      <c r="H22" s="18">
        <v>119701.61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163526.28</v>
      </c>
      <c r="G24" s="18"/>
      <c r="H24" s="18">
        <v>610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584208.75</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14854.53</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755328.34</v>
      </c>
      <c r="G32" s="41">
        <f>SUM(G22:G31)</f>
        <v>90651.76</v>
      </c>
      <c r="H32" s="41">
        <f>SUM(H22:H31)</f>
        <v>135166.14000000001</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15997.15</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229281.77</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15635.91</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608486.65</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590482.75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640482.75</v>
      </c>
      <c r="G51" s="41">
        <f>SUM(G35:G50)</f>
        <v>31633.059999999998</v>
      </c>
      <c r="H51" s="41">
        <f>SUM(H35:H50)</f>
        <v>0</v>
      </c>
      <c r="I51" s="41">
        <f>SUM(I35:I50)</f>
        <v>0</v>
      </c>
      <c r="J51" s="41">
        <f>SUM(J35:J50)</f>
        <v>837768.42</v>
      </c>
      <c r="K51" s="45" t="s">
        <v>288</v>
      </c>
      <c r="L51" s="45" t="s">
        <v>288</v>
      </c>
      <c r="N51" s="262"/>
    </row>
    <row r="52" spans="1:14" s="3" customFormat="1" ht="12.2" customHeight="1" thickTop="1" x14ac:dyDescent="0.15">
      <c r="A52" s="38" t="s">
        <v>455</v>
      </c>
      <c r="B52" s="39" t="s">
        <v>289</v>
      </c>
      <c r="C52" s="6">
        <v>37</v>
      </c>
      <c r="D52" s="39" t="s">
        <v>653</v>
      </c>
      <c r="E52" s="39"/>
      <c r="F52" s="41">
        <f>F51+F32</f>
        <v>1395811.0899999999</v>
      </c>
      <c r="G52" s="41">
        <f>G51+G32</f>
        <v>122284.81999999999</v>
      </c>
      <c r="H52" s="41">
        <f>H51+H32</f>
        <v>135166.14000000001</v>
      </c>
      <c r="I52" s="41">
        <f>I51+I32</f>
        <v>0</v>
      </c>
      <c r="J52" s="41">
        <f>J51+J32</f>
        <v>837768.42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4284048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4284048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88.36</v>
      </c>
      <c r="G96" s="18">
        <v>1.59</v>
      </c>
      <c r="H96" s="18"/>
      <c r="I96" s="18"/>
      <c r="J96" s="18">
        <v>5471.24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4897.3500000000004</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14400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64905.38</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57381.64</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c r="G110" s="18"/>
      <c r="H110" s="18"/>
      <c r="I110" s="18"/>
      <c r="J110" s="18">
        <v>53852.54</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71870</v>
      </c>
      <c r="G111" s="41">
        <f>SUM(G96:G110)</f>
        <v>4898.9400000000005</v>
      </c>
      <c r="H111" s="41">
        <f>SUM(H96:H110)</f>
        <v>64905.38</v>
      </c>
      <c r="I111" s="41">
        <f>SUM(I96:I110)</f>
        <v>0</v>
      </c>
      <c r="J111" s="41">
        <f>SUM(J96:J110)</f>
        <v>59323.78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4355918</v>
      </c>
      <c r="G112" s="41">
        <f>G60+G111</f>
        <v>4898.9400000000005</v>
      </c>
      <c r="H112" s="41">
        <f>H60+H79+H94+H111</f>
        <v>64905.38</v>
      </c>
      <c r="I112" s="41">
        <f>I60+I111</f>
        <v>0</v>
      </c>
      <c r="J112" s="41">
        <f>J60+J111</f>
        <v>59323.78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5301769.6900000004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538061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5843821.1100000003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89923.23</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129993.56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3784.32</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5305.1</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223701.11</v>
      </c>
      <c r="G136" s="41">
        <f>SUM(G123:G135)</f>
        <v>5305.1</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6067522.2200000007</v>
      </c>
      <c r="G140" s="41">
        <f>G121+SUM(G136:G137)</f>
        <v>5305.1</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233576.4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73349.91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287779.96999999997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181958.39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92108.79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114800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231517.81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92108.79</v>
      </c>
      <c r="G163" s="41">
        <f>SUM(G150:G162)</f>
        <v>287779.96999999997</v>
      </c>
      <c r="H163" s="41">
        <f>SUM(H150:H162)</f>
        <v>835202.51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92108.79</v>
      </c>
      <c r="G170" s="41">
        <f>G147+G163+SUM(G164:G169)</f>
        <v>287779.96999999997</v>
      </c>
      <c r="H170" s="41">
        <f>H147+H163+SUM(H164:H169)</f>
        <v>835202.51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153000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153000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153000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10515549.01</v>
      </c>
      <c r="G194" s="47">
        <f>G112+G140+G170+G193</f>
        <v>297984.00999999995</v>
      </c>
      <c r="H194" s="47">
        <f>H112+H140+H170+H193</f>
        <v>900107.89</v>
      </c>
      <c r="I194" s="47">
        <f>I112+I140+I170+I193</f>
        <v>0</v>
      </c>
      <c r="J194" s="47">
        <f>J112+J140+J193</f>
        <v>212323.78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885391.96</v>
      </c>
      <c r="G198" s="18">
        <v>529134.1</v>
      </c>
      <c r="H198" s="18">
        <v>888.98</v>
      </c>
      <c r="I198" s="18">
        <v>43656.19</v>
      </c>
      <c r="J198" s="18"/>
      <c r="K198" s="18">
        <v>5352.6</v>
      </c>
      <c r="L198" s="19">
        <f>SUM(F198:K198)</f>
        <v>1464423.83</v>
      </c>
      <c r="M198" s="8"/>
      <c r="N198" s="264"/>
    </row>
    <row r="199" spans="1:14" s="3" customFormat="1" ht="12.2" customHeight="1" x14ac:dyDescent="0.15">
      <c r="A199" s="1" t="s">
        <v>439</v>
      </c>
      <c r="B199" s="2" t="s">
        <v>341</v>
      </c>
      <c r="C199" s="2" t="s">
        <v>291</v>
      </c>
      <c r="D199" s="2" t="s">
        <v>431</v>
      </c>
      <c r="E199" s="6">
        <v>1200</v>
      </c>
      <c r="F199" s="18">
        <v>706367</v>
      </c>
      <c r="G199" s="18">
        <v>297586.63</v>
      </c>
      <c r="H199" s="18">
        <v>50155.39</v>
      </c>
      <c r="I199" s="18">
        <v>48.16</v>
      </c>
      <c r="J199" s="18"/>
      <c r="K199" s="18">
        <v>547.5</v>
      </c>
      <c r="L199" s="19">
        <f>SUM(F199:K199)</f>
        <v>1054704.68</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350</v>
      </c>
      <c r="G201" s="18">
        <v>86.12</v>
      </c>
      <c r="H201" s="18"/>
      <c r="I201" s="18"/>
      <c r="J201" s="18"/>
      <c r="K201" s="18"/>
      <c r="L201" s="19">
        <f>SUM(F201:K201)</f>
        <v>436.12</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180331.51</v>
      </c>
      <c r="G203" s="18">
        <v>102734.17</v>
      </c>
      <c r="H203" s="18">
        <v>422406.75</v>
      </c>
      <c r="I203" s="18">
        <v>2543.1</v>
      </c>
      <c r="J203" s="18"/>
      <c r="K203" s="18"/>
      <c r="L203" s="19">
        <f t="shared" ref="L203:L209" si="0">SUM(F203:K203)</f>
        <v>708015.52999999991</v>
      </c>
      <c r="M203" s="8"/>
      <c r="N203" s="264"/>
    </row>
    <row r="204" spans="1:14" s="3" customFormat="1" ht="12.2" customHeight="1" x14ac:dyDescent="0.15">
      <c r="A204" s="1" t="s">
        <v>443</v>
      </c>
      <c r="B204" s="2" t="s">
        <v>341</v>
      </c>
      <c r="C204" s="2" t="s">
        <v>295</v>
      </c>
      <c r="D204" s="2" t="s">
        <v>431</v>
      </c>
      <c r="E204" s="6">
        <v>2200</v>
      </c>
      <c r="F204" s="18">
        <v>124945.43</v>
      </c>
      <c r="G204" s="18">
        <v>58553.81</v>
      </c>
      <c r="H204" s="18">
        <v>35380.129999999997</v>
      </c>
      <c r="I204" s="18">
        <v>40797.25</v>
      </c>
      <c r="J204" s="18">
        <v>49530.01</v>
      </c>
      <c r="K204" s="18"/>
      <c r="L204" s="19">
        <f t="shared" si="0"/>
        <v>309206.63</v>
      </c>
      <c r="M204" s="8"/>
      <c r="N204" s="264"/>
    </row>
    <row r="205" spans="1:14" s="3" customFormat="1" ht="12.2" customHeight="1" x14ac:dyDescent="0.15">
      <c r="A205" s="1" t="s">
        <v>444</v>
      </c>
      <c r="B205" s="2" t="s">
        <v>341</v>
      </c>
      <c r="C205" s="2" t="s">
        <v>296</v>
      </c>
      <c r="D205" s="2" t="s">
        <v>431</v>
      </c>
      <c r="E205" s="6">
        <v>2300</v>
      </c>
      <c r="F205" s="18">
        <v>120492.54</v>
      </c>
      <c r="G205" s="18">
        <v>26589.35</v>
      </c>
      <c r="H205" s="18">
        <v>25682.85</v>
      </c>
      <c r="I205" s="18">
        <v>2364.7199999999998</v>
      </c>
      <c r="J205" s="18"/>
      <c r="K205" s="18">
        <v>2533.8200000000002</v>
      </c>
      <c r="L205" s="19">
        <f t="shared" si="0"/>
        <v>177663.28</v>
      </c>
      <c r="M205" s="8"/>
      <c r="N205" s="264"/>
    </row>
    <row r="206" spans="1:14" s="3" customFormat="1" ht="12.2" customHeight="1" x14ac:dyDescent="0.15">
      <c r="A206" s="1" t="s">
        <v>445</v>
      </c>
      <c r="B206" s="2" t="s">
        <v>341</v>
      </c>
      <c r="C206" s="2" t="s">
        <v>297</v>
      </c>
      <c r="D206" s="2" t="s">
        <v>431</v>
      </c>
      <c r="E206" s="6">
        <v>2400</v>
      </c>
      <c r="F206" s="18">
        <v>286185.82</v>
      </c>
      <c r="G206" s="18">
        <v>150454.88</v>
      </c>
      <c r="H206" s="18">
        <v>16747.09</v>
      </c>
      <c r="I206" s="18">
        <v>8300.08</v>
      </c>
      <c r="J206" s="18"/>
      <c r="K206" s="18">
        <v>843.05</v>
      </c>
      <c r="L206" s="19">
        <f t="shared" si="0"/>
        <v>462530.92000000004</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121961.01</v>
      </c>
      <c r="G208" s="18">
        <v>75768.2</v>
      </c>
      <c r="H208" s="18">
        <v>126194.07</v>
      </c>
      <c r="I208" s="18">
        <v>70273.22</v>
      </c>
      <c r="J208" s="18">
        <v>15006.5</v>
      </c>
      <c r="K208" s="18"/>
      <c r="L208" s="19">
        <f t="shared" si="0"/>
        <v>409203</v>
      </c>
      <c r="M208" s="8"/>
      <c r="N208" s="264"/>
    </row>
    <row r="209" spans="1:14" s="3" customFormat="1" ht="12.2" customHeight="1" x14ac:dyDescent="0.15">
      <c r="A209" s="1" t="s">
        <v>448</v>
      </c>
      <c r="B209" s="2" t="s">
        <v>341</v>
      </c>
      <c r="C209" s="2" t="s">
        <v>300</v>
      </c>
      <c r="D209" s="2" t="s">
        <v>431</v>
      </c>
      <c r="E209" s="6">
        <v>2700</v>
      </c>
      <c r="F209" s="18"/>
      <c r="G209" s="18"/>
      <c r="H209" s="18">
        <v>182986.56</v>
      </c>
      <c r="I209" s="18"/>
      <c r="J209" s="18"/>
      <c r="K209" s="18"/>
      <c r="L209" s="19">
        <f t="shared" si="0"/>
        <v>182986.56</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2426025.2699999996</v>
      </c>
      <c r="G212" s="41">
        <f t="shared" si="1"/>
        <v>1240907.26</v>
      </c>
      <c r="H212" s="41">
        <f t="shared" si="1"/>
        <v>860441.82000000007</v>
      </c>
      <c r="I212" s="41">
        <f t="shared" si="1"/>
        <v>167982.72000000003</v>
      </c>
      <c r="J212" s="41">
        <f t="shared" si="1"/>
        <v>64536.51</v>
      </c>
      <c r="K212" s="41">
        <f t="shared" si="1"/>
        <v>9276.9699999999993</v>
      </c>
      <c r="L212" s="41">
        <f t="shared" si="1"/>
        <v>4769170.5499999989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450038.23</v>
      </c>
      <c r="G216" s="18">
        <v>207098.13</v>
      </c>
      <c r="H216" s="18">
        <v>450.95</v>
      </c>
      <c r="I216" s="18">
        <v>16859.28</v>
      </c>
      <c r="J216" s="18">
        <v>311.24</v>
      </c>
      <c r="K216" s="18">
        <v>1540.59</v>
      </c>
      <c r="L216" s="19">
        <f>SUM(F216:K216)</f>
        <v>676298.41999999993</v>
      </c>
      <c r="M216" s="8"/>
      <c r="N216" s="264"/>
    </row>
    <row r="217" spans="1:14" s="3" customFormat="1" ht="12.2" customHeight="1" x14ac:dyDescent="0.15">
      <c r="A217" s="1" t="s">
        <v>439</v>
      </c>
      <c r="B217" s="2" t="s">
        <v>346</v>
      </c>
      <c r="C217" s="2" t="s">
        <v>291</v>
      </c>
      <c r="D217" s="2" t="s">
        <v>431</v>
      </c>
      <c r="E217" s="6">
        <v>1200</v>
      </c>
      <c r="F217" s="18">
        <v>281540.08</v>
      </c>
      <c r="G217" s="18">
        <v>87890.45</v>
      </c>
      <c r="H217" s="18">
        <v>206924.28</v>
      </c>
      <c r="I217" s="18">
        <v>14.06</v>
      </c>
      <c r="J217" s="18"/>
      <c r="K217" s="18">
        <v>203.15</v>
      </c>
      <c r="L217" s="19">
        <f>SUM(F217:K217)</f>
        <v>576572.02000000014</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10961.25</v>
      </c>
      <c r="G219" s="18">
        <v>1117.68</v>
      </c>
      <c r="H219" s="18">
        <v>3941.9</v>
      </c>
      <c r="I219" s="18">
        <v>1420.59</v>
      </c>
      <c r="J219" s="18">
        <v>2420.9</v>
      </c>
      <c r="K219" s="18">
        <v>65</v>
      </c>
      <c r="L219" s="19">
        <f>SUM(F219:K219)</f>
        <v>19927.32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83110.11</v>
      </c>
      <c r="G221" s="18">
        <v>58278.51</v>
      </c>
      <c r="H221" s="18">
        <v>35261.82</v>
      </c>
      <c r="I221" s="18">
        <v>831.9</v>
      </c>
      <c r="J221" s="18"/>
      <c r="K221" s="18">
        <v>60.9</v>
      </c>
      <c r="L221" s="19">
        <f t="shared" ref="L221:L227" si="2">SUM(F221:K221)</f>
        <v>177543.24</v>
      </c>
      <c r="M221" s="8"/>
      <c r="N221" s="264"/>
    </row>
    <row r="222" spans="1:14" s="3" customFormat="1" ht="12.2" customHeight="1" x14ac:dyDescent="0.15">
      <c r="A222" s="1" t="s">
        <v>443</v>
      </c>
      <c r="B222" s="2" t="s">
        <v>346</v>
      </c>
      <c r="C222" s="2" t="s">
        <v>295</v>
      </c>
      <c r="D222" s="2" t="s">
        <v>431</v>
      </c>
      <c r="E222" s="6">
        <v>2200</v>
      </c>
      <c r="F222" s="18">
        <v>43100.31</v>
      </c>
      <c r="G222" s="18">
        <v>23135.4</v>
      </c>
      <c r="H222" s="18">
        <v>12763.18</v>
      </c>
      <c r="I222" s="18">
        <v>14540.93</v>
      </c>
      <c r="J222" s="18">
        <v>12570.98</v>
      </c>
      <c r="K222" s="18"/>
      <c r="L222" s="19">
        <f t="shared" si="2"/>
        <v>106110.79999999997</v>
      </c>
      <c r="M222" s="8"/>
      <c r="N222" s="264"/>
    </row>
    <row r="223" spans="1:14" s="3" customFormat="1" ht="12.2" customHeight="1" x14ac:dyDescent="0.15">
      <c r="A223" s="1" t="s">
        <v>444</v>
      </c>
      <c r="B223" s="2" t="s">
        <v>346</v>
      </c>
      <c r="C223" s="2" t="s">
        <v>296</v>
      </c>
      <c r="D223" s="2" t="s">
        <v>431</v>
      </c>
      <c r="E223" s="6">
        <v>2300</v>
      </c>
      <c r="F223" s="18">
        <v>32861.599999999999</v>
      </c>
      <c r="G223" s="18">
        <v>7251.63</v>
      </c>
      <c r="H223" s="18">
        <v>7004.4</v>
      </c>
      <c r="I223" s="18">
        <v>644.91999999999996</v>
      </c>
      <c r="J223" s="18"/>
      <c r="K223" s="18">
        <v>691.04</v>
      </c>
      <c r="L223" s="19">
        <f t="shared" si="2"/>
        <v>48453.59</v>
      </c>
      <c r="M223" s="8"/>
      <c r="N223" s="264"/>
    </row>
    <row r="224" spans="1:14" s="3" customFormat="1" ht="12.2" customHeight="1" x14ac:dyDescent="0.15">
      <c r="A224" s="1" t="s">
        <v>445</v>
      </c>
      <c r="B224" s="2" t="s">
        <v>346</v>
      </c>
      <c r="C224" s="2" t="s">
        <v>297</v>
      </c>
      <c r="D224" s="2" t="s">
        <v>431</v>
      </c>
      <c r="E224" s="6">
        <v>2400</v>
      </c>
      <c r="F224" s="18">
        <v>96236.75</v>
      </c>
      <c r="G224" s="18">
        <v>51295.4</v>
      </c>
      <c r="H224" s="18">
        <v>5933.22</v>
      </c>
      <c r="I224" s="18">
        <v>4045.99</v>
      </c>
      <c r="J224" s="18"/>
      <c r="K224" s="18">
        <v>5</v>
      </c>
      <c r="L224" s="19">
        <f t="shared" si="2"/>
        <v>157516.35999999999</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56194.67</v>
      </c>
      <c r="G226" s="18">
        <v>34971.019999999997</v>
      </c>
      <c r="H226" s="18">
        <v>45048.15</v>
      </c>
      <c r="I226" s="18">
        <v>58782.75</v>
      </c>
      <c r="J226" s="18">
        <v>3383.43</v>
      </c>
      <c r="K226" s="18"/>
      <c r="L226" s="19">
        <f t="shared" si="2"/>
        <v>198380.02</v>
      </c>
      <c r="M226" s="8"/>
      <c r="N226" s="264"/>
    </row>
    <row r="227" spans="1:14" s="3" customFormat="1" ht="12.2" customHeight="1" x14ac:dyDescent="0.15">
      <c r="A227" s="1" t="s">
        <v>448</v>
      </c>
      <c r="B227" s="2" t="s">
        <v>346</v>
      </c>
      <c r="C227" s="2" t="s">
        <v>300</v>
      </c>
      <c r="D227" s="2" t="s">
        <v>431</v>
      </c>
      <c r="E227" s="6">
        <v>2700</v>
      </c>
      <c r="F227" s="18"/>
      <c r="G227" s="18"/>
      <c r="H227" s="18">
        <v>196206.5</v>
      </c>
      <c r="I227" s="18"/>
      <c r="J227" s="18"/>
      <c r="K227" s="18"/>
      <c r="L227" s="19">
        <f t="shared" si="2"/>
        <v>196206.5</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1054043</v>
      </c>
      <c r="G230" s="41">
        <f>SUM(G216:G229)</f>
        <v>471038.22000000009</v>
      </c>
      <c r="H230" s="41">
        <f>SUM(H216:H229)</f>
        <v>513534.4</v>
      </c>
      <c r="I230" s="41">
        <f>SUM(I216:I229)</f>
        <v>97140.42</v>
      </c>
      <c r="J230" s="41">
        <f>SUM(J216:J229)</f>
        <v>18686.55</v>
      </c>
      <c r="K230" s="41">
        <f t="shared" si="3"/>
        <v>2565.6800000000003</v>
      </c>
      <c r="L230" s="41">
        <f t="shared" si="3"/>
        <v>2157008.27</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737744.13</v>
      </c>
      <c r="G234" s="18">
        <v>353345</v>
      </c>
      <c r="H234" s="18">
        <v>13836.29</v>
      </c>
      <c r="I234" s="18">
        <v>36976.15</v>
      </c>
      <c r="J234" s="18">
        <v>578.03</v>
      </c>
      <c r="K234" s="18">
        <v>6344.79</v>
      </c>
      <c r="L234" s="19">
        <f>SUM(F234:K234)</f>
        <v>1148824.3899999999</v>
      </c>
      <c r="M234" s="8"/>
      <c r="N234" s="264"/>
    </row>
    <row r="235" spans="1:14" s="3" customFormat="1" ht="12.2" customHeight="1" x14ac:dyDescent="0.15">
      <c r="A235" s="1" t="s">
        <v>439</v>
      </c>
      <c r="B235" s="2" t="s">
        <v>350</v>
      </c>
      <c r="C235" s="2" t="s">
        <v>291</v>
      </c>
      <c r="D235" s="2" t="s">
        <v>431</v>
      </c>
      <c r="E235" s="6">
        <v>1200</v>
      </c>
      <c r="F235" s="18">
        <v>304681.62</v>
      </c>
      <c r="G235" s="18">
        <v>107971.64</v>
      </c>
      <c r="H235" s="18">
        <v>292138.71000000002</v>
      </c>
      <c r="I235" s="18">
        <v>27.45</v>
      </c>
      <c r="J235" s="18"/>
      <c r="K235" s="18">
        <v>344.35</v>
      </c>
      <c r="L235" s="19">
        <f>SUM(F235:K235)</f>
        <v>705163.7699999999</v>
      </c>
      <c r="M235" s="8"/>
      <c r="N235" s="264"/>
    </row>
    <row r="236" spans="1:14" s="3" customFormat="1" ht="12.2" customHeight="1" x14ac:dyDescent="0.15">
      <c r="A236" s="1" t="s">
        <v>440</v>
      </c>
      <c r="B236" s="2" t="s">
        <v>350</v>
      </c>
      <c r="C236" s="2" t="s">
        <v>292</v>
      </c>
      <c r="D236" s="2" t="s">
        <v>431</v>
      </c>
      <c r="E236" s="6">
        <v>1300</v>
      </c>
      <c r="F236" s="18"/>
      <c r="G236" s="18"/>
      <c r="H236" s="18">
        <v>33649.32</v>
      </c>
      <c r="I236" s="18"/>
      <c r="J236" s="18"/>
      <c r="K236" s="18"/>
      <c r="L236" s="19">
        <f>SUM(F236:K236)</f>
        <v>33649.32</v>
      </c>
      <c r="M236" s="8"/>
      <c r="N236" s="264"/>
    </row>
    <row r="237" spans="1:14" s="3" customFormat="1" ht="12.2" customHeight="1" x14ac:dyDescent="0.15">
      <c r="A237" s="1" t="s">
        <v>441</v>
      </c>
      <c r="B237" s="2" t="s">
        <v>350</v>
      </c>
      <c r="C237" s="2" t="s">
        <v>293</v>
      </c>
      <c r="D237" s="2" t="s">
        <v>431</v>
      </c>
      <c r="E237" s="6">
        <v>1400</v>
      </c>
      <c r="F237" s="18">
        <v>39001.25</v>
      </c>
      <c r="G237" s="18">
        <v>4922.72</v>
      </c>
      <c r="H237" s="18">
        <v>8258.1</v>
      </c>
      <c r="I237" s="18">
        <v>12841.95</v>
      </c>
      <c r="J237" s="18">
        <v>3209.1</v>
      </c>
      <c r="K237" s="18">
        <v>3170</v>
      </c>
      <c r="L237" s="19">
        <f>SUM(F237:K237)</f>
        <v>71403.12000000001</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148057.92000000001</v>
      </c>
      <c r="G239" s="18">
        <v>106990.39999999999</v>
      </c>
      <c r="H239" s="18">
        <v>20269.34</v>
      </c>
      <c r="I239" s="18">
        <v>3891.57</v>
      </c>
      <c r="J239" s="18"/>
      <c r="K239" s="18">
        <v>89.1</v>
      </c>
      <c r="L239" s="19">
        <f t="shared" ref="L239:L245" si="4">SUM(F239:K239)</f>
        <v>279298.33</v>
      </c>
      <c r="M239" s="8"/>
      <c r="N239" s="264"/>
    </row>
    <row r="240" spans="1:14" s="3" customFormat="1" ht="12.2" customHeight="1" x14ac:dyDescent="0.15">
      <c r="A240" s="1" t="s">
        <v>443</v>
      </c>
      <c r="B240" s="2" t="s">
        <v>350</v>
      </c>
      <c r="C240" s="2" t="s">
        <v>295</v>
      </c>
      <c r="D240" s="2" t="s">
        <v>431</v>
      </c>
      <c r="E240" s="6">
        <v>2200</v>
      </c>
      <c r="F240" s="18">
        <v>69682.31</v>
      </c>
      <c r="G240" s="18">
        <v>38671.46</v>
      </c>
      <c r="H240" s="18">
        <v>22736.23</v>
      </c>
      <c r="I240" s="18">
        <v>36302.74</v>
      </c>
      <c r="J240" s="18">
        <v>22742.04</v>
      </c>
      <c r="K240" s="18"/>
      <c r="L240" s="19">
        <f t="shared" si="4"/>
        <v>190134.78</v>
      </c>
      <c r="M240" s="8"/>
      <c r="N240" s="264"/>
    </row>
    <row r="241" spans="1:14" s="3" customFormat="1" ht="12.2" customHeight="1" x14ac:dyDescent="0.15">
      <c r="A241" s="1" t="s">
        <v>444</v>
      </c>
      <c r="B241" s="2" t="s">
        <v>350</v>
      </c>
      <c r="C241" s="2" t="s">
        <v>296</v>
      </c>
      <c r="D241" s="2" t="s">
        <v>431</v>
      </c>
      <c r="E241" s="6">
        <v>2300</v>
      </c>
      <c r="F241" s="18">
        <v>65723.199999999997</v>
      </c>
      <c r="G241" s="18">
        <v>14503.28</v>
      </c>
      <c r="H241" s="18">
        <v>14008.84</v>
      </c>
      <c r="I241" s="18">
        <v>1289.8499999999999</v>
      </c>
      <c r="J241" s="18"/>
      <c r="K241" s="18">
        <v>1382.09</v>
      </c>
      <c r="L241" s="19">
        <f t="shared" si="4"/>
        <v>96907.26</v>
      </c>
      <c r="M241" s="8"/>
      <c r="N241" s="264"/>
    </row>
    <row r="242" spans="1:14" s="3" customFormat="1" ht="12.2" customHeight="1" x14ac:dyDescent="0.15">
      <c r="A242" s="1" t="s">
        <v>445</v>
      </c>
      <c r="B242" s="2" t="s">
        <v>350</v>
      </c>
      <c r="C242" s="2" t="s">
        <v>297</v>
      </c>
      <c r="D242" s="2" t="s">
        <v>431</v>
      </c>
      <c r="E242" s="6">
        <v>2400</v>
      </c>
      <c r="F242" s="18">
        <v>176946.79</v>
      </c>
      <c r="G242" s="18">
        <v>95077.64</v>
      </c>
      <c r="H242" s="18">
        <v>10256.65</v>
      </c>
      <c r="I242" s="18">
        <v>6593.19</v>
      </c>
      <c r="J242" s="18"/>
      <c r="K242" s="18">
        <v>115</v>
      </c>
      <c r="L242" s="19">
        <f t="shared" si="4"/>
        <v>288989.27</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104272.61</v>
      </c>
      <c r="G244" s="18">
        <v>64930.64</v>
      </c>
      <c r="H244" s="18">
        <v>74037.33</v>
      </c>
      <c r="I244" s="18">
        <v>84965.92</v>
      </c>
      <c r="J244" s="18">
        <v>5627.34</v>
      </c>
      <c r="K244" s="18"/>
      <c r="L244" s="19">
        <f t="shared" si="4"/>
        <v>333833.84000000003</v>
      </c>
      <c r="M244" s="8"/>
      <c r="N244" s="264"/>
    </row>
    <row r="245" spans="1:14" s="3" customFormat="1" ht="12.2" customHeight="1" x14ac:dyDescent="0.15">
      <c r="A245" s="1" t="s">
        <v>448</v>
      </c>
      <c r="B245" s="2" t="s">
        <v>350</v>
      </c>
      <c r="C245" s="2" t="s">
        <v>300</v>
      </c>
      <c r="D245" s="2" t="s">
        <v>431</v>
      </c>
      <c r="E245" s="6">
        <v>2700</v>
      </c>
      <c r="F245" s="18"/>
      <c r="G245" s="18"/>
      <c r="H245" s="18">
        <v>169803.04</v>
      </c>
      <c r="I245" s="18"/>
      <c r="J245" s="18"/>
      <c r="K245" s="18"/>
      <c r="L245" s="19">
        <f t="shared" si="4"/>
        <v>169803.04</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1646109.83</v>
      </c>
      <c r="G248" s="41">
        <f t="shared" si="5"/>
        <v>786412.78</v>
      </c>
      <c r="H248" s="41">
        <f t="shared" si="5"/>
        <v>658993.85000000009</v>
      </c>
      <c r="I248" s="41">
        <f t="shared" si="5"/>
        <v>182888.82</v>
      </c>
      <c r="J248" s="41">
        <f t="shared" si="5"/>
        <v>32156.510000000002</v>
      </c>
      <c r="K248" s="41">
        <f t="shared" si="5"/>
        <v>11445.33</v>
      </c>
      <c r="L248" s="41">
        <f t="shared" si="5"/>
        <v>3318007.1199999992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5126178.0999999996</v>
      </c>
      <c r="G258" s="41">
        <f t="shared" si="8"/>
        <v>2498358.2599999998</v>
      </c>
      <c r="H258" s="41">
        <f t="shared" si="8"/>
        <v>2032970.0700000003</v>
      </c>
      <c r="I258" s="41">
        <f t="shared" si="8"/>
        <v>448011.96</v>
      </c>
      <c r="J258" s="41">
        <f t="shared" si="8"/>
        <v>115379.57</v>
      </c>
      <c r="K258" s="41">
        <f t="shared" si="8"/>
        <v>23287.98</v>
      </c>
      <c r="L258" s="41">
        <f t="shared" si="8"/>
        <v>10244185.939999998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153000</v>
      </c>
      <c r="L267" s="19">
        <f t="shared" si="9"/>
        <v>153000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153000</v>
      </c>
      <c r="L271" s="41">
        <f t="shared" si="9"/>
        <v>153000</v>
      </c>
      <c r="M271" s="8"/>
      <c r="N271" s="264"/>
    </row>
    <row r="272" spans="1:14" s="34" customFormat="1" ht="12.2" customHeight="1" thickTop="1" x14ac:dyDescent="0.2">
      <c r="A272" s="43" t="s">
        <v>464</v>
      </c>
      <c r="B272" s="40">
        <v>10</v>
      </c>
      <c r="C272" s="40">
        <v>18</v>
      </c>
      <c r="D272" s="39" t="s">
        <v>431</v>
      </c>
      <c r="E272" s="40"/>
      <c r="F272" s="42">
        <f t="shared" ref="F272:L272" si="11">F258+F271</f>
        <v>5126178.0999999996</v>
      </c>
      <c r="G272" s="42">
        <f t="shared" si="11"/>
        <v>2498358.2599999998</v>
      </c>
      <c r="H272" s="42">
        <f t="shared" si="11"/>
        <v>2032970.0700000003</v>
      </c>
      <c r="I272" s="42">
        <f t="shared" si="11"/>
        <v>448011.96</v>
      </c>
      <c r="J272" s="42">
        <f t="shared" si="11"/>
        <v>115379.57</v>
      </c>
      <c r="K272" s="42">
        <f t="shared" si="11"/>
        <v>176287.98</v>
      </c>
      <c r="L272" s="42">
        <f t="shared" si="11"/>
        <v>10397185.939999998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98983.28</v>
      </c>
      <c r="G277" s="18">
        <v>57062.69</v>
      </c>
      <c r="H277" s="18"/>
      <c r="I277" s="18">
        <v>60463.11</v>
      </c>
      <c r="J277" s="18"/>
      <c r="K277" s="18"/>
      <c r="L277" s="19">
        <f>SUM(F277:K277)</f>
        <v>216509.08000000002</v>
      </c>
      <c r="M277" s="8"/>
      <c r="N277" s="264"/>
    </row>
    <row r="278" spans="1:14" s="3" customFormat="1" ht="12.2" customHeight="1" x14ac:dyDescent="0.15">
      <c r="A278" s="1" t="s">
        <v>439</v>
      </c>
      <c r="B278" s="2" t="s">
        <v>357</v>
      </c>
      <c r="C278" s="2" t="s">
        <v>291</v>
      </c>
      <c r="D278" s="2" t="s">
        <v>431</v>
      </c>
      <c r="E278" s="6">
        <v>1200</v>
      </c>
      <c r="F278" s="18">
        <v>7455.63</v>
      </c>
      <c r="G278" s="18">
        <v>1322.55</v>
      </c>
      <c r="H278" s="18">
        <v>4881.1000000000004</v>
      </c>
      <c r="I278" s="18">
        <v>1512.05</v>
      </c>
      <c r="J278" s="18"/>
      <c r="K278" s="18"/>
      <c r="L278" s="19">
        <f>SUM(F278:K278)</f>
        <v>15171.33</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49859.01</v>
      </c>
      <c r="G282" s="18">
        <v>34992.11</v>
      </c>
      <c r="H282" s="18"/>
      <c r="I282" s="18">
        <v>6278.47</v>
      </c>
      <c r="J282" s="18"/>
      <c r="K282" s="18">
        <v>503</v>
      </c>
      <c r="L282" s="19">
        <f t="shared" ref="L282:L288" si="12">SUM(F282:K282)</f>
        <v>91632.59</v>
      </c>
      <c r="M282" s="8"/>
      <c r="N282" s="264"/>
    </row>
    <row r="283" spans="1:14" s="3" customFormat="1" ht="12.2" customHeight="1" x14ac:dyDescent="0.15">
      <c r="A283" s="1" t="s">
        <v>443</v>
      </c>
      <c r="B283" s="2" t="s">
        <v>357</v>
      </c>
      <c r="C283" s="2" t="s">
        <v>295</v>
      </c>
      <c r="D283" s="2" t="s">
        <v>431</v>
      </c>
      <c r="E283" s="6">
        <v>2200</v>
      </c>
      <c r="F283" s="18">
        <v>6468.25</v>
      </c>
      <c r="G283" s="18">
        <v>1573.38</v>
      </c>
      <c r="H283" s="18">
        <v>34337.79</v>
      </c>
      <c r="I283" s="18">
        <v>56892.55</v>
      </c>
      <c r="J283" s="18">
        <v>48221.27</v>
      </c>
      <c r="K283" s="18"/>
      <c r="L283" s="19">
        <f t="shared" si="12"/>
        <v>147493.24</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v>41401.26</v>
      </c>
      <c r="G285" s="18">
        <v>10177.86</v>
      </c>
      <c r="H285" s="18"/>
      <c r="I285" s="18"/>
      <c r="J285" s="18"/>
      <c r="K285" s="18"/>
      <c r="L285" s="19">
        <f t="shared" si="12"/>
        <v>51579.12</v>
      </c>
      <c r="M285" s="8"/>
      <c r="N285" s="264"/>
    </row>
    <row r="286" spans="1:14" s="3" customFormat="1" ht="12.2" customHeight="1" x14ac:dyDescent="0.15">
      <c r="A286" s="1" t="s">
        <v>446</v>
      </c>
      <c r="B286" s="2" t="s">
        <v>357</v>
      </c>
      <c r="C286" s="2" t="s">
        <v>298</v>
      </c>
      <c r="D286" s="2" t="s">
        <v>431</v>
      </c>
      <c r="E286" s="6">
        <v>2500</v>
      </c>
      <c r="F286" s="18"/>
      <c r="G286" s="18"/>
      <c r="H286" s="18"/>
      <c r="I286" s="18">
        <v>1540</v>
      </c>
      <c r="J286" s="18"/>
      <c r="K286" s="18"/>
      <c r="L286" s="19">
        <f t="shared" si="12"/>
        <v>1540</v>
      </c>
      <c r="M286" s="8"/>
      <c r="N286" s="264"/>
    </row>
    <row r="287" spans="1:14" s="3" customFormat="1" ht="12.2" customHeight="1" x14ac:dyDescent="0.15">
      <c r="A287" s="1" t="s">
        <v>447</v>
      </c>
      <c r="B287" s="2" t="s">
        <v>357</v>
      </c>
      <c r="C287" s="2" t="s">
        <v>299</v>
      </c>
      <c r="D287" s="2" t="s">
        <v>431</v>
      </c>
      <c r="E287" s="6">
        <v>2600</v>
      </c>
      <c r="F287" s="18"/>
      <c r="G287" s="18"/>
      <c r="H287" s="18">
        <v>36612</v>
      </c>
      <c r="I287" s="18">
        <v>10559.96</v>
      </c>
      <c r="J287" s="18">
        <v>42412.63</v>
      </c>
      <c r="K287" s="18"/>
      <c r="L287" s="19">
        <f t="shared" si="12"/>
        <v>89584.59</v>
      </c>
      <c r="M287" s="8"/>
      <c r="N287" s="264"/>
    </row>
    <row r="288" spans="1:14" s="3" customFormat="1" ht="12.2" customHeight="1" x14ac:dyDescent="0.15">
      <c r="A288" s="1" t="s">
        <v>448</v>
      </c>
      <c r="B288" s="2" t="s">
        <v>357</v>
      </c>
      <c r="C288" s="2" t="s">
        <v>300</v>
      </c>
      <c r="D288" s="2" t="s">
        <v>431</v>
      </c>
      <c r="E288" s="6">
        <v>2700</v>
      </c>
      <c r="F288" s="18">
        <v>3043.83</v>
      </c>
      <c r="G288" s="18">
        <v>618.24</v>
      </c>
      <c r="H288" s="18">
        <v>7338.8</v>
      </c>
      <c r="I288" s="18"/>
      <c r="J288" s="18"/>
      <c r="K288" s="18"/>
      <c r="L288" s="19">
        <f t="shared" si="12"/>
        <v>11000.869999999999</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207211.26</v>
      </c>
      <c r="G291" s="42">
        <f t="shared" si="13"/>
        <v>105746.83000000002</v>
      </c>
      <c r="H291" s="42">
        <f t="shared" si="13"/>
        <v>83169.69</v>
      </c>
      <c r="I291" s="42">
        <f t="shared" si="13"/>
        <v>137246.14000000001</v>
      </c>
      <c r="J291" s="42">
        <f t="shared" si="13"/>
        <v>90633.9</v>
      </c>
      <c r="K291" s="42">
        <f t="shared" si="13"/>
        <v>503</v>
      </c>
      <c r="L291" s="41">
        <f t="shared" si="13"/>
        <v>624510.81999999995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3136.96</v>
      </c>
      <c r="G296" s="18">
        <v>700.92</v>
      </c>
      <c r="H296" s="18"/>
      <c r="I296" s="18">
        <v>7042.06</v>
      </c>
      <c r="J296" s="18"/>
      <c r="K296" s="18"/>
      <c r="L296" s="19">
        <f>SUM(F296:K296)</f>
        <v>10879.94</v>
      </c>
      <c r="M296" s="8"/>
      <c r="N296" s="264"/>
    </row>
    <row r="297" spans="1:14" s="3" customFormat="1" ht="12.2" customHeight="1" x14ac:dyDescent="0.15">
      <c r="A297" s="1" t="s">
        <v>439</v>
      </c>
      <c r="B297" s="2" t="s">
        <v>358</v>
      </c>
      <c r="C297" s="2" t="s">
        <v>291</v>
      </c>
      <c r="D297" s="2" t="s">
        <v>431</v>
      </c>
      <c r="E297" s="6">
        <v>1200</v>
      </c>
      <c r="F297" s="18">
        <v>6979.59</v>
      </c>
      <c r="G297" s="18">
        <v>833.07</v>
      </c>
      <c r="H297" s="18">
        <v>7.7</v>
      </c>
      <c r="I297" s="18">
        <v>513</v>
      </c>
      <c r="J297" s="18"/>
      <c r="K297" s="18"/>
      <c r="L297" s="19">
        <f>SUM(F297:K297)</f>
        <v>8333.36</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11497.94</v>
      </c>
      <c r="G301" s="18">
        <v>8159.34</v>
      </c>
      <c r="H301" s="18"/>
      <c r="I301" s="18">
        <v>1871.62</v>
      </c>
      <c r="J301" s="18"/>
      <c r="K301" s="18"/>
      <c r="L301" s="19">
        <f t="shared" ref="L301:L307" si="14">SUM(F301:K301)</f>
        <v>21528.899999999998</v>
      </c>
      <c r="M301" s="8"/>
      <c r="N301" s="264"/>
    </row>
    <row r="302" spans="1:14" s="3" customFormat="1" ht="12.2" customHeight="1" x14ac:dyDescent="0.15">
      <c r="A302" s="1" t="s">
        <v>443</v>
      </c>
      <c r="B302" s="2" t="s">
        <v>358</v>
      </c>
      <c r="C302" s="2" t="s">
        <v>295</v>
      </c>
      <c r="D302" s="2" t="s">
        <v>431</v>
      </c>
      <c r="E302" s="6">
        <v>2200</v>
      </c>
      <c r="F302" s="18">
        <v>1258.69</v>
      </c>
      <c r="G302" s="18">
        <v>307.16000000000003</v>
      </c>
      <c r="H302" s="18">
        <v>22866.42</v>
      </c>
      <c r="I302" s="18">
        <v>8742.7000000000007</v>
      </c>
      <c r="J302" s="18">
        <v>20230.63</v>
      </c>
      <c r="K302" s="18"/>
      <c r="L302" s="19">
        <f t="shared" si="14"/>
        <v>53405.600000000006</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v>4380.96</v>
      </c>
      <c r="J306" s="18">
        <v>5021.87</v>
      </c>
      <c r="K306" s="18"/>
      <c r="L306" s="19">
        <f t="shared" si="14"/>
        <v>9402.83</v>
      </c>
      <c r="M306" s="8"/>
      <c r="N306" s="264"/>
    </row>
    <row r="307" spans="1:14" s="3" customFormat="1" ht="12.2" customHeight="1" x14ac:dyDescent="0.15">
      <c r="A307" s="1" t="s">
        <v>448</v>
      </c>
      <c r="B307" s="2" t="s">
        <v>358</v>
      </c>
      <c r="C307" s="2" t="s">
        <v>300</v>
      </c>
      <c r="D307" s="2" t="s">
        <v>431</v>
      </c>
      <c r="E307" s="6">
        <v>2700</v>
      </c>
      <c r="F307" s="18">
        <v>1339.28</v>
      </c>
      <c r="G307" s="18">
        <v>272.02</v>
      </c>
      <c r="H307" s="18">
        <v>3229.07</v>
      </c>
      <c r="I307" s="18"/>
      <c r="J307" s="18"/>
      <c r="K307" s="18"/>
      <c r="L307" s="19">
        <f t="shared" si="14"/>
        <v>4840.37</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24212.459999999995</v>
      </c>
      <c r="G310" s="42">
        <f t="shared" si="15"/>
        <v>10272.51</v>
      </c>
      <c r="H310" s="42">
        <f t="shared" si="15"/>
        <v>26103.19</v>
      </c>
      <c r="I310" s="42">
        <f t="shared" si="15"/>
        <v>22550.34</v>
      </c>
      <c r="J310" s="42">
        <f t="shared" si="15"/>
        <v>25252.5</v>
      </c>
      <c r="K310" s="42">
        <f t="shared" si="15"/>
        <v>0</v>
      </c>
      <c r="L310" s="41">
        <f t="shared" si="15"/>
        <v>108391</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4065.95</v>
      </c>
      <c r="G315" s="18">
        <v>908.64</v>
      </c>
      <c r="H315" s="18">
        <v>1900</v>
      </c>
      <c r="I315" s="18">
        <v>10778.63</v>
      </c>
      <c r="J315" s="18">
        <v>3445.55</v>
      </c>
      <c r="K315" s="18"/>
      <c r="L315" s="19">
        <f>SUM(F315:K315)</f>
        <v>21098.77</v>
      </c>
      <c r="M315" s="8"/>
      <c r="N315" s="264"/>
    </row>
    <row r="316" spans="1:14" s="3" customFormat="1" ht="12.2" customHeight="1" x14ac:dyDescent="0.15">
      <c r="A316" s="1" t="s">
        <v>439</v>
      </c>
      <c r="B316" s="2" t="s">
        <v>359</v>
      </c>
      <c r="C316" s="2" t="s">
        <v>291</v>
      </c>
      <c r="D316" s="2" t="s">
        <v>431</v>
      </c>
      <c r="E316" s="6">
        <v>1200</v>
      </c>
      <c r="F316" s="18">
        <v>40623.85</v>
      </c>
      <c r="G316" s="18">
        <v>6476.1</v>
      </c>
      <c r="H316" s="18">
        <v>68.2</v>
      </c>
      <c r="I316" s="18"/>
      <c r="J316" s="18"/>
      <c r="K316" s="18"/>
      <c r="L316" s="19">
        <f>SUM(F316:K316)</f>
        <v>47168.149999999994</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24311.06</v>
      </c>
      <c r="G320" s="18">
        <v>16559.57</v>
      </c>
      <c r="H320" s="18"/>
      <c r="I320" s="18">
        <v>2382.1799999999998</v>
      </c>
      <c r="J320" s="18"/>
      <c r="K320" s="18"/>
      <c r="L320" s="19">
        <f t="shared" ref="L320:L326" si="16">SUM(F320:K320)</f>
        <v>43252.810000000005</v>
      </c>
      <c r="M320" s="8"/>
      <c r="N320" s="264"/>
    </row>
    <row r="321" spans="1:14" s="3" customFormat="1" ht="12.2" customHeight="1" x14ac:dyDescent="0.15">
      <c r="A321" s="1" t="s">
        <v>443</v>
      </c>
      <c r="B321" s="2" t="s">
        <v>359</v>
      </c>
      <c r="C321" s="2" t="s">
        <v>295</v>
      </c>
      <c r="D321" s="2" t="s">
        <v>431</v>
      </c>
      <c r="E321" s="6">
        <v>2200</v>
      </c>
      <c r="F321" s="18">
        <v>3973.56</v>
      </c>
      <c r="G321" s="18">
        <v>988.12</v>
      </c>
      <c r="H321" s="18">
        <v>21807.85</v>
      </c>
      <c r="I321" s="18">
        <v>15429.93</v>
      </c>
      <c r="J321" s="18">
        <v>28215.84</v>
      </c>
      <c r="K321" s="18"/>
      <c r="L321" s="19">
        <f t="shared" si="16"/>
        <v>70415.3</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v>6178.99</v>
      </c>
      <c r="J325" s="18">
        <v>6391.48</v>
      </c>
      <c r="K325" s="18"/>
      <c r="L325" s="19">
        <f t="shared" si="16"/>
        <v>12570.47</v>
      </c>
      <c r="M325" s="8"/>
      <c r="N325" s="264"/>
    </row>
    <row r="326" spans="1:14" s="3" customFormat="1" ht="12.2" customHeight="1" x14ac:dyDescent="0.15">
      <c r="A326" s="1" t="s">
        <v>448</v>
      </c>
      <c r="B326" s="2" t="s">
        <v>359</v>
      </c>
      <c r="C326" s="2" t="s">
        <v>300</v>
      </c>
      <c r="D326" s="2" t="s">
        <v>431</v>
      </c>
      <c r="E326" s="6">
        <v>2700</v>
      </c>
      <c r="F326" s="18">
        <v>1704.54</v>
      </c>
      <c r="G326" s="18">
        <v>346.2</v>
      </c>
      <c r="H326" s="18">
        <v>4109.7299999999996</v>
      </c>
      <c r="I326" s="18"/>
      <c r="J326" s="18"/>
      <c r="K326" s="18"/>
      <c r="L326" s="19">
        <f t="shared" si="16"/>
        <v>6160.4699999999993</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74678.959999999992</v>
      </c>
      <c r="G329" s="42">
        <f t="shared" si="17"/>
        <v>25278.63</v>
      </c>
      <c r="H329" s="42">
        <f t="shared" si="17"/>
        <v>27885.78</v>
      </c>
      <c r="I329" s="42">
        <f t="shared" si="17"/>
        <v>34769.729999999996</v>
      </c>
      <c r="J329" s="42">
        <f t="shared" si="17"/>
        <v>38052.869999999995</v>
      </c>
      <c r="K329" s="42">
        <f t="shared" si="17"/>
        <v>0</v>
      </c>
      <c r="L329" s="41">
        <f t="shared" si="17"/>
        <v>200665.97000000003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306102.68</v>
      </c>
      <c r="G339" s="41">
        <f t="shared" si="20"/>
        <v>141297.97</v>
      </c>
      <c r="H339" s="41">
        <f t="shared" si="20"/>
        <v>137158.66</v>
      </c>
      <c r="I339" s="41">
        <f t="shared" si="20"/>
        <v>194566.21000000002</v>
      </c>
      <c r="J339" s="41">
        <f t="shared" si="20"/>
        <v>153939.26999999999</v>
      </c>
      <c r="K339" s="41">
        <f t="shared" si="20"/>
        <v>503</v>
      </c>
      <c r="L339" s="41">
        <f t="shared" si="20"/>
        <v>933567.79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306102.68</v>
      </c>
      <c r="G353" s="41">
        <f>G339</f>
        <v>141297.97</v>
      </c>
      <c r="H353" s="41">
        <f>H339</f>
        <v>137158.66</v>
      </c>
      <c r="I353" s="41">
        <f>I339</f>
        <v>194566.21000000002</v>
      </c>
      <c r="J353" s="41">
        <f>J339</f>
        <v>153939.26999999999</v>
      </c>
      <c r="K353" s="47">
        <f>K339+K352</f>
        <v>503</v>
      </c>
      <c r="L353" s="41">
        <f>L339+L352</f>
        <v>933567.79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123930.45</v>
      </c>
      <c r="I359" s="18">
        <v>5537.51</v>
      </c>
      <c r="J359" s="18"/>
      <c r="K359" s="18"/>
      <c r="L359" s="13">
        <f>SUM(F359:K359)</f>
        <v>129467.95999999999</v>
      </c>
      <c r="M359" s="8"/>
      <c r="N359" s="264"/>
    </row>
    <row r="360" spans="1:22" s="3" customFormat="1" ht="12.2" customHeight="1" x14ac:dyDescent="0.15">
      <c r="A360" s="1" t="s">
        <v>542</v>
      </c>
      <c r="B360" s="2" t="s">
        <v>366</v>
      </c>
      <c r="C360" s="6">
        <v>2</v>
      </c>
      <c r="D360" s="2" t="s">
        <v>431</v>
      </c>
      <c r="E360" s="6"/>
      <c r="F360" s="18"/>
      <c r="G360" s="18"/>
      <c r="H360" s="18">
        <v>49572.18</v>
      </c>
      <c r="I360" s="18">
        <v>1808.17</v>
      </c>
      <c r="J360" s="18"/>
      <c r="K360" s="18"/>
      <c r="L360" s="19">
        <f>SUM(F360:K360)</f>
        <v>51380.35</v>
      </c>
      <c r="M360" s="8"/>
      <c r="N360" s="264"/>
    </row>
    <row r="361" spans="1:22" s="3" customFormat="1" ht="12.2" customHeight="1" x14ac:dyDescent="0.15">
      <c r="A361" s="3" t="s">
        <v>543</v>
      </c>
      <c r="B361" s="2" t="s">
        <v>366</v>
      </c>
      <c r="C361" s="6">
        <v>3</v>
      </c>
      <c r="D361" s="2" t="s">
        <v>431</v>
      </c>
      <c r="E361" s="6"/>
      <c r="F361" s="18"/>
      <c r="G361" s="18"/>
      <c r="H361" s="18">
        <v>101898.37</v>
      </c>
      <c r="I361" s="18">
        <v>3955.37</v>
      </c>
      <c r="J361" s="18"/>
      <c r="K361" s="18"/>
      <c r="L361" s="19">
        <f>SUM(F361:K361)</f>
        <v>105853.73999999999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275401</v>
      </c>
      <c r="I363" s="47">
        <f t="shared" si="22"/>
        <v>11301.05</v>
      </c>
      <c r="J363" s="47">
        <f t="shared" si="22"/>
        <v>0</v>
      </c>
      <c r="K363" s="47">
        <f t="shared" si="22"/>
        <v>0</v>
      </c>
      <c r="L363" s="47">
        <f t="shared" si="22"/>
        <v>286702.05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6780.63</v>
      </c>
      <c r="G368" s="18">
        <v>1582.15</v>
      </c>
      <c r="H368" s="18">
        <v>2938.27</v>
      </c>
      <c r="I368" s="56">
        <f>SUM(F368:H368)</f>
        <v>11301.050000000001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0</v>
      </c>
      <c r="G369" s="63">
        <v>0</v>
      </c>
      <c r="H369" s="63">
        <v>0</v>
      </c>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6780.63</v>
      </c>
      <c r="G370" s="47">
        <f>SUM(G368:G369)</f>
        <v>1582.15</v>
      </c>
      <c r="H370" s="47">
        <f>SUM(H368:H369)</f>
        <v>2938.27</v>
      </c>
      <c r="I370" s="47">
        <f>SUM(I368:I369)</f>
        <v>11301.050000000001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v>25.25</v>
      </c>
      <c r="I392" s="18"/>
      <c r="J392" s="24" t="s">
        <v>288</v>
      </c>
      <c r="K392" s="24" t="s">
        <v>288</v>
      </c>
      <c r="L392" s="56">
        <f t="shared" si="25"/>
        <v>25.25</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25.25</v>
      </c>
      <c r="I394" s="65">
        <f>SUM(I388:I393)</f>
        <v>0</v>
      </c>
      <c r="J394" s="45" t="s">
        <v>288</v>
      </c>
      <c r="K394" s="45" t="s">
        <v>288</v>
      </c>
      <c r="L394" s="47">
        <f>SUM(L388:L393)</f>
        <v>25.25</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100000</v>
      </c>
      <c r="H397" s="18">
        <v>372.34</v>
      </c>
      <c r="I397" s="18"/>
      <c r="J397" s="24" t="s">
        <v>288</v>
      </c>
      <c r="K397" s="24" t="s">
        <v>288</v>
      </c>
      <c r="L397" s="56">
        <f t="shared" si="26"/>
        <v>100372.34</v>
      </c>
      <c r="M397" s="8"/>
      <c r="N397" s="264"/>
    </row>
    <row r="398" spans="1:14" s="3" customFormat="1" ht="12.2" customHeight="1" x14ac:dyDescent="0.15">
      <c r="A398" s="79" t="s">
        <v>515</v>
      </c>
      <c r="B398" s="2" t="s">
        <v>381</v>
      </c>
      <c r="C398" s="6">
        <v>10</v>
      </c>
      <c r="D398" s="2" t="s">
        <v>432</v>
      </c>
      <c r="E398" s="6"/>
      <c r="F398" s="18"/>
      <c r="G398" s="18">
        <v>50000</v>
      </c>
      <c r="H398" s="18">
        <v>377.23</v>
      </c>
      <c r="I398" s="18"/>
      <c r="J398" s="24" t="s">
        <v>288</v>
      </c>
      <c r="K398" s="24" t="s">
        <v>288</v>
      </c>
      <c r="L398" s="56">
        <f t="shared" si="26"/>
        <v>50377.23</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v>3000</v>
      </c>
      <c r="H401" s="18">
        <v>6.69</v>
      </c>
      <c r="I401" s="18">
        <v>8164.07</v>
      </c>
      <c r="J401" s="24" t="s">
        <v>288</v>
      </c>
      <c r="K401" s="24" t="s">
        <v>288</v>
      </c>
      <c r="L401" s="56">
        <f t="shared" si="26"/>
        <v>11170.76</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153000</v>
      </c>
      <c r="H402" s="47">
        <f>SUM(H396:H401)</f>
        <v>756.26</v>
      </c>
      <c r="I402" s="47">
        <f>SUM(I396:I401)</f>
        <v>8164.07</v>
      </c>
      <c r="J402" s="45" t="s">
        <v>288</v>
      </c>
      <c r="K402" s="45" t="s">
        <v>288</v>
      </c>
      <c r="L402" s="47">
        <f>SUM(L396:L401)</f>
        <v>161920.33000000002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t="s">
        <v>1672</v>
      </c>
      <c r="B404" s="2" t="s">
        <v>381</v>
      </c>
      <c r="C404" s="6">
        <v>15</v>
      </c>
      <c r="D404" s="2" t="s">
        <v>432</v>
      </c>
      <c r="E404" s="6"/>
      <c r="F404" s="18"/>
      <c r="G404" s="18"/>
      <c r="H404" s="18">
        <v>4689.7299999999996</v>
      </c>
      <c r="I404" s="18">
        <v>45688.47</v>
      </c>
      <c r="J404" s="24" t="s">
        <v>288</v>
      </c>
      <c r="K404" s="24" t="s">
        <v>288</v>
      </c>
      <c r="L404" s="56">
        <f>SUM(F404:K404)</f>
        <v>50378.2</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4689.7299999999996</v>
      </c>
      <c r="I408" s="47">
        <f>SUM(I404:I407)</f>
        <v>45688.47</v>
      </c>
      <c r="J408" s="49" t="s">
        <v>288</v>
      </c>
      <c r="K408" s="49" t="s">
        <v>288</v>
      </c>
      <c r="L408" s="47">
        <f>SUM(L404:L407)</f>
        <v>50378.2</v>
      </c>
      <c r="M408" s="8"/>
      <c r="N408" s="264"/>
    </row>
    <row r="409" spans="1:21" s="3" customFormat="1" ht="12.2" customHeight="1" thickTop="1" x14ac:dyDescent="0.15">
      <c r="A409" s="78" t="s">
        <v>421</v>
      </c>
      <c r="B409" s="2" t="s">
        <v>381</v>
      </c>
      <c r="C409" s="6">
        <v>20</v>
      </c>
      <c r="D409" s="6"/>
      <c r="E409" s="40"/>
      <c r="F409" s="47">
        <f>F394+F402+F408</f>
        <v>0</v>
      </c>
      <c r="G409" s="47">
        <f>G394+G402+G408</f>
        <v>153000</v>
      </c>
      <c r="H409" s="47">
        <f>H394+H402+H408</f>
        <v>5471.24</v>
      </c>
      <c r="I409" s="47">
        <f>I394+I402+I408</f>
        <v>53852.54</v>
      </c>
      <c r="J409" s="24" t="s">
        <v>288</v>
      </c>
      <c r="K409" s="24" t="s">
        <v>288</v>
      </c>
      <c r="L409" s="47">
        <f>L394+L402+L408</f>
        <v>212323.78000000003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10771.4</v>
      </c>
      <c r="I427" s="18"/>
      <c r="J427" s="18"/>
      <c r="K427" s="18"/>
      <c r="L427" s="56">
        <f t="shared" si="29"/>
        <v>10771.4</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10771.4</v>
      </c>
      <c r="I428" s="47">
        <f t="shared" si="30"/>
        <v>0</v>
      </c>
      <c r="J428" s="47">
        <f t="shared" si="30"/>
        <v>0</v>
      </c>
      <c r="K428" s="47">
        <f t="shared" si="30"/>
        <v>0</v>
      </c>
      <c r="L428" s="47">
        <f t="shared" si="30"/>
        <v>10771.4</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t="s">
        <v>1672</v>
      </c>
      <c r="B430" s="6">
        <v>17</v>
      </c>
      <c r="C430" s="6">
        <v>15</v>
      </c>
      <c r="D430" s="2" t="s">
        <v>432</v>
      </c>
      <c r="E430" s="6"/>
      <c r="F430" s="18"/>
      <c r="G430" s="18"/>
      <c r="H430" s="18"/>
      <c r="I430" s="18">
        <v>5343.06</v>
      </c>
      <c r="J430" s="18"/>
      <c r="K430" s="18"/>
      <c r="L430" s="56">
        <f>SUM(F430:K430)</f>
        <v>5343.06</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5343.06</v>
      </c>
      <c r="J434" s="47">
        <f t="shared" si="31"/>
        <v>0</v>
      </c>
      <c r="K434" s="47">
        <f t="shared" si="31"/>
        <v>0</v>
      </c>
      <c r="L434" s="47">
        <f t="shared" si="31"/>
        <v>5343.06</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10771.4</v>
      </c>
      <c r="I435" s="47">
        <f t="shared" si="32"/>
        <v>5343.06</v>
      </c>
      <c r="J435" s="47">
        <f t="shared" si="32"/>
        <v>0</v>
      </c>
      <c r="K435" s="47">
        <f t="shared" si="32"/>
        <v>0</v>
      </c>
      <c r="L435" s="47">
        <f t="shared" si="32"/>
        <v>16114.46</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v>229281.77</v>
      </c>
      <c r="I441" s="56">
        <f t="shared" si="33"/>
        <v>229281.77</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7593.31</v>
      </c>
      <c r="H442" s="18"/>
      <c r="I442" s="56">
        <f t="shared" si="33"/>
        <v>7593.31</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600893.34</v>
      </c>
      <c r="H443" s="18"/>
      <c r="I443" s="56">
        <f t="shared" si="33"/>
        <v>600893.34</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608486.65</v>
      </c>
      <c r="H447" s="13">
        <f>SUM(H440:H446)</f>
        <v>229281.77</v>
      </c>
      <c r="I447" s="13">
        <f>SUM(I440:I446)</f>
        <v>837768.41999999993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v>229281.77</v>
      </c>
      <c r="I458" s="56">
        <f t="shared" si="34"/>
        <v>229281.77</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608486.65</v>
      </c>
      <c r="H460" s="18"/>
      <c r="I460" s="56">
        <f t="shared" si="34"/>
        <v>608486.65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608486.65</v>
      </c>
      <c r="H461" s="83">
        <f>SUM(H455:H460)</f>
        <v>229281.77</v>
      </c>
      <c r="I461" s="83">
        <f>SUM(I455:I460)</f>
        <v>837768.42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608486.65</v>
      </c>
      <c r="H462" s="42">
        <f>H453+H461</f>
        <v>229281.77</v>
      </c>
      <c r="I462" s="42">
        <f>I453+I461</f>
        <v>837768.42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522119.67999999999</v>
      </c>
      <c r="G466" s="18">
        <v>20351.099999999999</v>
      </c>
      <c r="H466" s="18">
        <v>0</v>
      </c>
      <c r="I466" s="18">
        <v>0</v>
      </c>
      <c r="J466" s="18">
        <v>641559.1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10515549.01</v>
      </c>
      <c r="G469" s="18">
        <f>G194</f>
        <v>297984.00999999995</v>
      </c>
      <c r="H469" s="18">
        <f>H194</f>
        <v>900107.89</v>
      </c>
      <c r="I469" s="18">
        <v>0</v>
      </c>
      <c r="J469" s="18">
        <f>J194</f>
        <v>212323.78</v>
      </c>
      <c r="K469" s="24" t="s">
        <v>288</v>
      </c>
      <c r="L469" s="24" t="s">
        <v>288</v>
      </c>
      <c r="N469" s="263"/>
    </row>
    <row r="470" spans="1:14" s="52" customFormat="1" ht="12.2" customHeight="1" x14ac:dyDescent="0.2">
      <c r="A470" s="93" t="s">
        <v>611</v>
      </c>
      <c r="B470" s="75">
        <v>19</v>
      </c>
      <c r="C470" s="80">
        <v>3</v>
      </c>
      <c r="D470" s="2" t="s">
        <v>432</v>
      </c>
      <c r="E470" s="80"/>
      <c r="F470" s="18"/>
      <c r="G470" s="18"/>
      <c r="H470" s="18">
        <v>33459.9</v>
      </c>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10515549.01</v>
      </c>
      <c r="G471" s="53">
        <f>SUM(G469:G470)</f>
        <v>297984.00999999995</v>
      </c>
      <c r="H471" s="53">
        <f>SUM(H469:H470)</f>
        <v>933567.79</v>
      </c>
      <c r="I471" s="53">
        <f>SUM(I469:I470)</f>
        <v>0</v>
      </c>
      <c r="J471" s="53">
        <f>SUM(J469:J470)</f>
        <v>212323.78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10397185.939999998</v>
      </c>
      <c r="G473" s="18">
        <f>L363</f>
        <v>286702.05</v>
      </c>
      <c r="H473" s="18">
        <f>L339</f>
        <v>933567.79</v>
      </c>
      <c r="I473" s="18">
        <v>0</v>
      </c>
      <c r="J473" s="18">
        <f>L435</f>
        <v>16114.46</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10397185.939999998</v>
      </c>
      <c r="G475" s="53">
        <f>SUM(G473:G474)</f>
        <v>286702.05</v>
      </c>
      <c r="H475" s="53">
        <f>SUM(H473:H474)</f>
        <v>933567.79</v>
      </c>
      <c r="I475" s="53">
        <f>SUM(I473:I474)</f>
        <v>0</v>
      </c>
      <c r="J475" s="53">
        <f>SUM(J473:J474)</f>
        <v>16114.46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640482.75000000186</v>
      </c>
      <c r="G477" s="53">
        <f>(G466+G471)- G475</f>
        <v>31633.059999999939</v>
      </c>
      <c r="H477" s="53">
        <f>(H466+H471)- H475</f>
        <v>0</v>
      </c>
      <c r="I477" s="53">
        <f>(I466+I471)- I475</f>
        <v>0</v>
      </c>
      <c r="J477" s="53">
        <f>(J466+J471)- J475</f>
        <v>837768.42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1673</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718051.36</v>
      </c>
      <c r="G522" s="18">
        <v>298795.90000000002</v>
      </c>
      <c r="H522" s="18">
        <v>55002.39</v>
      </c>
      <c r="I522" s="18">
        <v>2073.21</v>
      </c>
      <c r="J522" s="18"/>
      <c r="K522" s="18">
        <v>547.5</v>
      </c>
      <c r="L522" s="88">
        <f>SUM(F522:K522)</f>
        <v>1074470.3599999999</v>
      </c>
      <c r="N522" s="263"/>
    </row>
    <row r="523" spans="1:14" s="52" customFormat="1" ht="12.2" customHeight="1" x14ac:dyDescent="0.2">
      <c r="A523" s="22" t="s">
        <v>634</v>
      </c>
      <c r="B523" s="105">
        <v>21</v>
      </c>
      <c r="C523" s="115">
        <v>2</v>
      </c>
      <c r="D523" s="2" t="s">
        <v>432</v>
      </c>
      <c r="E523" s="115"/>
      <c r="F523" s="18">
        <v>288519.65999999997</v>
      </c>
      <c r="G523" s="18">
        <v>88731.22</v>
      </c>
      <c r="H523" s="18">
        <v>206924.28</v>
      </c>
      <c r="I523" s="18">
        <v>14.06</v>
      </c>
      <c r="J523" s="18"/>
      <c r="K523" s="18">
        <v>203.15</v>
      </c>
      <c r="L523" s="88">
        <f>SUM(F523:K523)</f>
        <v>584392.37000000011</v>
      </c>
      <c r="N523" s="263"/>
    </row>
    <row r="524" spans="1:14" s="52" customFormat="1" ht="12.2" customHeight="1" thickBot="1" x14ac:dyDescent="0.25">
      <c r="A524" s="22" t="s">
        <v>635</v>
      </c>
      <c r="B524" s="105">
        <v>21</v>
      </c>
      <c r="C524" s="115">
        <v>3</v>
      </c>
      <c r="D524" s="2" t="s">
        <v>432</v>
      </c>
      <c r="E524" s="115"/>
      <c r="F524" s="18">
        <v>339216.57</v>
      </c>
      <c r="G524" s="18">
        <v>114515.94</v>
      </c>
      <c r="H524" s="18">
        <v>292138.71000000002</v>
      </c>
      <c r="I524" s="18">
        <v>27.45</v>
      </c>
      <c r="J524" s="18"/>
      <c r="K524" s="18">
        <v>344.35</v>
      </c>
      <c r="L524" s="88">
        <f>SUM(F524:K524)</f>
        <v>746243.0199999999</v>
      </c>
      <c r="N524" s="263"/>
    </row>
    <row r="525" spans="1:14" s="52" customFormat="1" ht="12.2" customHeight="1" thickTop="1" x14ac:dyDescent="0.2">
      <c r="A525" s="139" t="s">
        <v>63</v>
      </c>
      <c r="B525" s="107">
        <v>21</v>
      </c>
      <c r="C525" s="195">
        <v>4</v>
      </c>
      <c r="D525" s="196" t="s">
        <v>432</v>
      </c>
      <c r="E525" s="195"/>
      <c r="F525" s="108">
        <f>SUM(F522:F524)</f>
        <v>1345787.59</v>
      </c>
      <c r="G525" s="108">
        <f t="shared" ref="G525:L525" si="36">SUM(G522:G524)</f>
        <v>502043.06</v>
      </c>
      <c r="H525" s="108">
        <f t="shared" si="36"/>
        <v>554065.38</v>
      </c>
      <c r="I525" s="108">
        <f t="shared" si="36"/>
        <v>2114.7199999999998</v>
      </c>
      <c r="J525" s="108">
        <f t="shared" si="36"/>
        <v>0</v>
      </c>
      <c r="K525" s="108">
        <f t="shared" si="36"/>
        <v>1095</v>
      </c>
      <c r="L525" s="89">
        <f t="shared" si="36"/>
        <v>2405105.75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95922.68</v>
      </c>
      <c r="G527" s="18">
        <v>40538.660000000003</v>
      </c>
      <c r="H527" s="18">
        <v>422406.75</v>
      </c>
      <c r="I527" s="18">
        <v>2025.32</v>
      </c>
      <c r="J527" s="18"/>
      <c r="K527" s="18"/>
      <c r="L527" s="88">
        <f>SUM(F527:K527)</f>
        <v>560893.40999999992</v>
      </c>
      <c r="M527" s="8"/>
      <c r="N527" s="264"/>
    </row>
    <row r="528" spans="1:14" s="3" customFormat="1" ht="12.2" customHeight="1" x14ac:dyDescent="0.15">
      <c r="A528" s="22" t="s">
        <v>634</v>
      </c>
      <c r="B528" s="105">
        <v>21</v>
      </c>
      <c r="C528" s="115">
        <v>6</v>
      </c>
      <c r="D528" s="2" t="s">
        <v>432</v>
      </c>
      <c r="E528" s="115"/>
      <c r="F528" s="18">
        <v>14247.79</v>
      </c>
      <c r="G528" s="18">
        <v>9286.41</v>
      </c>
      <c r="H528" s="18">
        <v>25752.76</v>
      </c>
      <c r="I528" s="18"/>
      <c r="J528" s="18"/>
      <c r="K528" s="18"/>
      <c r="L528" s="88">
        <f>SUM(F528:K528)</f>
        <v>49286.96</v>
      </c>
      <c r="M528" s="8"/>
      <c r="N528" s="264"/>
    </row>
    <row r="529" spans="1:14" s="3" customFormat="1" ht="12.2" customHeight="1" thickBot="1" x14ac:dyDescent="0.2">
      <c r="A529" s="22" t="s">
        <v>635</v>
      </c>
      <c r="B529" s="118">
        <v>21</v>
      </c>
      <c r="C529" s="118">
        <v>7</v>
      </c>
      <c r="D529" s="2" t="s">
        <v>432</v>
      </c>
      <c r="E529" s="118"/>
      <c r="F529" s="18">
        <v>21972.79</v>
      </c>
      <c r="G529" s="18">
        <v>16799.259999999998</v>
      </c>
      <c r="H529" s="18">
        <v>4852.68</v>
      </c>
      <c r="I529" s="18"/>
      <c r="J529" s="18"/>
      <c r="K529" s="18"/>
      <c r="L529" s="88">
        <f>SUM(F529:K529)</f>
        <v>43624.73</v>
      </c>
      <c r="M529" s="8"/>
      <c r="N529" s="264"/>
    </row>
    <row r="530" spans="1:14" s="3" customFormat="1" ht="12.2" customHeight="1" thickTop="1" x14ac:dyDescent="0.15">
      <c r="A530" s="139" t="s">
        <v>65</v>
      </c>
      <c r="B530" s="107">
        <v>21</v>
      </c>
      <c r="C530" s="107">
        <v>8</v>
      </c>
      <c r="D530" s="158" t="s">
        <v>432</v>
      </c>
      <c r="E530" s="107"/>
      <c r="F530" s="89">
        <f>SUM(F527:F529)</f>
        <v>132143.26</v>
      </c>
      <c r="G530" s="89">
        <f t="shared" ref="G530:L530" si="37">SUM(G527:G529)</f>
        <v>66624.33</v>
      </c>
      <c r="H530" s="89">
        <f t="shared" si="37"/>
        <v>453012.19</v>
      </c>
      <c r="I530" s="89">
        <f t="shared" si="37"/>
        <v>2025.32</v>
      </c>
      <c r="J530" s="89">
        <f t="shared" si="37"/>
        <v>0</v>
      </c>
      <c r="K530" s="89">
        <f t="shared" si="37"/>
        <v>0</v>
      </c>
      <c r="L530" s="89">
        <f t="shared" si="37"/>
        <v>653805.09999999986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41280</v>
      </c>
      <c r="G532" s="18">
        <v>22794.54</v>
      </c>
      <c r="H532" s="18"/>
      <c r="I532" s="18"/>
      <c r="J532" s="18"/>
      <c r="K532" s="18"/>
      <c r="L532" s="88">
        <f>SUM(F532:K532)</f>
        <v>64074.54</v>
      </c>
      <c r="M532" s="8"/>
      <c r="N532" s="264"/>
    </row>
    <row r="533" spans="1:14" s="3" customFormat="1" ht="12.2" customHeight="1" x14ac:dyDescent="0.15">
      <c r="A533" s="22" t="s">
        <v>634</v>
      </c>
      <c r="B533" s="105">
        <v>21</v>
      </c>
      <c r="C533" s="105">
        <v>10</v>
      </c>
      <c r="D533" s="2" t="s">
        <v>432</v>
      </c>
      <c r="E533" s="105"/>
      <c r="F533" s="18">
        <v>14448</v>
      </c>
      <c r="G533" s="18">
        <v>7978.04</v>
      </c>
      <c r="H533" s="18"/>
      <c r="I533" s="18"/>
      <c r="J533" s="18"/>
      <c r="K533" s="18"/>
      <c r="L533" s="88">
        <f>SUM(F533:K533)</f>
        <v>22426.04</v>
      </c>
      <c r="M533" s="8"/>
      <c r="N533" s="264"/>
    </row>
    <row r="534" spans="1:14" s="3" customFormat="1" ht="12.2" customHeight="1" thickBot="1" x14ac:dyDescent="0.2">
      <c r="A534" s="22" t="s">
        <v>635</v>
      </c>
      <c r="B534" s="105">
        <v>21</v>
      </c>
      <c r="C534" s="105">
        <v>11</v>
      </c>
      <c r="D534" s="2" t="s">
        <v>432</v>
      </c>
      <c r="E534" s="105"/>
      <c r="F534" s="18">
        <v>26832</v>
      </c>
      <c r="G534" s="18">
        <v>14816.4</v>
      </c>
      <c r="H534" s="18"/>
      <c r="I534" s="18"/>
      <c r="J534" s="18"/>
      <c r="K534" s="18"/>
      <c r="L534" s="88">
        <f>SUM(F534:K534)</f>
        <v>41648.400000000001</v>
      </c>
      <c r="M534" s="8"/>
      <c r="N534" s="264"/>
    </row>
    <row r="535" spans="1:14" s="3" customFormat="1" ht="12.2" customHeight="1" thickTop="1" x14ac:dyDescent="0.15">
      <c r="A535" s="139" t="s">
        <v>67</v>
      </c>
      <c r="B535" s="107">
        <v>21</v>
      </c>
      <c r="C535" s="107">
        <v>12</v>
      </c>
      <c r="D535" s="158" t="s">
        <v>432</v>
      </c>
      <c r="E535" s="107"/>
      <c r="F535" s="89">
        <f>SUM(F532:F534)</f>
        <v>82560</v>
      </c>
      <c r="G535" s="89">
        <f t="shared" ref="G535:L535" si="38">SUM(G532:G534)</f>
        <v>45588.98</v>
      </c>
      <c r="H535" s="89">
        <f t="shared" si="38"/>
        <v>0</v>
      </c>
      <c r="I535" s="89">
        <f t="shared" si="38"/>
        <v>0</v>
      </c>
      <c r="J535" s="89">
        <f t="shared" si="38"/>
        <v>0</v>
      </c>
      <c r="K535" s="89">
        <f t="shared" si="38"/>
        <v>0</v>
      </c>
      <c r="L535" s="89">
        <f t="shared" si="38"/>
        <v>128148.98000000001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153</v>
      </c>
      <c r="I537" s="18"/>
      <c r="J537" s="18"/>
      <c r="K537" s="18"/>
      <c r="L537" s="88">
        <f>SUM(F537:K537)</f>
        <v>153</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153</v>
      </c>
      <c r="I540" s="89">
        <f t="shared" si="39"/>
        <v>0</v>
      </c>
      <c r="J540" s="89">
        <f t="shared" si="39"/>
        <v>0</v>
      </c>
      <c r="K540" s="89">
        <f t="shared" si="39"/>
        <v>0</v>
      </c>
      <c r="L540" s="89">
        <f t="shared" si="39"/>
        <v>153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46445.89</v>
      </c>
      <c r="I542" s="18"/>
      <c r="J542" s="18"/>
      <c r="K542" s="18"/>
      <c r="L542" s="88">
        <f>SUM(F542:K542)</f>
        <v>46445.89</v>
      </c>
      <c r="M542" s="8"/>
      <c r="N542" s="264"/>
    </row>
    <row r="543" spans="1:14" s="3" customFormat="1" ht="12.2" customHeight="1" x14ac:dyDescent="0.15">
      <c r="A543" s="22" t="s">
        <v>634</v>
      </c>
      <c r="B543" s="105">
        <v>21</v>
      </c>
      <c r="C543" s="105">
        <v>18</v>
      </c>
      <c r="D543" s="2" t="s">
        <v>432</v>
      </c>
      <c r="E543" s="105"/>
      <c r="F543" s="18"/>
      <c r="G543" s="18"/>
      <c r="H543" s="18">
        <v>155240</v>
      </c>
      <c r="I543" s="18"/>
      <c r="J543" s="18"/>
      <c r="K543" s="18"/>
      <c r="L543" s="88">
        <f>SUM(F543:K543)</f>
        <v>155240</v>
      </c>
      <c r="M543" s="8"/>
      <c r="N543" s="264"/>
    </row>
    <row r="544" spans="1:14" s="3" customFormat="1" ht="12.2" customHeight="1" thickBot="1" x14ac:dyDescent="0.2">
      <c r="A544" s="22" t="s">
        <v>635</v>
      </c>
      <c r="B544" s="105">
        <v>21</v>
      </c>
      <c r="C544" s="105">
        <v>19</v>
      </c>
      <c r="D544" s="2" t="s">
        <v>432</v>
      </c>
      <c r="E544" s="105"/>
      <c r="F544" s="18"/>
      <c r="G544" s="18"/>
      <c r="H544" s="18">
        <v>57278.1</v>
      </c>
      <c r="I544" s="18"/>
      <c r="J544" s="18"/>
      <c r="K544" s="18"/>
      <c r="L544" s="88">
        <f>SUM(F544:K544)</f>
        <v>57278.1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258963.99000000002</v>
      </c>
      <c r="I545" s="193">
        <f t="shared" si="40"/>
        <v>0</v>
      </c>
      <c r="J545" s="193">
        <f t="shared" si="40"/>
        <v>0</v>
      </c>
      <c r="K545" s="193">
        <f t="shared" si="40"/>
        <v>0</v>
      </c>
      <c r="L545" s="193">
        <f t="shared" si="40"/>
        <v>258963.99000000002</v>
      </c>
      <c r="M545" s="8"/>
      <c r="N545" s="264"/>
    </row>
    <row r="546" spans="1:14" s="3" customFormat="1" ht="12.2" customHeight="1" thickTop="1" x14ac:dyDescent="0.15">
      <c r="A546" s="98" t="s">
        <v>72</v>
      </c>
      <c r="B546" s="107">
        <v>21</v>
      </c>
      <c r="C546" s="107">
        <v>21</v>
      </c>
      <c r="D546" s="158" t="s">
        <v>432</v>
      </c>
      <c r="E546" s="107"/>
      <c r="F546" s="89">
        <f>F525+F530+F535+F540+F545</f>
        <v>1560490.85</v>
      </c>
      <c r="G546" s="89">
        <f t="shared" ref="G546:L546" si="41">G525+G530+G535+G540+G545</f>
        <v>614256.37</v>
      </c>
      <c r="H546" s="89">
        <f t="shared" si="41"/>
        <v>1266194.56</v>
      </c>
      <c r="I546" s="89">
        <f t="shared" si="41"/>
        <v>4140.04</v>
      </c>
      <c r="J546" s="89">
        <f t="shared" si="41"/>
        <v>0</v>
      </c>
      <c r="K546" s="89">
        <f t="shared" si="41"/>
        <v>1095</v>
      </c>
      <c r="L546" s="89">
        <f t="shared" si="41"/>
        <v>3446176.82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1074470.3599999999</v>
      </c>
      <c r="G550" s="87">
        <f>L527</f>
        <v>560893.40999999992</v>
      </c>
      <c r="H550" s="87">
        <f>L532</f>
        <v>64074.54</v>
      </c>
      <c r="I550" s="87">
        <f>L537</f>
        <v>153</v>
      </c>
      <c r="J550" s="87">
        <f>L542</f>
        <v>46445.89</v>
      </c>
      <c r="K550" s="87">
        <f>SUM(F550:J550)</f>
        <v>1746037.1999999997</v>
      </c>
      <c r="L550" s="24" t="s">
        <v>288</v>
      </c>
      <c r="M550" s="8"/>
      <c r="N550" s="264"/>
    </row>
    <row r="551" spans="1:14" s="3" customFormat="1" ht="12.2" customHeight="1" x14ac:dyDescent="0.15">
      <c r="A551" s="22" t="s">
        <v>634</v>
      </c>
      <c r="B551" s="75">
        <v>21</v>
      </c>
      <c r="C551" s="75">
        <v>23</v>
      </c>
      <c r="D551" s="2" t="s">
        <v>432</v>
      </c>
      <c r="E551" s="75"/>
      <c r="F551" s="87">
        <f>L523</f>
        <v>584392.37000000011</v>
      </c>
      <c r="G551" s="87">
        <f>L528</f>
        <v>49286.96</v>
      </c>
      <c r="H551" s="87">
        <f>L533</f>
        <v>22426.04</v>
      </c>
      <c r="I551" s="87">
        <f>L538</f>
        <v>0</v>
      </c>
      <c r="J551" s="87">
        <f>L543</f>
        <v>155240</v>
      </c>
      <c r="K551" s="87">
        <f>SUM(F551:J551)</f>
        <v>811345.37000000011</v>
      </c>
      <c r="L551" s="24" t="s">
        <v>288</v>
      </c>
      <c r="M551" s="8"/>
      <c r="N551" s="264"/>
    </row>
    <row r="552" spans="1:14" s="3" customFormat="1" ht="12.2" customHeight="1" thickBot="1" x14ac:dyDescent="0.2">
      <c r="A552" s="22" t="s">
        <v>635</v>
      </c>
      <c r="B552" s="75">
        <v>21</v>
      </c>
      <c r="C552" s="75">
        <v>24</v>
      </c>
      <c r="D552" s="2" t="s">
        <v>432</v>
      </c>
      <c r="E552" s="75"/>
      <c r="F552" s="87">
        <f>L524</f>
        <v>746243.0199999999</v>
      </c>
      <c r="G552" s="87">
        <f>L529</f>
        <v>43624.73</v>
      </c>
      <c r="H552" s="87">
        <f>L534</f>
        <v>41648.400000000001</v>
      </c>
      <c r="I552" s="87">
        <f>L539</f>
        <v>0</v>
      </c>
      <c r="J552" s="87">
        <f>L544</f>
        <v>57278.1</v>
      </c>
      <c r="K552" s="87">
        <f>SUM(F552:J552)</f>
        <v>888794.24999999988</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2405105.75</v>
      </c>
      <c r="G553" s="89">
        <f t="shared" si="42"/>
        <v>653805.09999999986</v>
      </c>
      <c r="H553" s="89">
        <f t="shared" si="42"/>
        <v>128148.98000000001</v>
      </c>
      <c r="I553" s="89">
        <f t="shared" si="42"/>
        <v>153</v>
      </c>
      <c r="J553" s="89">
        <f t="shared" si="42"/>
        <v>258963.99000000002</v>
      </c>
      <c r="K553" s="89">
        <f t="shared" si="42"/>
        <v>3446176.82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1860</v>
      </c>
      <c r="G563" s="18">
        <v>147</v>
      </c>
      <c r="H563" s="18"/>
      <c r="I563" s="18"/>
      <c r="J563" s="18"/>
      <c r="K563" s="18"/>
      <c r="L563" s="88">
        <f>SUM(F563:K563)</f>
        <v>2007</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1860</v>
      </c>
      <c r="G566" s="89">
        <f t="shared" si="44"/>
        <v>147</v>
      </c>
      <c r="H566" s="89">
        <f t="shared" si="44"/>
        <v>0</v>
      </c>
      <c r="I566" s="89">
        <f t="shared" si="44"/>
        <v>0</v>
      </c>
      <c r="J566" s="89">
        <f t="shared" si="44"/>
        <v>0</v>
      </c>
      <c r="K566" s="89">
        <f t="shared" si="44"/>
        <v>0</v>
      </c>
      <c r="L566" s="89">
        <f t="shared" si="44"/>
        <v>2007</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1860</v>
      </c>
      <c r="G572" s="89">
        <f t="shared" ref="G572:L572" si="46">G561+G566+G571</f>
        <v>147</v>
      </c>
      <c r="H572" s="89">
        <f t="shared" si="46"/>
        <v>0</v>
      </c>
      <c r="I572" s="89">
        <f t="shared" si="46"/>
        <v>0</v>
      </c>
      <c r="J572" s="89">
        <f t="shared" si="46"/>
        <v>0</v>
      </c>
      <c r="K572" s="89">
        <f t="shared" si="46"/>
        <v>0</v>
      </c>
      <c r="L572" s="89">
        <f t="shared" si="46"/>
        <v>2007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13164.68</v>
      </c>
      <c r="I576" s="87">
        <f>SUM(F576:H576)</f>
        <v>13164.68</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21111.15</v>
      </c>
      <c r="I580" s="87">
        <f t="shared" si="47"/>
        <v>21111.15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41836.14</v>
      </c>
      <c r="G583" s="18">
        <v>206001.78</v>
      </c>
      <c r="H583" s="18">
        <v>270993.96000000002</v>
      </c>
      <c r="I583" s="87">
        <f t="shared" si="47"/>
        <v>518831.88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33649.32</v>
      </c>
      <c r="I585" s="87">
        <f t="shared" si="47"/>
        <v>33649.32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136540.67000000001</v>
      </c>
      <c r="I592" s="18">
        <v>39480</v>
      </c>
      <c r="J592" s="18">
        <v>77904.639999999999</v>
      </c>
      <c r="K592" s="104">
        <f t="shared" ref="K592:K598" si="48">SUM(H592:J592)</f>
        <v>253925.31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46445.89</v>
      </c>
      <c r="I593" s="18">
        <v>155240</v>
      </c>
      <c r="J593" s="18">
        <v>57278.1</v>
      </c>
      <c r="K593" s="104">
        <f t="shared" si="48"/>
        <v>258963.99000000002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26800</v>
      </c>
      <c r="K594" s="104">
        <f t="shared" si="48"/>
        <v>26800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1486.5</v>
      </c>
      <c r="J595" s="18">
        <v>7820.3</v>
      </c>
      <c r="K595" s="104">
        <f t="shared" si="48"/>
        <v>9306.7999999999993</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182986.56</v>
      </c>
      <c r="I599" s="108">
        <f>SUM(I592:I598)</f>
        <v>196206.5</v>
      </c>
      <c r="J599" s="108">
        <f>SUM(J592:J598)</f>
        <v>169803.03999999998</v>
      </c>
      <c r="K599" s="108">
        <f>SUM(K592:K598)</f>
        <v>548996.10000000009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155170.41</v>
      </c>
      <c r="I605" s="18">
        <v>43939.07</v>
      </c>
      <c r="J605" s="18">
        <v>70209.36</v>
      </c>
      <c r="K605" s="104">
        <f>SUM(H605:J605)</f>
        <v>269318.84000000003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155170.41</v>
      </c>
      <c r="I606" s="108">
        <f>SUM(I603:I605)</f>
        <v>43939.07</v>
      </c>
      <c r="J606" s="108">
        <f>SUM(J603:J605)</f>
        <v>70209.36</v>
      </c>
      <c r="K606" s="108">
        <f>SUM(K603:K605)</f>
        <v>269318.84000000003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1395811.0899999999</v>
      </c>
      <c r="H618" s="109">
        <f>SUM(F52)</f>
        <v>1395811.0899999999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122284.82</v>
      </c>
      <c r="H619" s="109">
        <f>SUM(G52)</f>
        <v>122284.81999999999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135166.14000000001</v>
      </c>
      <c r="H620" s="109">
        <f>SUM(H52)</f>
        <v>135166.14000000001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837768.41999999993</v>
      </c>
      <c r="H622" s="109">
        <f>SUM(J52)</f>
        <v>837768.42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640482.75</v>
      </c>
      <c r="H623" s="109">
        <f>F477</f>
        <v>640482.75000000186</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31633.059999999998</v>
      </c>
      <c r="H624" s="109">
        <f>G477</f>
        <v>31633.059999999939</v>
      </c>
      <c r="I624" s="121" t="s">
        <v>102</v>
      </c>
      <c r="J624" s="109">
        <f t="shared" si="50"/>
        <v>5.8207660913467407E-11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837768.42</v>
      </c>
      <c r="H627" s="109">
        <f>J477</f>
        <v>837768.42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10515549.01</v>
      </c>
      <c r="H628" s="104">
        <f>SUM(F469)</f>
        <v>10515549.01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297984.00999999995</v>
      </c>
      <c r="H629" s="104">
        <f>SUM(G469)</f>
        <v>297984.00999999995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900107.89</v>
      </c>
      <c r="H630" s="104">
        <f>SUM(H469)</f>
        <v>900107.89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212323.78</v>
      </c>
      <c r="H632" s="104">
        <f>SUM(J469)</f>
        <v>212323.78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10397185.939999998</v>
      </c>
      <c r="H633" s="104">
        <f>SUM(F473)</f>
        <v>10397185.939999998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933567.79</v>
      </c>
      <c r="H634" s="104">
        <f>SUM(H473)</f>
        <v>933567.79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11301.05</v>
      </c>
      <c r="H635" s="104">
        <f>I370</f>
        <v>11301.050000000001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286702.05</v>
      </c>
      <c r="H636" s="104">
        <f>SUM(G473)</f>
        <v>286702.05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212323.78000000003</v>
      </c>
      <c r="H638" s="164">
        <f>SUM(J469)</f>
        <v>212323.78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16114.46</v>
      </c>
      <c r="H639" s="164">
        <f>SUM(J473)</f>
        <v>16114.46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608486.65</v>
      </c>
      <c r="H641" s="104">
        <f>SUM(G462)</f>
        <v>608486.65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229281.77</v>
      </c>
      <c r="H642" s="104">
        <f>SUM(H462)</f>
        <v>229281.77</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837768.41999999993</v>
      </c>
      <c r="H643" s="104">
        <f>SUM(I462)</f>
        <v>837768.42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5471.24</v>
      </c>
      <c r="H645" s="104">
        <f>H409</f>
        <v>5471.24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153000</v>
      </c>
      <c r="H646" s="104">
        <f>G409</f>
        <v>153000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212323.78</v>
      </c>
      <c r="H647" s="104">
        <f>L409</f>
        <v>212323.78000000003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548996.10000000009</v>
      </c>
      <c r="H648" s="104">
        <f>L209+L227+L245</f>
        <v>548996.1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269318.84000000003</v>
      </c>
      <c r="H649" s="104">
        <f>(J258+J339)-(J256+J337)</f>
        <v>269318.83999999997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182986.56</v>
      </c>
      <c r="H650" s="104">
        <f>H599</f>
        <v>182986.56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196206.5</v>
      </c>
      <c r="H651" s="104">
        <f>I599</f>
        <v>196206.5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169803.04</v>
      </c>
      <c r="H652" s="104">
        <f>J599</f>
        <v>169803.03999999998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153000</v>
      </c>
      <c r="H656" s="104">
        <f>K267+K348</f>
        <v>153000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5523149.3299999991</v>
      </c>
      <c r="G661" s="19">
        <f>(L230+L310+L360)</f>
        <v>2316779.62</v>
      </c>
      <c r="H661" s="19">
        <f>(L248+L329+L361)</f>
        <v>3624526.8299999991</v>
      </c>
      <c r="I661" s="19">
        <f>SUM(F661:H661)</f>
        <v>11464455.779999997</v>
      </c>
      <c r="J661" s="13"/>
      <c r="K661" s="13"/>
      <c r="L661" s="13"/>
      <c r="M661" s="9"/>
    </row>
    <row r="662" spans="1:13" s="3" customFormat="1" ht="12.2" customHeight="1" x14ac:dyDescent="0.2">
      <c r="A662" s="1" t="s">
        <v>127</v>
      </c>
      <c r="F662" s="19">
        <f>(L359/IF(SUM(L359:L361)=0,1,SUM(L359:L361))*(SUM(G97:G110)))</f>
        <v>2211.5290557078333</v>
      </c>
      <c r="G662" s="19">
        <f>(L360/IF(SUM(L359:L361)=0,1,SUM(L359:L361))*(SUM(G97:G110)))</f>
        <v>877.66221787566576</v>
      </c>
      <c r="H662" s="19">
        <f>(L361/IF(SUM(L359:L361)=0,1,SUM(L359:L361))*(SUM(G97:G110)))</f>
        <v>1808.1587264165009</v>
      </c>
      <c r="I662" s="19">
        <f>SUM(F662:H662)</f>
        <v>4897.3500000000004</v>
      </c>
      <c r="J662"/>
      <c r="K662" s="13"/>
      <c r="L662" s="13"/>
      <c r="M662" s="8"/>
    </row>
    <row r="663" spans="1:13" s="3" customFormat="1" ht="12.2" customHeight="1" x14ac:dyDescent="0.2">
      <c r="A663" s="1" t="s">
        <v>128</v>
      </c>
      <c r="F663" s="19">
        <f>(L209+L288)-(J209+J288)</f>
        <v>193987.43</v>
      </c>
      <c r="G663" s="19">
        <f>(L227+L307)-(J227+J307)</f>
        <v>201046.87</v>
      </c>
      <c r="H663" s="19">
        <f>(L245+L326)-(J245+J326)</f>
        <v>175963.51</v>
      </c>
      <c r="I663" s="19">
        <f>SUM(F663:H663)</f>
        <v>570997.81000000006</v>
      </c>
      <c r="J663"/>
      <c r="K663" s="13"/>
      <c r="L663" s="13"/>
      <c r="M663" s="9"/>
    </row>
    <row r="664" spans="1:13" s="3" customFormat="1" ht="12.2" customHeight="1" x14ac:dyDescent="0.15">
      <c r="A664" s="198" t="s">
        <v>129</v>
      </c>
      <c r="B664" s="169"/>
      <c r="C664" s="169"/>
      <c r="D664" s="169"/>
      <c r="E664" s="169"/>
      <c r="F664" s="199">
        <f>SUM(F576:F588)+SUM(H603:H605)+SUM(L612)</f>
        <v>197006.55</v>
      </c>
      <c r="G664" s="199">
        <f>SUM(G576:G588)+SUM(I603:I605)+L613</f>
        <v>249940.85</v>
      </c>
      <c r="H664" s="199">
        <f>SUM(H576:H588)+SUM(J603:J605)+L614</f>
        <v>409128.47000000003</v>
      </c>
      <c r="I664" s="19">
        <f>SUM(F664:H664)</f>
        <v>856075.87000000011</v>
      </c>
      <c r="J664" s="13"/>
      <c r="K664" s="13"/>
      <c r="L664" s="13"/>
      <c r="M664" s="9"/>
    </row>
    <row r="665" spans="1:13" s="3" customFormat="1" ht="12.2" customHeight="1" x14ac:dyDescent="0.15">
      <c r="A665" s="1" t="s">
        <v>130</v>
      </c>
      <c r="F665" s="19">
        <f>F661-SUM(F662:F664)</f>
        <v>5129943.8209442915</v>
      </c>
      <c r="G665" s="19">
        <f>G661-SUM(G662:G664)</f>
        <v>1864914.2377821244</v>
      </c>
      <c r="H665" s="19">
        <f>H661-SUM(H662:H664)</f>
        <v>3037626.6912735826</v>
      </c>
      <c r="I665" s="19">
        <f>I661-SUM(I662:I664)</f>
        <v>10032484.749999996</v>
      </c>
      <c r="J665" s="13"/>
      <c r="K665" s="13"/>
      <c r="L665" s="13"/>
      <c r="M665" s="8"/>
    </row>
    <row r="666" spans="1:13" s="3" customFormat="1" ht="12.2" customHeight="1" x14ac:dyDescent="0.25">
      <c r="A666" s="1" t="s">
        <v>131</v>
      </c>
      <c r="F666" s="359">
        <v>252.55</v>
      </c>
      <c r="G666" s="359">
        <v>139.66999999999999</v>
      </c>
      <c r="H666" s="359">
        <v>147.44</v>
      </c>
      <c r="I666" s="19">
        <f>SUM(F666:H666)</f>
        <v>539.66000000000008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20312.59</v>
      </c>
      <c r="G668" s="19">
        <f>ROUND(G665/G666,2)</f>
        <v>13352.29</v>
      </c>
      <c r="H668" s="19">
        <f>ROUND(H665/H666,2)</f>
        <v>20602.46</v>
      </c>
      <c r="I668" s="19">
        <f>ROUND(I665/I666,2)</f>
        <v>18590.38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-5.22</v>
      </c>
      <c r="I671" s="19">
        <f>SUM(F671:H671)</f>
        <v>-5.22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20312.59</v>
      </c>
      <c r="G673" s="19">
        <f>ROUND((G665+G670)/(G666+G671),2)</f>
        <v>13352.29</v>
      </c>
      <c r="H673" s="19">
        <f>ROUND((H665+H670)/(H666+H671),2)</f>
        <v>21358.65</v>
      </c>
      <c r="I673" s="19">
        <f>ROUND((I665+I670)/(I666+I671),2)</f>
        <v>18771.96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4" zoomScaleNormal="100" workbookViewId="0">
      <selection activeCell="E24" sqref="E2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231517.81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114800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225218.91</v>
      </c>
      <c r="F22" s="346"/>
    </row>
    <row r="23" spans="2:8" x14ac:dyDescent="0.25">
      <c r="B23" s="346"/>
      <c r="C23" s="346"/>
      <c r="D23" s="346"/>
      <c r="E23" s="346"/>
      <c r="F23" s="346"/>
    </row>
    <row r="24" spans="2:8" ht="26.25" customHeight="1" x14ac:dyDescent="0.25">
      <c r="B24" s="346"/>
      <c r="C24" s="348" t="s">
        <v>1661</v>
      </c>
      <c r="D24" s="346"/>
      <c r="E24" s="341">
        <v>62747.39</v>
      </c>
      <c r="F24" s="346"/>
    </row>
    <row r="25" spans="2:8" ht="18" x14ac:dyDescent="0.25">
      <c r="B25" s="346"/>
      <c r="C25" s="349"/>
      <c r="D25" s="346"/>
      <c r="E25" s="346"/>
      <c r="F25" s="346"/>
    </row>
    <row r="26" spans="2:8" ht="27.75" customHeight="1" x14ac:dyDescent="0.25">
      <c r="B26" s="346"/>
      <c r="C26" s="348" t="s">
        <v>1662</v>
      </c>
      <c r="D26" s="346"/>
      <c r="E26" s="341">
        <v>157361.78</v>
      </c>
      <c r="F26" s="346"/>
    </row>
    <row r="27" spans="2:8" x14ac:dyDescent="0.25">
      <c r="B27" s="346"/>
      <c r="C27" s="348"/>
      <c r="D27" s="346"/>
      <c r="E27" s="346"/>
      <c r="F27" s="346"/>
    </row>
    <row r="28" spans="2:8" ht="15.75" customHeight="1" x14ac:dyDescent="0.25">
      <c r="B28" s="346"/>
      <c r="C28" s="348" t="s">
        <v>1663</v>
      </c>
      <c r="D28" s="346"/>
      <c r="E28" s="342">
        <v>154311.78</v>
      </c>
      <c r="F28" s="346"/>
    </row>
    <row r="29" spans="2:8" x14ac:dyDescent="0.25">
      <c r="B29" s="346"/>
      <c r="C29" s="346"/>
      <c r="D29" s="346"/>
      <c r="E29" s="346"/>
      <c r="F29" s="346"/>
    </row>
    <row r="30" spans="2:8" ht="16.5" customHeight="1" x14ac:dyDescent="0.25">
      <c r="B30" s="346"/>
      <c r="C30" s="348" t="s">
        <v>1664</v>
      </c>
      <c r="D30" s="346"/>
      <c r="E30" s="341">
        <v>77774.59</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Pittsfield School District</v>
      </c>
      <c r="C5" s="363"/>
      <c r="D5" s="363"/>
      <c r="E5" s="363"/>
      <c r="F5" s="363"/>
    </row>
    <row r="8" spans="1:9" ht="18" x14ac:dyDescent="0.25">
      <c r="A8" s="317" t="s">
        <v>1576</v>
      </c>
      <c r="F8" s="324" t="s">
        <v>1594</v>
      </c>
    </row>
    <row r="9" spans="1:9" ht="15" x14ac:dyDescent="0.2">
      <c r="A9" s="315" t="s">
        <v>1577</v>
      </c>
      <c r="B9" s="318">
        <f>'DOE25'!G97</f>
        <v>4897.3500000000004</v>
      </c>
      <c r="F9" s="315" t="s">
        <v>1590</v>
      </c>
    </row>
    <row r="10" spans="1:9" ht="15" x14ac:dyDescent="0.2">
      <c r="A10" s="315" t="s">
        <v>1578</v>
      </c>
      <c r="B10" s="318">
        <f>'DOE25'!G112-'DOE25'!G97</f>
        <v>1.5900000000001455</v>
      </c>
      <c r="F10" s="315" t="s">
        <v>1591</v>
      </c>
    </row>
    <row r="11" spans="1:9" ht="15" x14ac:dyDescent="0.2">
      <c r="A11" s="315" t="s">
        <v>1579</v>
      </c>
      <c r="B11" s="318">
        <f>'DOE25'!G140</f>
        <v>5305.1</v>
      </c>
      <c r="F11" s="315" t="s">
        <v>1592</v>
      </c>
    </row>
    <row r="12" spans="1:9" ht="15" x14ac:dyDescent="0.2">
      <c r="A12" s="315" t="s">
        <v>1580</v>
      </c>
      <c r="B12" s="318">
        <f>'DOE25'!G170</f>
        <v>287779.96999999997</v>
      </c>
      <c r="F12" s="315" t="s">
        <v>1593</v>
      </c>
    </row>
    <row r="13" spans="1:9" ht="15" x14ac:dyDescent="0.2">
      <c r="A13" s="315" t="s">
        <v>1581</v>
      </c>
      <c r="B13" s="318">
        <f>'DOE25'!G193-'DOE25'!G180</f>
        <v>0</v>
      </c>
      <c r="F13" s="315" t="s">
        <v>1603</v>
      </c>
    </row>
    <row r="14" spans="1:9" ht="18" x14ac:dyDescent="0.25">
      <c r="A14" s="317" t="s">
        <v>732</v>
      </c>
      <c r="B14" s="319">
        <f>SUM(B9:B13)</f>
        <v>297984.00999999995</v>
      </c>
    </row>
    <row r="16" spans="1:9" ht="18" x14ac:dyDescent="0.25">
      <c r="A16" s="317" t="s">
        <v>786</v>
      </c>
      <c r="F16" s="324" t="s">
        <v>1595</v>
      </c>
    </row>
    <row r="17" spans="1:6" ht="15" x14ac:dyDescent="0.2">
      <c r="A17" s="315" t="s">
        <v>1582</v>
      </c>
      <c r="B17" s="318">
        <f>'DOE25'!L363-'DOE25'!L362</f>
        <v>286702.05</v>
      </c>
      <c r="F17" s="315" t="s">
        <v>1596</v>
      </c>
    </row>
    <row r="18" spans="1:6" ht="15" x14ac:dyDescent="0.2">
      <c r="A18" s="315" t="s">
        <v>1583</v>
      </c>
      <c r="B18" s="328"/>
      <c r="F18" s="324" t="s">
        <v>1620</v>
      </c>
    </row>
    <row r="19" spans="1:6" ht="18" x14ac:dyDescent="0.25">
      <c r="A19" s="317" t="s">
        <v>725</v>
      </c>
      <c r="B19" s="319">
        <f>SUM(B17:B18)</f>
        <v>286702.05</v>
      </c>
    </row>
    <row r="21" spans="1:6" ht="18.75" thickBot="1" x14ac:dyDescent="0.3">
      <c r="A21" s="317" t="s">
        <v>1584</v>
      </c>
    </row>
    <row r="22" spans="1:6" ht="18.75" thickTop="1" x14ac:dyDescent="0.25">
      <c r="A22" s="317" t="s">
        <v>1585</v>
      </c>
      <c r="B22" s="323">
        <f>B14-B19</f>
        <v>11281.959999999963</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20351.099999999999</v>
      </c>
      <c r="F31" s="315" t="s">
        <v>1600</v>
      </c>
    </row>
    <row r="33" spans="1:6" ht="15" x14ac:dyDescent="0.2">
      <c r="A33" s="315" t="s">
        <v>1629</v>
      </c>
      <c r="B33" s="318">
        <f>'DOE25'!G477</f>
        <v>31633.059999999939</v>
      </c>
      <c r="F33" s="315" t="s">
        <v>1601</v>
      </c>
    </row>
    <row r="36" spans="1:6" ht="15" x14ac:dyDescent="0.2">
      <c r="A36" s="315" t="s">
        <v>1587</v>
      </c>
      <c r="B36" s="329">
        <v>21054.79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Pittsfield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2179360.5099999998</v>
      </c>
      <c r="C9" s="229">
        <f>'DOE25'!G198+'DOE25'!G216+'DOE25'!G234+'DOE25'!G277+'DOE25'!G296+'DOE25'!G315</f>
        <v>1148249.4799999997</v>
      </c>
    </row>
    <row r="10" spans="1:3" x14ac:dyDescent="0.2">
      <c r="A10" t="s">
        <v>775</v>
      </c>
      <c r="B10" s="240">
        <v>2024179.37</v>
      </c>
      <c r="C10" s="240">
        <v>1125450.45</v>
      </c>
    </row>
    <row r="11" spans="1:3" x14ac:dyDescent="0.2">
      <c r="A11" t="s">
        <v>776</v>
      </c>
      <c r="B11" s="240">
        <v>107186.53</v>
      </c>
      <c r="C11" s="240">
        <v>16509.72</v>
      </c>
    </row>
    <row r="12" spans="1:3" x14ac:dyDescent="0.2">
      <c r="A12" t="s">
        <v>777</v>
      </c>
      <c r="B12" s="240">
        <v>47994.61</v>
      </c>
      <c r="C12" s="240">
        <v>6289.31</v>
      </c>
    </row>
    <row r="13" spans="1:3" x14ac:dyDescent="0.2">
      <c r="A13" t="str">
        <f>IF(B9=B13,IF(C9=C13,"Check Total OK","Check Total Error"),"Check Total Error")</f>
        <v>Check Total OK</v>
      </c>
      <c r="B13" s="231">
        <f>SUM(B10:B12)</f>
        <v>2179360.5099999998</v>
      </c>
      <c r="C13" s="231">
        <f>SUM(C10:C12)</f>
        <v>1148249.48</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1347647.7700000003</v>
      </c>
      <c r="C18" s="229">
        <f>'DOE25'!G199+'DOE25'!G217+'DOE25'!G235+'DOE25'!G278+'DOE25'!G297+'DOE25'!G316</f>
        <v>502080.44</v>
      </c>
    </row>
    <row r="19" spans="1:3" x14ac:dyDescent="0.2">
      <c r="A19" t="s">
        <v>775</v>
      </c>
      <c r="B19" s="240">
        <v>750982.58</v>
      </c>
      <c r="C19" s="240">
        <v>379408.9</v>
      </c>
    </row>
    <row r="20" spans="1:3" x14ac:dyDescent="0.2">
      <c r="A20" t="s">
        <v>776</v>
      </c>
      <c r="B20" s="240">
        <v>590946.43999999994</v>
      </c>
      <c r="C20" s="240">
        <v>121216.12</v>
      </c>
    </row>
    <row r="21" spans="1:3" x14ac:dyDescent="0.2">
      <c r="A21" t="s">
        <v>777</v>
      </c>
      <c r="B21" s="240">
        <v>5718.75</v>
      </c>
      <c r="C21" s="240">
        <v>1455.42</v>
      </c>
    </row>
    <row r="22" spans="1:3" x14ac:dyDescent="0.2">
      <c r="A22" t="str">
        <f>IF(B18=B22,IF(C18=C22,"Check Total OK","Check Total Error"),"Check Total Error")</f>
        <v>Check Total OK</v>
      </c>
      <c r="B22" s="231">
        <f>SUM(B19:B21)</f>
        <v>1347647.77</v>
      </c>
      <c r="C22" s="231">
        <f>SUM(C19:C21)</f>
        <v>502080.44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50312.5</v>
      </c>
      <c r="C36" s="235">
        <f>'DOE25'!G201+'DOE25'!G219+'DOE25'!G237+'DOE25'!G280+'DOE25'!G299+'DOE25'!G318</f>
        <v>6126.52</v>
      </c>
    </row>
    <row r="37" spans="1:3" x14ac:dyDescent="0.2">
      <c r="A37" t="s">
        <v>775</v>
      </c>
      <c r="B37" s="240">
        <v>8462.5</v>
      </c>
      <c r="C37" s="240">
        <v>2924.99</v>
      </c>
    </row>
    <row r="38" spans="1:3" x14ac:dyDescent="0.2">
      <c r="A38" t="s">
        <v>776</v>
      </c>
      <c r="B38" s="240">
        <v>500</v>
      </c>
      <c r="C38" s="240">
        <v>38.25</v>
      </c>
    </row>
    <row r="39" spans="1:3" x14ac:dyDescent="0.2">
      <c r="A39" t="s">
        <v>777</v>
      </c>
      <c r="B39" s="240">
        <v>41350</v>
      </c>
      <c r="C39" s="240">
        <v>3163.28</v>
      </c>
    </row>
    <row r="40" spans="1:3" x14ac:dyDescent="0.2">
      <c r="A40" t="str">
        <f>IF(B36=B40,IF(C36=C40,"Check Total OK","Check Total Error"),"Check Total Error")</f>
        <v>Check Total OK</v>
      </c>
      <c r="B40" s="231">
        <f>SUM(B37:B39)</f>
        <v>50312.5</v>
      </c>
      <c r="C40" s="231">
        <f>SUM(C37:C39)</f>
        <v>6126.52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A2" sqref="A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Pittsfield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5751402.9899999993</v>
      </c>
      <c r="D5" s="20">
        <f>SUM('DOE25'!L198:L201)+SUM('DOE25'!L216:L219)+SUM('DOE25'!L234:L237)-F5-G5-H5</f>
        <v>5727315.7399999993</v>
      </c>
      <c r="E5" s="243"/>
      <c r="F5" s="244"/>
      <c r="G5" s="53">
        <f>SUM('DOE25'!J198:J201)+SUM('DOE25'!J216:J219)+SUM('DOE25'!J234:J237)</f>
        <v>6519.27</v>
      </c>
      <c r="H5" s="53">
        <f>SUM('DOE25'!K198:K201)+SUM('DOE25'!K216:K219)+SUM('DOE25'!K234:K237)</f>
        <v>17567.98</v>
      </c>
      <c r="I5" s="254"/>
    </row>
    <row r="6" spans="1:9" x14ac:dyDescent="0.2">
      <c r="A6" s="32">
        <v>2100</v>
      </c>
      <c r="B6" t="s">
        <v>796</v>
      </c>
      <c r="C6" s="273">
        <f t="shared" si="0"/>
        <v>1164857.0999999999</v>
      </c>
      <c r="D6" s="20">
        <f>'DOE25'!L203+'DOE25'!L221+'DOE25'!L239-F6-G6-H6</f>
        <v>1164707.0999999999</v>
      </c>
      <c r="E6" s="243"/>
      <c r="F6" s="244"/>
      <c r="G6" s="53">
        <f>'DOE25'!J203+'DOE25'!J221+'DOE25'!J239</f>
        <v>0</v>
      </c>
      <c r="H6" s="53">
        <f>'DOE25'!K203+'DOE25'!K221+'DOE25'!K239</f>
        <v>150</v>
      </c>
      <c r="I6" s="254"/>
    </row>
    <row r="7" spans="1:9" x14ac:dyDescent="0.2">
      <c r="A7" s="32">
        <v>2200</v>
      </c>
      <c r="B7" t="s">
        <v>821</v>
      </c>
      <c r="C7" s="273">
        <f t="shared" si="0"/>
        <v>605452.21</v>
      </c>
      <c r="D7" s="20">
        <f>'DOE25'!L204+'DOE25'!L222+'DOE25'!L240-F7-G7-H7</f>
        <v>520609.17999999993</v>
      </c>
      <c r="E7" s="243"/>
      <c r="F7" s="244"/>
      <c r="G7" s="53">
        <f>'DOE25'!J204+'DOE25'!J222+'DOE25'!J240</f>
        <v>84843.03</v>
      </c>
      <c r="H7" s="53">
        <f>'DOE25'!K204+'DOE25'!K222+'DOE25'!K240</f>
        <v>0</v>
      </c>
      <c r="I7" s="254"/>
    </row>
    <row r="8" spans="1:9" x14ac:dyDescent="0.2">
      <c r="A8" s="32">
        <v>2300</v>
      </c>
      <c r="B8" t="s">
        <v>797</v>
      </c>
      <c r="C8" s="273">
        <f t="shared" si="0"/>
        <v>323024.13</v>
      </c>
      <c r="D8" s="243"/>
      <c r="E8" s="20">
        <f>'DOE25'!L205+'DOE25'!L223+'DOE25'!L241-F8-G8-H8-D9-D11</f>
        <v>318417.18</v>
      </c>
      <c r="F8" s="244"/>
      <c r="G8" s="53">
        <f>'DOE25'!J205+'DOE25'!J223+'DOE25'!J241</f>
        <v>0</v>
      </c>
      <c r="H8" s="53">
        <f>'DOE25'!K205+'DOE25'!K223+'DOE25'!K241</f>
        <v>4606.95</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909036.55</v>
      </c>
      <c r="D12" s="20">
        <f>'DOE25'!L206+'DOE25'!L224+'DOE25'!L242-F12-G12-H12</f>
        <v>908073.5</v>
      </c>
      <c r="E12" s="243"/>
      <c r="F12" s="244"/>
      <c r="G12" s="53">
        <f>'DOE25'!J206+'DOE25'!J224+'DOE25'!J242</f>
        <v>0</v>
      </c>
      <c r="H12" s="53">
        <f>'DOE25'!K206+'DOE25'!K224+'DOE25'!K242</f>
        <v>963.05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941416.8600000001</v>
      </c>
      <c r="D14" s="20">
        <f>'DOE25'!L208+'DOE25'!L226+'DOE25'!L244-F14-G14-H14</f>
        <v>917399.59000000008</v>
      </c>
      <c r="E14" s="243"/>
      <c r="F14" s="244"/>
      <c r="G14" s="53">
        <f>'DOE25'!J208+'DOE25'!J226+'DOE25'!J244</f>
        <v>24017.27</v>
      </c>
      <c r="H14" s="53">
        <f>'DOE25'!K208+'DOE25'!K226+'DOE25'!K244</f>
        <v>0</v>
      </c>
      <c r="I14" s="254"/>
    </row>
    <row r="15" spans="1:9" x14ac:dyDescent="0.2">
      <c r="A15" s="32">
        <v>2700</v>
      </c>
      <c r="B15" t="s">
        <v>799</v>
      </c>
      <c r="C15" s="273">
        <f t="shared" si="0"/>
        <v>548996.1</v>
      </c>
      <c r="D15" s="20">
        <f>'DOE25'!L209+'DOE25'!L227+'DOE25'!L245-F15-G15-H15</f>
        <v>548996.1</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275401</v>
      </c>
      <c r="D29" s="281">
        <f>'DOE25'!L359+'DOE25'!L360+'DOE25'!L361-'DOE25'!I368-F29-G29-H29</f>
        <v>275401</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933567.79</v>
      </c>
      <c r="D31" s="20">
        <f>'DOE25'!L291+'DOE25'!L310+'DOE25'!L329+'DOE25'!L334+'DOE25'!L335+'DOE25'!L336-F31-G31-H31</f>
        <v>779125.52</v>
      </c>
      <c r="E31" s="243"/>
      <c r="F31" s="244"/>
      <c r="G31" s="53">
        <f>'DOE25'!J291+'DOE25'!J310+'DOE25'!J329+'DOE25'!J334+'DOE25'!J335+'DOE25'!J336</f>
        <v>153939.26999999999</v>
      </c>
      <c r="H31" s="53">
        <f>'DOE25'!K291+'DOE25'!K310+'DOE25'!K329+'DOE25'!K334+'DOE25'!K335+'DOE25'!K336</f>
        <v>503</v>
      </c>
      <c r="I31" s="254"/>
    </row>
    <row r="32" spans="1:9" ht="12" thickBot="1" x14ac:dyDescent="0.25">
      <c r="C32" s="274"/>
      <c r="G32" s="249"/>
      <c r="H32" s="249"/>
      <c r="I32" s="256"/>
    </row>
    <row r="33" spans="1:9" ht="12" thickTop="1" x14ac:dyDescent="0.2">
      <c r="B33" t="s">
        <v>809</v>
      </c>
      <c r="D33" s="245">
        <f t="shared" ref="D33:I33" si="1">SUM(D5:D31)</f>
        <v>10841627.729999999</v>
      </c>
      <c r="E33" s="245">
        <f t="shared" si="1"/>
        <v>318417.18</v>
      </c>
      <c r="F33" s="245">
        <f t="shared" si="1"/>
        <v>0</v>
      </c>
      <c r="G33" s="245">
        <f t="shared" si="1"/>
        <v>269318.83999999997</v>
      </c>
      <c r="H33" s="245">
        <f t="shared" si="1"/>
        <v>23790.98</v>
      </c>
      <c r="I33" s="245">
        <f t="shared" si="1"/>
        <v>0</v>
      </c>
    </row>
    <row r="35" spans="1:9" ht="12" thickBot="1" x14ac:dyDescent="0.25">
      <c r="B35" s="249" t="s">
        <v>831</v>
      </c>
      <c r="D35" s="250">
        <f>E33</f>
        <v>318417.18</v>
      </c>
      <c r="E35" s="246"/>
      <c r="F35" s="333" t="s">
        <v>1632</v>
      </c>
      <c r="G35" s="334"/>
      <c r="H35" s="334"/>
      <c r="I35" s="334"/>
    </row>
    <row r="36" spans="1:9" ht="12" thickTop="1" x14ac:dyDescent="0.2">
      <c r="B36" t="s">
        <v>810</v>
      </c>
      <c r="D36" s="20">
        <f>D33</f>
        <v>10841627.729999999</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C1" sqref="C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Pittsfield School District</v>
      </c>
      <c r="B2" s="126">
        <f>'DOE25'!B2</f>
        <v>439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5393681.3700000001</v>
      </c>
      <c r="G4" s="300">
        <f>'DOE25'!L212+'DOE25'!L291</f>
        <v>5393681.3699999992</v>
      </c>
      <c r="H4" s="353">
        <f>F4-G4</f>
        <v>0</v>
      </c>
      <c r="I4" s="371" t="str">
        <f>IF(H4=0,"","ISSUES!! Please review page 7 and 11 totals in comparison with total on this page")</f>
        <v/>
      </c>
      <c r="N4"/>
    </row>
    <row r="5" spans="1:18" x14ac:dyDescent="0.2">
      <c r="A5" s="21" t="s">
        <v>1359</v>
      </c>
      <c r="B5" s="301">
        <f>IFERROR(VLOOKUP(A5,'School Tables'!$C$3:$D$365,2,FALSE),"")</f>
        <v>26595</v>
      </c>
      <c r="C5" s="294" t="str">
        <f>IFERROR(INDEX('School Tables'!$B$3:$B$365,MATCH('School Level Expenditures'!B5,'School Tables'!$D$3:$D$365,0)),"")</f>
        <v>Pittsfield</v>
      </c>
      <c r="D5" s="291">
        <v>4727334.41</v>
      </c>
      <c r="E5" s="291">
        <v>624510.81999999995</v>
      </c>
      <c r="F5" s="304">
        <f>D5+E5</f>
        <v>5351845.2300000004</v>
      </c>
      <c r="G5" s="294"/>
      <c r="H5" s="294"/>
      <c r="I5" s="372"/>
      <c r="N5"/>
    </row>
    <row r="6" spans="1:18" x14ac:dyDescent="0.2">
      <c r="A6" s="21" t="s">
        <v>1555</v>
      </c>
      <c r="B6" s="301">
        <f>IFERROR(VLOOKUP(A6,'School Tables'!$C$3:$D$365,2,FALSE),"")</f>
        <v>99999</v>
      </c>
      <c r="C6" s="294" t="str">
        <f>IFERROR(INDEX('School Tables'!$B$3:$B$365,MATCH('School Level Expenditures'!B6,'School Tables'!$D$3:$D$365,0)),"")</f>
        <v>Other District Expenditures</v>
      </c>
      <c r="D6" s="291">
        <v>41836.14</v>
      </c>
      <c r="E6" s="291"/>
      <c r="F6" s="304">
        <f t="shared" ref="F6:F20" si="0">D6+E6</f>
        <v>41836.14</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4769170.55</v>
      </c>
      <c r="E21" s="351">
        <f>SUM(E5:E20)</f>
        <v>624510.81999999995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2265399.27</v>
      </c>
      <c r="G24" s="300">
        <f>'DOE25'!L230+'DOE25'!L310</f>
        <v>2265399.27</v>
      </c>
      <c r="H24" s="353">
        <f>F24-G24</f>
        <v>0</v>
      </c>
      <c r="I24" s="371" t="str">
        <f>IF(H24=0,"","ISSUES!! Please review page 8 and 12 totals in comparison with total on this page")</f>
        <v/>
      </c>
      <c r="N24"/>
    </row>
    <row r="25" spans="1:14" x14ac:dyDescent="0.2">
      <c r="A25" s="21" t="s">
        <v>1360</v>
      </c>
      <c r="B25" s="301">
        <f>IFERROR(VLOOKUP(A25,'School Tables'!$I$3:$J$80,2,FALSE),"")</f>
        <v>26550</v>
      </c>
      <c r="C25" s="294" t="str">
        <f t="array" ref="C25">IFERROR(INDEX('School Tables'!$H$3:$H$80,MATCH('School Level Expenditures'!B25,'School Tables'!$J$3:$J$80,0)),"")</f>
        <v>Pittsfield</v>
      </c>
      <c r="D25" s="291">
        <v>1951006.49</v>
      </c>
      <c r="E25" s="291">
        <v>108391</v>
      </c>
      <c r="F25" s="304">
        <f>D25+E25</f>
        <v>2059397.49</v>
      </c>
      <c r="G25" s="294"/>
      <c r="H25" s="294"/>
      <c r="I25" s="372"/>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v>206001.78</v>
      </c>
      <c r="E26" s="291"/>
      <c r="F26" s="304">
        <f t="shared" ref="F26:F32" si="1">D26+E26</f>
        <v>206001.78</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2157008.27</v>
      </c>
      <c r="E33" s="351">
        <f>SUM(E25:E32)</f>
        <v>108391</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3518673.09</v>
      </c>
      <c r="G36" s="300">
        <f>'DOE25'!L248+'DOE25'!L329</f>
        <v>3518673.0899999994</v>
      </c>
      <c r="H36" s="353">
        <f>F36-G36</f>
        <v>0</v>
      </c>
      <c r="I36" s="371" t="str">
        <f>IF(H36=0,"","ISSUES!! Please review page 9 and 13 totals in comparison with total on this page")</f>
        <v/>
      </c>
      <c r="N36"/>
    </row>
    <row r="37" spans="1:14" x14ac:dyDescent="0.2">
      <c r="A37" s="21" t="s">
        <v>1361</v>
      </c>
      <c r="B37" s="301">
        <f>IFERROR(VLOOKUP(A37,'School Tables'!$O$3:$P$118,2,FALSE),"")</f>
        <v>22500</v>
      </c>
      <c r="C37" s="294" t="str">
        <f t="array" ref="C37">IFERROR(INDEX('School Tables'!$N$3:$N$118,MATCH('School Level Expenditures'!B37,'School Tables'!$P$3:$P$118,0)),"")</f>
        <v>Pittsfield</v>
      </c>
      <c r="D37" s="291">
        <v>2979088.01</v>
      </c>
      <c r="E37" s="291">
        <v>200665.97</v>
      </c>
      <c r="F37" s="304">
        <f t="shared" ref="F37:F42" si="2">D37+E37</f>
        <v>3179753.98</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v>338919.11</v>
      </c>
      <c r="E38" s="291"/>
      <c r="F38" s="304">
        <f t="shared" si="2"/>
        <v>338919.11</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3318007.1199999996</v>
      </c>
      <c r="E43" s="352">
        <f>SUM(E37:E42)</f>
        <v>200665.97</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8" sqref="A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
        <v>1674</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388966.81</v>
      </c>
      <c r="D8" s="95">
        <f>'DOE25'!G9</f>
        <v>19262.240000000002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229281.77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202321.04</v>
      </c>
      <c r="D11" s="95">
        <f>'DOE25'!G12</f>
        <v>8032.33</v>
      </c>
      <c r="E11" s="95">
        <f>'DOE25'!H12</f>
        <v>0</v>
      </c>
      <c r="F11" s="95">
        <f>'DOE25'!I12</f>
        <v>0</v>
      </c>
      <c r="G11" s="95">
        <f>'DOE25'!J12</f>
        <v>7593.31</v>
      </c>
      <c r="H11" s="124"/>
      <c r="I11" s="124"/>
    </row>
    <row r="12" spans="1:9" x14ac:dyDescent="0.2">
      <c r="A12" s="1" t="s">
        <v>143</v>
      </c>
      <c r="B12" s="6">
        <v>140</v>
      </c>
      <c r="C12" s="95">
        <f>'DOE25'!F13</f>
        <v>766989.85</v>
      </c>
      <c r="D12" s="95">
        <f>'DOE25'!G13</f>
        <v>59816.28</v>
      </c>
      <c r="E12" s="95">
        <f>'DOE25'!H13</f>
        <v>135166.14000000001</v>
      </c>
      <c r="F12" s="95">
        <f>'DOE25'!I13</f>
        <v>0</v>
      </c>
      <c r="G12" s="95">
        <f>'DOE25'!J13</f>
        <v>600893.34</v>
      </c>
      <c r="H12" s="124"/>
      <c r="I12" s="124"/>
    </row>
    <row r="13" spans="1:9" x14ac:dyDescent="0.2">
      <c r="A13" s="1" t="s">
        <v>144</v>
      </c>
      <c r="B13" s="6">
        <v>150</v>
      </c>
      <c r="C13" s="95">
        <f>'DOE25'!F14</f>
        <v>37533.39</v>
      </c>
      <c r="D13" s="95">
        <f>'DOE25'!G14</f>
        <v>19176.82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15997.15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1395811.0899999999</v>
      </c>
      <c r="D18" s="41">
        <f>SUM(D8:D17)</f>
        <v>122284.82</v>
      </c>
      <c r="E18" s="41">
        <f>SUM(E8:E17)</f>
        <v>135166.14000000001</v>
      </c>
      <c r="F18" s="41">
        <f>SUM(F8:F17)</f>
        <v>0</v>
      </c>
      <c r="G18" s="41">
        <f>SUM(G8:G17)</f>
        <v>837768.41999999993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7593.31</v>
      </c>
      <c r="D21" s="95">
        <f>'DOE25'!G22</f>
        <v>90651.76</v>
      </c>
      <c r="E21" s="95">
        <f>'DOE25'!H22</f>
        <v>119701.61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163526.28</v>
      </c>
      <c r="D23" s="95">
        <f>'DOE25'!G24</f>
        <v>0</v>
      </c>
      <c r="E23" s="95">
        <f>'DOE25'!H24</f>
        <v>610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584208.75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14854.53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755328.34</v>
      </c>
      <c r="D31" s="41">
        <f>SUM(D21:D30)</f>
        <v>90651.76</v>
      </c>
      <c r="E31" s="41">
        <f>SUM(E21:E30)</f>
        <v>135166.14000000001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15997.15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229281.77</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15635.91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608486.65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590482.75</v>
      </c>
      <c r="D49" s="24" t="s">
        <v>288</v>
      </c>
      <c r="E49" s="24" t="s">
        <v>288</v>
      </c>
      <c r="F49" s="24" t="s">
        <v>288</v>
      </c>
      <c r="G49" s="24" t="s">
        <v>288</v>
      </c>
      <c r="H49" s="124"/>
      <c r="I49" s="124"/>
    </row>
    <row r="50" spans="1:9" ht="12.75" thickTop="1" thickBot="1" x14ac:dyDescent="0.25">
      <c r="A50" s="38" t="s">
        <v>884</v>
      </c>
      <c r="B50" s="48"/>
      <c r="C50" s="41">
        <f>SUM(C34:C49)</f>
        <v>640482.75</v>
      </c>
      <c r="D50" s="41">
        <f>SUM(D34:D49)</f>
        <v>31633.059999999998</v>
      </c>
      <c r="E50" s="41">
        <f>SUM(E34:E49)</f>
        <v>0</v>
      </c>
      <c r="F50" s="41">
        <f>SUM(F34:F49)</f>
        <v>0</v>
      </c>
      <c r="G50" s="41">
        <f>SUM(G34:G49)</f>
        <v>837768.42</v>
      </c>
      <c r="H50" s="124"/>
      <c r="I50" s="124"/>
    </row>
    <row r="51" spans="1:9" ht="12" thickTop="1" x14ac:dyDescent="0.2">
      <c r="A51" s="38" t="s">
        <v>885</v>
      </c>
      <c r="B51" s="2"/>
      <c r="C51" s="41">
        <f>C50+C31</f>
        <v>1395811.0899999999</v>
      </c>
      <c r="D51" s="41">
        <f>D50+D31</f>
        <v>122284.81999999999</v>
      </c>
      <c r="E51" s="41">
        <f>E50+E31</f>
        <v>135166.14000000001</v>
      </c>
      <c r="F51" s="41">
        <f>F50+F31</f>
        <v>0</v>
      </c>
      <c r="G51" s="41">
        <f>G50+G31</f>
        <v>837768.42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4284048</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88.36</v>
      </c>
      <c r="D59" s="95">
        <f>'DOE25'!G96</f>
        <v>1.59</v>
      </c>
      <c r="E59" s="95">
        <f>'DOE25'!H96</f>
        <v>0</v>
      </c>
      <c r="F59" s="95">
        <f>'DOE25'!I96</f>
        <v>0</v>
      </c>
      <c r="G59" s="95">
        <f>'DOE25'!J96</f>
        <v>5471.24</v>
      </c>
      <c r="H59"/>
      <c r="I59"/>
    </row>
    <row r="60" spans="1:9" x14ac:dyDescent="0.2">
      <c r="A60" s="1" t="s">
        <v>170</v>
      </c>
      <c r="B60" s="118" t="s">
        <v>171</v>
      </c>
      <c r="C60" s="24" t="s">
        <v>288</v>
      </c>
      <c r="D60" s="95">
        <f>'DOE25'!G97</f>
        <v>4897.3500000000004</v>
      </c>
      <c r="E60" s="24" t="s">
        <v>288</v>
      </c>
      <c r="F60" s="24" t="s">
        <v>288</v>
      </c>
      <c r="G60" s="24" t="s">
        <v>288</v>
      </c>
      <c r="H60"/>
      <c r="I60"/>
    </row>
    <row r="61" spans="1:9" ht="12" thickBot="1" x14ac:dyDescent="0.25">
      <c r="A61" s="1" t="s">
        <v>172</v>
      </c>
      <c r="B61" s="118" t="s">
        <v>173</v>
      </c>
      <c r="C61" s="95">
        <f>SUM('DOE25'!F98:F110)</f>
        <v>71781.64</v>
      </c>
      <c r="D61" s="95">
        <f>SUM('DOE25'!G98:G110)</f>
        <v>0</v>
      </c>
      <c r="E61" s="95">
        <f>SUM('DOE25'!H98:H110)</f>
        <v>64905.38</v>
      </c>
      <c r="F61" s="95">
        <f>SUM('DOE25'!I98:I110)</f>
        <v>0</v>
      </c>
      <c r="G61" s="95">
        <f>SUM('DOE25'!J98:J110)</f>
        <v>53852.54</v>
      </c>
      <c r="H61"/>
      <c r="I61"/>
    </row>
    <row r="62" spans="1:9" ht="12.75" thickTop="1" thickBot="1" x14ac:dyDescent="0.25">
      <c r="A62" s="29" t="s">
        <v>174</v>
      </c>
      <c r="B62" s="6"/>
      <c r="C62" s="130">
        <f>SUM(C57:C61)</f>
        <v>71870</v>
      </c>
      <c r="D62" s="130">
        <f>SUM(D57:D61)</f>
        <v>4898.9400000000005</v>
      </c>
      <c r="E62" s="130">
        <f>SUM(E57:E61)</f>
        <v>64905.38</v>
      </c>
      <c r="F62" s="130">
        <f>SUM(F57:F61)</f>
        <v>0</v>
      </c>
      <c r="G62" s="130">
        <f>SUM(G57:G61)</f>
        <v>59323.78</v>
      </c>
      <c r="H62"/>
      <c r="I62"/>
    </row>
    <row r="63" spans="1:9" ht="12" thickTop="1" x14ac:dyDescent="0.2">
      <c r="A63" s="29" t="s">
        <v>175</v>
      </c>
      <c r="B63" s="6"/>
      <c r="C63" s="22">
        <f>C56+C62</f>
        <v>4355918</v>
      </c>
      <c r="D63" s="22">
        <f>D56+D62</f>
        <v>4898.9400000000005</v>
      </c>
      <c r="E63" s="22">
        <f>E56+E62</f>
        <v>64905.38</v>
      </c>
      <c r="F63" s="22">
        <f>F56+F62</f>
        <v>0</v>
      </c>
      <c r="G63" s="22">
        <f>G56+G62</f>
        <v>59323.78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5301769.6900000004</v>
      </c>
      <c r="D66" s="24" t="s">
        <v>288</v>
      </c>
      <c r="E66" s="24" t="s">
        <v>288</v>
      </c>
      <c r="F66" s="24" t="s">
        <v>288</v>
      </c>
      <c r="G66" s="24" t="s">
        <v>288</v>
      </c>
      <c r="H66"/>
      <c r="I66"/>
    </row>
    <row r="67" spans="1:9" x14ac:dyDescent="0.2">
      <c r="A67" s="1" t="s">
        <v>770</v>
      </c>
      <c r="B67" s="6">
        <v>3112</v>
      </c>
      <c r="C67" s="95">
        <f>'DOE25'!F118</f>
        <v>538061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3990.42</v>
      </c>
      <c r="D69" s="95">
        <f>'DOE25'!G120</f>
        <v>0</v>
      </c>
      <c r="E69" s="95">
        <f>'DOE25'!H120</f>
        <v>0</v>
      </c>
      <c r="F69" s="95">
        <f>'DOE25'!I120</f>
        <v>0</v>
      </c>
      <c r="G69" s="95">
        <f>'DOE25'!J120</f>
        <v>0</v>
      </c>
      <c r="H69"/>
      <c r="I69"/>
    </row>
    <row r="70" spans="1:9" ht="12" thickTop="1" x14ac:dyDescent="0.2">
      <c r="A70" s="29" t="s">
        <v>252</v>
      </c>
      <c r="B70" s="2"/>
      <c r="C70" s="139">
        <f>SUM(C66:C69)</f>
        <v>5843821.1100000003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89923.23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129993.56</v>
      </c>
      <c r="D75" s="24" t="s">
        <v>288</v>
      </c>
      <c r="E75" s="24" t="s">
        <v>288</v>
      </c>
      <c r="F75" s="24" t="s">
        <v>288</v>
      </c>
      <c r="G75" s="24" t="s">
        <v>288</v>
      </c>
      <c r="H75"/>
      <c r="I75"/>
    </row>
    <row r="76" spans="1:9" x14ac:dyDescent="0.2">
      <c r="A76" s="1" t="s">
        <v>257</v>
      </c>
      <c r="B76" s="6" t="s">
        <v>179</v>
      </c>
      <c r="C76" s="95">
        <f>SUM('DOE25'!F127:F130)</f>
        <v>3784.32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5305.1</v>
      </c>
      <c r="E77" s="95">
        <f>SUM('DOE25'!H131:H135)</f>
        <v>0</v>
      </c>
      <c r="F77" s="95">
        <f>SUM('DOE25'!I131:I135)</f>
        <v>0</v>
      </c>
      <c r="G77" s="95">
        <f>SUM('DOE25'!J131:J135)</f>
        <v>0</v>
      </c>
      <c r="H77"/>
      <c r="I77"/>
    </row>
    <row r="78" spans="1:9" ht="12.75" thickTop="1" thickBot="1" x14ac:dyDescent="0.25">
      <c r="A78" s="29" t="s">
        <v>259</v>
      </c>
      <c r="B78" s="6"/>
      <c r="C78" s="130">
        <f>SUM(C72:C77)</f>
        <v>223701.11</v>
      </c>
      <c r="D78" s="130">
        <f>SUM(D72:D77)</f>
        <v>5305.1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6067522.2200000007</v>
      </c>
      <c r="D81" s="130">
        <f>SUM(D79:D80)+D78+D70</f>
        <v>5305.1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92108.79</v>
      </c>
      <c r="D88" s="331">
        <f>SUM('DOE25'!G153:G162)</f>
        <v>287779.96999999997</v>
      </c>
      <c r="E88" s="331">
        <f>SUM('DOE25'!H153:H162)</f>
        <v>835202.51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92108.79</v>
      </c>
      <c r="D91" s="131">
        <f>SUM(D85:D90)</f>
        <v>287779.96999999997</v>
      </c>
      <c r="E91" s="131">
        <f>SUM(E85:E90)</f>
        <v>835202.51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153000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153000</v>
      </c>
    </row>
    <row r="104" spans="1:7" ht="12.75" thickTop="1" thickBot="1" x14ac:dyDescent="0.25">
      <c r="A104" s="33" t="s">
        <v>761</v>
      </c>
      <c r="C104" s="86">
        <f>C63+C81+C91+C103</f>
        <v>10515549.01</v>
      </c>
      <c r="D104" s="86">
        <f>D63+D81+D91+D103</f>
        <v>297984.00999999995</v>
      </c>
      <c r="E104" s="86">
        <f>E63+E81+E91+E103</f>
        <v>900107.89</v>
      </c>
      <c r="F104" s="86">
        <f>F63+F81+F91+F103</f>
        <v>0</v>
      </c>
      <c r="G104" s="86">
        <f>G63+G81+G103</f>
        <v>212323.78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3289546.6399999997</v>
      </c>
      <c r="D109" s="24" t="s">
        <v>288</v>
      </c>
      <c r="E109" s="95">
        <f>('DOE25'!L277)+('DOE25'!L296)+('DOE25'!L315)</f>
        <v>248487.79</v>
      </c>
      <c r="F109" s="24" t="s">
        <v>288</v>
      </c>
      <c r="G109" s="24" t="s">
        <v>288</v>
      </c>
    </row>
    <row r="110" spans="1:7" x14ac:dyDescent="0.2">
      <c r="A110" t="s">
        <v>198</v>
      </c>
      <c r="B110" s="32" t="s">
        <v>199</v>
      </c>
      <c r="C110" s="95">
        <f>('DOE25'!L199)+('DOE25'!L217)+('DOE25'!L235)</f>
        <v>2336440.4700000002</v>
      </c>
      <c r="D110" s="24" t="s">
        <v>288</v>
      </c>
      <c r="E110" s="95">
        <f>('DOE25'!L278)+('DOE25'!L297)+('DOE25'!L316)</f>
        <v>70672.84</v>
      </c>
      <c r="F110" s="24" t="s">
        <v>288</v>
      </c>
      <c r="G110" s="24" t="s">
        <v>288</v>
      </c>
    </row>
    <row r="111" spans="1:7" x14ac:dyDescent="0.2">
      <c r="A111" t="s">
        <v>200</v>
      </c>
      <c r="B111" s="32" t="s">
        <v>165</v>
      </c>
      <c r="C111" s="95">
        <f>('DOE25'!L200)+('DOE25'!L218)+('DOE25'!L236)</f>
        <v>33649.32</v>
      </c>
      <c r="D111" s="24" t="s">
        <v>288</v>
      </c>
      <c r="E111" s="95">
        <f>('DOE25'!L279)+('DOE25'!L298)+('DOE25'!L317)</f>
        <v>0</v>
      </c>
      <c r="F111" s="24" t="s">
        <v>288</v>
      </c>
      <c r="G111" s="24" t="s">
        <v>288</v>
      </c>
    </row>
    <row r="112" spans="1:7" x14ac:dyDescent="0.2">
      <c r="A112" t="s">
        <v>201</v>
      </c>
      <c r="B112" s="32" t="s">
        <v>167</v>
      </c>
      <c r="C112" s="95">
        <f>('DOE25'!L201)+('DOE25'!L219)+('DOE25'!L237)</f>
        <v>91766.560000000012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5751402.9899999993</v>
      </c>
      <c r="D115" s="86">
        <f>SUM(D109:D114)</f>
        <v>0</v>
      </c>
      <c r="E115" s="86">
        <f>SUM(E109:E114)</f>
        <v>319160.63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1164857.0999999999</v>
      </c>
      <c r="D118" s="24" t="s">
        <v>288</v>
      </c>
      <c r="E118" s="95">
        <f>+('DOE25'!L282)+('DOE25'!L301)+('DOE25'!L320)</f>
        <v>156414.29999999999</v>
      </c>
      <c r="F118" s="24" t="s">
        <v>288</v>
      </c>
      <c r="G118" s="24" t="s">
        <v>288</v>
      </c>
    </row>
    <row r="119" spans="1:7" x14ac:dyDescent="0.2">
      <c r="A119" t="s">
        <v>208</v>
      </c>
      <c r="B119" s="32" t="s">
        <v>209</v>
      </c>
      <c r="C119" s="95">
        <f>('DOE25'!L204)+('DOE25'!L222)+('DOE25'!L240)</f>
        <v>605452.21</v>
      </c>
      <c r="D119" s="24" t="s">
        <v>288</v>
      </c>
      <c r="E119" s="95">
        <f>+('DOE25'!L283)+('DOE25'!L302)+('DOE25'!L321)</f>
        <v>271314.14</v>
      </c>
      <c r="F119" s="24" t="s">
        <v>288</v>
      </c>
      <c r="G119" s="24" t="s">
        <v>288</v>
      </c>
    </row>
    <row r="120" spans="1:7" x14ac:dyDescent="0.2">
      <c r="A120" t="s">
        <v>210</v>
      </c>
      <c r="B120" s="32" t="s">
        <v>211</v>
      </c>
      <c r="C120" s="95">
        <f>('DOE25'!L205)+('DOE25'!L223)+('DOE25'!L241)</f>
        <v>323024.13</v>
      </c>
      <c r="D120" s="24" t="s">
        <v>288</v>
      </c>
      <c r="E120" s="95">
        <f>+('DOE25'!L284)+('DOE25'!L303)+('DOE25'!L322)</f>
        <v>0</v>
      </c>
      <c r="F120" s="24" t="s">
        <v>288</v>
      </c>
      <c r="G120" s="24" t="s">
        <v>288</v>
      </c>
    </row>
    <row r="121" spans="1:7" x14ac:dyDescent="0.2">
      <c r="A121" t="s">
        <v>212</v>
      </c>
      <c r="B121" s="32" t="s">
        <v>213</v>
      </c>
      <c r="C121" s="95">
        <f>('DOE25'!L206)+('DOE25'!L224)+('DOE25'!L242)</f>
        <v>909036.55</v>
      </c>
      <c r="D121" s="24" t="s">
        <v>288</v>
      </c>
      <c r="E121" s="95">
        <f>+('DOE25'!L285)+('DOE25'!L304)+('DOE25'!L323)</f>
        <v>51579.12</v>
      </c>
      <c r="F121" s="24" t="s">
        <v>288</v>
      </c>
      <c r="G121" s="24" t="s">
        <v>288</v>
      </c>
    </row>
    <row r="122" spans="1:7" x14ac:dyDescent="0.2">
      <c r="A122" t="s">
        <v>214</v>
      </c>
      <c r="B122" s="32" t="s">
        <v>215</v>
      </c>
      <c r="C122" s="95">
        <f>('DOE25'!L207)+('DOE25'!L225)+('DOE25'!L243)</f>
        <v>0</v>
      </c>
      <c r="D122" s="24" t="s">
        <v>288</v>
      </c>
      <c r="E122" s="95">
        <f>+('DOE25'!L286)+('DOE25'!L305)+('DOE25'!L324)</f>
        <v>1540</v>
      </c>
      <c r="F122" s="24" t="s">
        <v>288</v>
      </c>
      <c r="G122" s="24" t="s">
        <v>288</v>
      </c>
    </row>
    <row r="123" spans="1:7" x14ac:dyDescent="0.2">
      <c r="A123" t="s">
        <v>216</v>
      </c>
      <c r="B123" s="32" t="s">
        <v>217</v>
      </c>
      <c r="C123" s="95">
        <f>('DOE25'!L208)+('DOE25'!L226)+('DOE25'!L244)</f>
        <v>941416.8600000001</v>
      </c>
      <c r="D123" s="24" t="s">
        <v>288</v>
      </c>
      <c r="E123" s="95">
        <f>+('DOE25'!L287)+('DOE25'!L306)+('DOE25'!L325)</f>
        <v>111557.89</v>
      </c>
      <c r="F123" s="24" t="s">
        <v>288</v>
      </c>
      <c r="G123" s="24" t="s">
        <v>288</v>
      </c>
    </row>
    <row r="124" spans="1:7" x14ac:dyDescent="0.2">
      <c r="A124" t="s">
        <v>218</v>
      </c>
      <c r="B124" s="32" t="s">
        <v>219</v>
      </c>
      <c r="C124" s="95">
        <f>('DOE25'!L209)+('DOE25'!L227)+('DOE25'!L245+'DOE25'!L255)</f>
        <v>548996.1</v>
      </c>
      <c r="D124" s="24" t="s">
        <v>288</v>
      </c>
      <c r="E124" s="95">
        <f>+('DOE25'!L288)+('DOE25'!L307)+('DOE25'!L326)</f>
        <v>22001.71</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286702.05</v>
      </c>
      <c r="E127" s="24" t="s">
        <v>288</v>
      </c>
      <c r="F127" s="24" t="s">
        <v>288</v>
      </c>
      <c r="G127" s="24" t="s">
        <v>288</v>
      </c>
    </row>
    <row r="128" spans="1:7" ht="12.75" thickTop="1" thickBot="1" x14ac:dyDescent="0.25">
      <c r="A128" s="33" t="s">
        <v>226</v>
      </c>
      <c r="C128" s="86">
        <f>SUM(C118:C127)</f>
        <v>4492782.95</v>
      </c>
      <c r="D128" s="86">
        <f>SUM(D118:D127)</f>
        <v>286702.05</v>
      </c>
      <c r="E128" s="86">
        <f>SUM(E118:E127)</f>
        <v>614407.15999999992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25.25</v>
      </c>
      <c r="D138" s="24" t="s">
        <v>288</v>
      </c>
      <c r="E138" s="24" t="s">
        <v>288</v>
      </c>
      <c r="F138" s="24" t="s">
        <v>288</v>
      </c>
      <c r="G138" s="24" t="s">
        <v>288</v>
      </c>
    </row>
    <row r="139" spans="1:7" x14ac:dyDescent="0.2">
      <c r="A139" t="s">
        <v>239</v>
      </c>
      <c r="B139" s="32">
        <v>5252</v>
      </c>
      <c r="C139" s="95">
        <f>'DOE25'!L402</f>
        <v>161920.33000000002</v>
      </c>
      <c r="D139" s="24" t="s">
        <v>288</v>
      </c>
      <c r="E139" s="24" t="s">
        <v>288</v>
      </c>
      <c r="F139" s="24" t="s">
        <v>288</v>
      </c>
      <c r="G139" s="24" t="s">
        <v>288</v>
      </c>
    </row>
    <row r="140" spans="1:7" x14ac:dyDescent="0.2">
      <c r="A140" t="s">
        <v>240</v>
      </c>
      <c r="B140" s="32">
        <v>5253</v>
      </c>
      <c r="C140" s="95">
        <f>'DOE25'!L408</f>
        <v>50378.2</v>
      </c>
      <c r="D140" s="24" t="s">
        <v>288</v>
      </c>
      <c r="E140" s="24" t="s">
        <v>288</v>
      </c>
      <c r="F140" s="24" t="s">
        <v>288</v>
      </c>
      <c r="G140" s="24" t="s">
        <v>288</v>
      </c>
    </row>
    <row r="141" spans="1:7" x14ac:dyDescent="0.2">
      <c r="A141" t="s">
        <v>762</v>
      </c>
      <c r="B141" s="32">
        <v>5254</v>
      </c>
      <c r="C141" s="95">
        <f>('DOE25'!L267+'DOE25'!K348) - (C138+C139+C140)</f>
        <v>-59323.780000000028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153000</v>
      </c>
      <c r="D144" s="141">
        <f>SUM(D130:D143)</f>
        <v>0</v>
      </c>
      <c r="E144" s="141">
        <f>SUM(E130:E143)</f>
        <v>0</v>
      </c>
      <c r="F144" s="141">
        <f>SUM(F130:F143)</f>
        <v>0</v>
      </c>
      <c r="G144" s="141">
        <f>SUM(G130:G143)</f>
        <v>0</v>
      </c>
    </row>
    <row r="145" spans="1:9" ht="12.75" thickTop="1" thickBot="1" x14ac:dyDescent="0.25">
      <c r="A145" s="33" t="s">
        <v>244</v>
      </c>
      <c r="C145" s="86">
        <f>(C115+C128+C144)</f>
        <v>10397185.939999999</v>
      </c>
      <c r="D145" s="86">
        <f>(D115+D128+D144)</f>
        <v>286702.05</v>
      </c>
      <c r="E145" s="86">
        <f>(E115+E128+E144)</f>
        <v>933567.78999999992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Pittsfield School District</v>
      </c>
    </row>
    <row r="3" spans="1:4" x14ac:dyDescent="0.2">
      <c r="B3" s="188" t="s">
        <v>1666</v>
      </c>
    </row>
    <row r="4" spans="1:4" x14ac:dyDescent="0.2">
      <c r="B4" t="s">
        <v>61</v>
      </c>
      <c r="C4" s="179">
        <f>IF('DOE25'!F666+'DOE25'!F671=0,0,ROUND('DOE25'!F673,0))</f>
        <v>20313</v>
      </c>
    </row>
    <row r="5" spans="1:4" x14ac:dyDescent="0.2">
      <c r="B5" t="s">
        <v>700</v>
      </c>
      <c r="C5" s="179">
        <f>IF('DOE25'!G666+'DOE25'!G671=0,0,ROUND('DOE25'!G673,0))</f>
        <v>13352</v>
      </c>
    </row>
    <row r="6" spans="1:4" x14ac:dyDescent="0.2">
      <c r="B6" t="s">
        <v>62</v>
      </c>
      <c r="C6" s="179">
        <f>IF('DOE25'!H666+'DOE25'!H671=0,0,ROUND('DOE25'!H673,0))</f>
        <v>21359</v>
      </c>
    </row>
    <row r="7" spans="1:4" x14ac:dyDescent="0.2">
      <c r="B7" t="s">
        <v>701</v>
      </c>
      <c r="C7" s="179">
        <f>IF('DOE25'!I666+'DOE25'!I671=0,0,ROUND('DOE25'!I673,0))</f>
        <v>18772</v>
      </c>
    </row>
    <row r="9" spans="1:4" x14ac:dyDescent="0.2">
      <c r="A9" s="187" t="s">
        <v>94</v>
      </c>
      <c r="B9" s="188" t="s">
        <v>1671</v>
      </c>
      <c r="C9" s="181" t="s">
        <v>720</v>
      </c>
      <c r="D9" s="181" t="s">
        <v>721</v>
      </c>
    </row>
    <row r="10" spans="1:4" x14ac:dyDescent="0.2">
      <c r="A10">
        <v>1100</v>
      </c>
      <c r="B10" t="s">
        <v>702</v>
      </c>
      <c r="C10" s="179">
        <f>ROUND('DOE25'!L198+'DOE25'!L216+'DOE25'!L234+'DOE25'!L277+'DOE25'!L296+'DOE25'!L315,0)</f>
        <v>3538034</v>
      </c>
      <c r="D10" s="182">
        <f>ROUND((C10/$C$28)*100,1)</f>
        <v>30.9</v>
      </c>
    </row>
    <row r="11" spans="1:4" x14ac:dyDescent="0.2">
      <c r="A11">
        <v>1200</v>
      </c>
      <c r="B11" t="s">
        <v>703</v>
      </c>
      <c r="C11" s="179">
        <f>ROUND('DOE25'!L199+'DOE25'!L217+'DOE25'!L235+'DOE25'!L278+'DOE25'!L297+'DOE25'!L316,0)</f>
        <v>2407113</v>
      </c>
      <c r="D11" s="182">
        <f>ROUND((C11/$C$28)*100,1)</f>
        <v>21</v>
      </c>
    </row>
    <row r="12" spans="1:4" x14ac:dyDescent="0.2">
      <c r="A12">
        <v>1300</v>
      </c>
      <c r="B12" t="s">
        <v>704</v>
      </c>
      <c r="C12" s="179">
        <f>ROUND('DOE25'!L200+'DOE25'!L218+'DOE25'!L236+'DOE25'!L279+'DOE25'!L298+'DOE25'!L317,0)</f>
        <v>33649</v>
      </c>
      <c r="D12" s="182">
        <f>ROUND((C12/$C$28)*100,1)</f>
        <v>0.3</v>
      </c>
    </row>
    <row r="13" spans="1:4" x14ac:dyDescent="0.2">
      <c r="A13">
        <v>1400</v>
      </c>
      <c r="B13" t="s">
        <v>705</v>
      </c>
      <c r="C13" s="179">
        <f>ROUND('DOE25'!L201+'DOE25'!L219+'DOE25'!L237+'DOE25'!L280+'DOE25'!L299+'DOE25'!L318,0)</f>
        <v>91767</v>
      </c>
      <c r="D13" s="182">
        <f>ROUND((C13/$C$28)*100,1)</f>
        <v>0.8</v>
      </c>
    </row>
    <row r="14" spans="1:4" x14ac:dyDescent="0.2">
      <c r="D14" s="182"/>
    </row>
    <row r="15" spans="1:4" x14ac:dyDescent="0.2">
      <c r="A15">
        <v>2100</v>
      </c>
      <c r="B15" t="s">
        <v>706</v>
      </c>
      <c r="C15" s="179">
        <f>ROUND('DOE25'!L203+'DOE25'!L221+'DOE25'!L239+'DOE25'!L282+'DOE25'!L301+'DOE25'!L320,0)</f>
        <v>1321271</v>
      </c>
      <c r="D15" s="182">
        <f t="shared" ref="D15:D27" si="0">ROUND((C15/$C$28)*100,1)</f>
        <v>11.5</v>
      </c>
    </row>
    <row r="16" spans="1:4" x14ac:dyDescent="0.2">
      <c r="A16">
        <v>2200</v>
      </c>
      <c r="B16" t="s">
        <v>707</v>
      </c>
      <c r="C16" s="179">
        <f>ROUND('DOE25'!L204+'DOE25'!L222+'DOE25'!L240+'DOE25'!L283+'DOE25'!L302+'DOE25'!L321,0)</f>
        <v>876766</v>
      </c>
      <c r="D16" s="182">
        <f t="shared" si="0"/>
        <v>7.7</v>
      </c>
    </row>
    <row r="17" spans="1:4" x14ac:dyDescent="0.2">
      <c r="A17" s="183" t="s">
        <v>723</v>
      </c>
      <c r="B17" t="s">
        <v>738</v>
      </c>
      <c r="C17" s="179">
        <f>ROUND('DOE25'!L205+'DOE25'!L210+'DOE25'!L223+'DOE25'!L228+'DOE25'!L241+'DOE25'!L246+'DOE25'!L284+'DOE25'!L289+'DOE25'!L303+'DOE25'!L308+'DOE25'!L322+'DOE25'!L327,0)</f>
        <v>323024</v>
      </c>
      <c r="D17" s="182">
        <f t="shared" si="0"/>
        <v>2.8</v>
      </c>
    </row>
    <row r="18" spans="1:4" x14ac:dyDescent="0.2">
      <c r="A18">
        <v>2400</v>
      </c>
      <c r="B18" t="s">
        <v>711</v>
      </c>
      <c r="C18" s="179">
        <f>ROUND('DOE25'!L206+'DOE25'!L224+'DOE25'!L242+'DOE25'!L285+'DOE25'!L304+'DOE25'!L323,0)</f>
        <v>960616</v>
      </c>
      <c r="D18" s="182">
        <f t="shared" si="0"/>
        <v>8.4</v>
      </c>
    </row>
    <row r="19" spans="1:4" x14ac:dyDescent="0.2">
      <c r="A19">
        <v>2500</v>
      </c>
      <c r="B19" t="s">
        <v>708</v>
      </c>
      <c r="C19" s="179">
        <f>ROUND('DOE25'!L207+'DOE25'!L225+'DOE25'!L243+'DOE25'!L286+'DOE25'!L305+'DOE25'!L324,0)</f>
        <v>1540</v>
      </c>
      <c r="D19" s="182">
        <f t="shared" si="0"/>
        <v>0</v>
      </c>
    </row>
    <row r="20" spans="1:4" x14ac:dyDescent="0.2">
      <c r="A20">
        <v>2600</v>
      </c>
      <c r="B20" t="s">
        <v>709</v>
      </c>
      <c r="C20" s="179">
        <f>ROUND('DOE25'!L208+'DOE25'!L226+'DOE25'!L244+'DOE25'!L287+'DOE25'!L306+'DOE25'!L325,0)</f>
        <v>1052975</v>
      </c>
      <c r="D20" s="182">
        <f t="shared" si="0"/>
        <v>9.1999999999999993</v>
      </c>
    </row>
    <row r="21" spans="1:4" x14ac:dyDescent="0.2">
      <c r="A21">
        <v>2700</v>
      </c>
      <c r="B21" t="s">
        <v>710</v>
      </c>
      <c r="C21" s="179">
        <f>ROUND('DOE25'!L209+'DOE25'!L227+'DOE25'!L245+'DOE25'!L288+'DOE25'!L307+'DOE25'!L326,0)</f>
        <v>570998</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281804.65000000002</v>
      </c>
      <c r="D27" s="182">
        <f t="shared" si="0"/>
        <v>2.5</v>
      </c>
    </row>
    <row r="28" spans="1:4" x14ac:dyDescent="0.2">
      <c r="B28" s="187" t="s">
        <v>719</v>
      </c>
      <c r="C28" s="180">
        <f>SUM(C10:C27)</f>
        <v>11459557.65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11459557.65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4284048</v>
      </c>
      <c r="D35" s="182">
        <f t="shared" ref="D35:D40" si="1">ROUND((C35/$C$41)*100,1)</f>
        <v>36.4</v>
      </c>
    </row>
    <row r="36" spans="1:4" x14ac:dyDescent="0.2">
      <c r="B36" s="185" t="s">
        <v>739</v>
      </c>
      <c r="C36" s="179">
        <f>SUM('DOE25'!F112:J112)-SUM('DOE25'!G97:G110)+('DOE25'!F175+'DOE25'!F176+'DOE25'!I175+'DOE25'!I176)-C35</f>
        <v>196100.75000000093</v>
      </c>
      <c r="D36" s="182">
        <f t="shared" si="1"/>
        <v>1.7</v>
      </c>
    </row>
    <row r="37" spans="1:4" x14ac:dyDescent="0.2">
      <c r="A37" s="183" t="s">
        <v>835</v>
      </c>
      <c r="B37" s="185" t="s">
        <v>728</v>
      </c>
      <c r="C37" s="179">
        <f>ROUND('DOE25'!F117+'DOE25'!F118,0)</f>
        <v>5839831</v>
      </c>
      <c r="D37" s="182">
        <f t="shared" si="1"/>
        <v>49.6</v>
      </c>
    </row>
    <row r="38" spans="1:4" x14ac:dyDescent="0.2">
      <c r="A38" s="183" t="s">
        <v>734</v>
      </c>
      <c r="B38" s="185" t="s">
        <v>729</v>
      </c>
      <c r="C38" s="179">
        <f>ROUND(SUM('DOE25'!F140:J140)-SUM('DOE25'!F117:F119),0)</f>
        <v>232997</v>
      </c>
      <c r="D38" s="182">
        <f t="shared" si="1"/>
        <v>2</v>
      </c>
    </row>
    <row r="39" spans="1:4" x14ac:dyDescent="0.2">
      <c r="A39">
        <v>4000</v>
      </c>
      <c r="B39" s="185" t="s">
        <v>730</v>
      </c>
      <c r="C39" s="179">
        <f>ROUND('DOE25'!F170+'DOE25'!G170+'DOE25'!H170+'DOE25'!I170,0)</f>
        <v>1215091</v>
      </c>
      <c r="D39" s="182">
        <f t="shared" si="1"/>
        <v>10.3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11768067.75</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Pittsfield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2021-12-14T19:29:17Z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