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1570" windowHeight="798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4" i="13" l="1"/>
  <c r="F15" i="13"/>
  <c r="D11" i="13"/>
  <c r="H583" i="1"/>
  <c r="G614" i="1"/>
  <c r="F614" i="1"/>
  <c r="K265" i="1"/>
  <c r="H161" i="1"/>
  <c r="H162" i="1"/>
  <c r="G40" i="1"/>
  <c r="G158" i="1"/>
  <c r="G653" i="1"/>
  <c r="E7" i="17"/>
  <c r="E43" i="14"/>
  <c r="D43" i="14"/>
  <c r="B28" i="14"/>
  <c r="C28" i="14" a="1"/>
  <c r="C28" i="14"/>
  <c r="E33" i="14"/>
  <c r="D33" i="14"/>
  <c r="E21" i="14"/>
  <c r="D21" i="14"/>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c r="G29" i="13"/>
  <c r="B22" i="12"/>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3" i="15"/>
  <c r="F88" i="2"/>
  <c r="E88" i="2"/>
  <c r="D88" i="2"/>
  <c r="C88" i="2"/>
  <c r="I163" i="1"/>
  <c r="H163" i="1"/>
  <c r="G163" i="1"/>
  <c r="F163" i="1"/>
  <c r="B31" i="16"/>
  <c r="B27" i="16"/>
  <c r="B9" i="16"/>
  <c r="B5" i="16"/>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36" i="14"/>
  <c r="L234" i="1"/>
  <c r="L235" i="1"/>
  <c r="L236" i="1"/>
  <c r="L237" i="1"/>
  <c r="L239" i="1"/>
  <c r="L240" i="1"/>
  <c r="L241" i="1"/>
  <c r="L242" i="1"/>
  <c r="L243" i="1"/>
  <c r="L244" i="1"/>
  <c r="L245" i="1"/>
  <c r="L246" i="1"/>
  <c r="L248" i="1"/>
  <c r="L315" i="1"/>
  <c r="L316" i="1"/>
  <c r="L317" i="1"/>
  <c r="L318" i="1"/>
  <c r="L320" i="1"/>
  <c r="L321" i="1"/>
  <c r="L322" i="1"/>
  <c r="L323" i="1"/>
  <c r="L324" i="1"/>
  <c r="L325" i="1"/>
  <c r="L326" i="1"/>
  <c r="L327" i="1"/>
  <c r="L329" i="1"/>
  <c r="G36" i="14"/>
  <c r="H36"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9" i="14"/>
  <c r="C29" i="14" a="1"/>
  <c r="C29" i="14"/>
  <c r="B30" i="14"/>
  <c r="C30" i="14" a="1"/>
  <c r="C30" i="14"/>
  <c r="B31" i="14"/>
  <c r="C31" i="14" a="1"/>
  <c r="C31" i="14"/>
  <c r="B32" i="14"/>
  <c r="C32" i="14" a="1"/>
  <c r="C32" i="14"/>
  <c r="B25" i="14"/>
  <c r="C25" i="14" a="1"/>
  <c r="C25" i="14"/>
  <c r="F5" i="14"/>
  <c r="F24" i="14"/>
  <c r="L216" i="1"/>
  <c r="L217" i="1"/>
  <c r="L218" i="1"/>
  <c r="L219" i="1"/>
  <c r="L221" i="1"/>
  <c r="L222" i="1"/>
  <c r="L223" i="1"/>
  <c r="L224" i="1"/>
  <c r="L225" i="1"/>
  <c r="L226" i="1"/>
  <c r="L227" i="1"/>
  <c r="L228" i="1"/>
  <c r="L230" i="1"/>
  <c r="L296" i="1"/>
  <c r="L297" i="1"/>
  <c r="L298" i="1"/>
  <c r="L299" i="1"/>
  <c r="L301" i="1"/>
  <c r="L302" i="1"/>
  <c r="L303" i="1"/>
  <c r="L304" i="1"/>
  <c r="L305" i="1"/>
  <c r="L306" i="1"/>
  <c r="L307" i="1"/>
  <c r="L308" i="1"/>
  <c r="L310" i="1"/>
  <c r="G24" i="14"/>
  <c r="H24" i="14"/>
  <c r="I24" i="14"/>
  <c r="F4" i="14"/>
  <c r="L198" i="1"/>
  <c r="L199" i="1"/>
  <c r="L200" i="1"/>
  <c r="L201" i="1"/>
  <c r="L203" i="1"/>
  <c r="L204" i="1"/>
  <c r="L205" i="1"/>
  <c r="L206" i="1"/>
  <c r="L207" i="1"/>
  <c r="L208" i="1"/>
  <c r="L209" i="1"/>
  <c r="L210" i="1"/>
  <c r="L212" i="1"/>
  <c r="L277" i="1"/>
  <c r="L278" i="1"/>
  <c r="L279" i="1"/>
  <c r="L280" i="1"/>
  <c r="L282" i="1"/>
  <c r="L283" i="1"/>
  <c r="L284" i="1"/>
  <c r="L285" i="1"/>
  <c r="L286" i="1"/>
  <c r="L287" i="1"/>
  <c r="L288" i="1"/>
  <c r="L289" i="1"/>
  <c r="L291" i="1"/>
  <c r="G4" i="14"/>
  <c r="H4" i="14"/>
  <c r="I4"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C120" i="2"/>
  <c r="D39" i="13"/>
  <c r="G13" i="13"/>
  <c r="H13" i="13"/>
  <c r="E13" i="13"/>
  <c r="C13" i="13"/>
  <c r="G16" i="13"/>
  <c r="H16" i="13"/>
  <c r="G5" i="13"/>
  <c r="H5" i="13"/>
  <c r="G6" i="13"/>
  <c r="H6" i="13"/>
  <c r="D6" i="13"/>
  <c r="C6" i="13"/>
  <c r="G7" i="13"/>
  <c r="H7" i="13"/>
  <c r="G12" i="13"/>
  <c r="H12" i="13"/>
  <c r="C121" i="2"/>
  <c r="G14" i="13"/>
  <c r="H14" i="13"/>
  <c r="G15" i="13"/>
  <c r="H15" i="13"/>
  <c r="D15" i="13"/>
  <c r="C15" i="13"/>
  <c r="G17" i="13"/>
  <c r="H17" i="13"/>
  <c r="L252" i="1"/>
  <c r="G18" i="13"/>
  <c r="H18" i="13"/>
  <c r="L253" i="1"/>
  <c r="D18" i="13"/>
  <c r="C18" i="13"/>
  <c r="G19" i="13"/>
  <c r="H19" i="13"/>
  <c r="L254" i="1"/>
  <c r="H29" i="13"/>
  <c r="L359" i="1"/>
  <c r="L360" i="1"/>
  <c r="L361" i="1"/>
  <c r="G662" i="1"/>
  <c r="I368" i="1"/>
  <c r="J291" i="1"/>
  <c r="J310" i="1"/>
  <c r="J329" i="1"/>
  <c r="K291" i="1"/>
  <c r="K310" i="1"/>
  <c r="K329" i="1"/>
  <c r="E110" i="2"/>
  <c r="E119" i="2"/>
  <c r="E123" i="2"/>
  <c r="H663" i="1"/>
  <c r="L334" i="1"/>
  <c r="L335" i="1"/>
  <c r="L336" i="1"/>
  <c r="L261" i="1"/>
  <c r="L262" i="1"/>
  <c r="C132" i="2"/>
  <c r="L342" i="1"/>
  <c r="C32" i="10"/>
  <c r="L343" i="1"/>
  <c r="L256" i="1"/>
  <c r="L337" i="1"/>
  <c r="E130" i="2"/>
  <c r="C11" i="13"/>
  <c r="C10" i="13"/>
  <c r="C9" i="13"/>
  <c r="L362" i="1"/>
  <c r="B4" i="12"/>
  <c r="B36" i="12"/>
  <c r="C36" i="12"/>
  <c r="B40" i="12"/>
  <c r="C40" i="12"/>
  <c r="A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F2" i="11"/>
  <c r="L614" i="1"/>
  <c r="H664" i="1"/>
  <c r="L613" i="1"/>
  <c r="G664" i="1"/>
  <c r="L612" i="1"/>
  <c r="F664" i="1"/>
  <c r="C40" i="10"/>
  <c r="F60" i="1"/>
  <c r="G60" i="1"/>
  <c r="H60" i="1"/>
  <c r="E56" i="2"/>
  <c r="I60" i="1"/>
  <c r="F79" i="1"/>
  <c r="C57" i="2"/>
  <c r="F94" i="1"/>
  <c r="F111" i="1"/>
  <c r="G111" i="1"/>
  <c r="H79" i="1"/>
  <c r="H94" i="1"/>
  <c r="H111" i="1"/>
  <c r="I111" i="1"/>
  <c r="I112" i="1"/>
  <c r="J111" i="1"/>
  <c r="J112" i="1"/>
  <c r="F121" i="1"/>
  <c r="F136" i="1"/>
  <c r="G121" i="1"/>
  <c r="G136" i="1"/>
  <c r="H121" i="1"/>
  <c r="H136" i="1"/>
  <c r="H140" i="1"/>
  <c r="I121" i="1"/>
  <c r="I136" i="1"/>
  <c r="J121" i="1"/>
  <c r="J136" i="1"/>
  <c r="J140" i="1"/>
  <c r="F147" i="1"/>
  <c r="F170" i="1"/>
  <c r="G147" i="1"/>
  <c r="H147" i="1"/>
  <c r="H170" i="1"/>
  <c r="I147" i="1"/>
  <c r="C12" i="10"/>
  <c r="C13" i="10"/>
  <c r="L251" i="1"/>
  <c r="C113" i="2"/>
  <c r="L333" i="1"/>
  <c r="E113" i="2"/>
  <c r="L255" i="1"/>
  <c r="L269" i="1"/>
  <c r="L270" i="1"/>
  <c r="L350" i="1"/>
  <c r="E142" i="2"/>
  <c r="L351" i="1"/>
  <c r="E143" i="2"/>
  <c r="I666" i="1"/>
  <c r="I671" i="1"/>
  <c r="G663" i="1"/>
  <c r="I670" i="1"/>
  <c r="C42" i="10"/>
  <c r="L375" i="1"/>
  <c r="L376" i="1"/>
  <c r="L377" i="1"/>
  <c r="L378" i="1"/>
  <c r="L379" i="1"/>
  <c r="L380" i="1"/>
  <c r="L381" i="1"/>
  <c r="B2" i="10"/>
  <c r="L345" i="1"/>
  <c r="L346" i="1"/>
  <c r="E135" i="2"/>
  <c r="L347" i="1"/>
  <c r="L348" i="1"/>
  <c r="K352" i="1"/>
  <c r="L522" i="1"/>
  <c r="F550" i="1"/>
  <c r="L523" i="1"/>
  <c r="F551" i="1"/>
  <c r="L524" i="1"/>
  <c r="F552" i="1"/>
  <c r="L527" i="1"/>
  <c r="G550" i="1"/>
  <c r="L528" i="1"/>
  <c r="G551" i="1"/>
  <c r="L529" i="1"/>
  <c r="G552" i="1"/>
  <c r="G553"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D35" i="2"/>
  <c r="D50" i="2"/>
  <c r="E34" i="2"/>
  <c r="F34" i="2"/>
  <c r="C35" i="2"/>
  <c r="E35" i="2"/>
  <c r="F35" i="2"/>
  <c r="I455" i="1"/>
  <c r="J49" i="1"/>
  <c r="G48" i="2"/>
  <c r="I457" i="1"/>
  <c r="J43" i="1"/>
  <c r="I458" i="1"/>
  <c r="J37" i="1"/>
  <c r="G36" i="2"/>
  <c r="I460" i="1"/>
  <c r="J48" i="1"/>
  <c r="G47" i="2"/>
  <c r="C49" i="2"/>
  <c r="D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c r="E13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H19" i="1"/>
  <c r="G620" i="1"/>
  <c r="I19" i="1"/>
  <c r="G621" i="1"/>
  <c r="F32" i="1"/>
  <c r="F52" i="1"/>
  <c r="H618" i="1"/>
  <c r="G32" i="1"/>
  <c r="G52" i="1"/>
  <c r="H619" i="1"/>
  <c r="H32" i="1"/>
  <c r="I32" i="1"/>
  <c r="H51" i="1"/>
  <c r="I51" i="1"/>
  <c r="F178" i="1"/>
  <c r="I178" i="1"/>
  <c r="F184" i="1"/>
  <c r="G184" i="1"/>
  <c r="H184" i="1"/>
  <c r="I184" i="1"/>
  <c r="J184" i="1"/>
  <c r="J193" i="1"/>
  <c r="F189" i="1"/>
  <c r="G189" i="1"/>
  <c r="H189" i="1"/>
  <c r="I189" i="1"/>
  <c r="F212" i="1"/>
  <c r="G212" i="1"/>
  <c r="H212" i="1"/>
  <c r="I212" i="1"/>
  <c r="J212" i="1"/>
  <c r="K212" i="1"/>
  <c r="F230" i="1"/>
  <c r="G230" i="1"/>
  <c r="H230" i="1"/>
  <c r="I230" i="1"/>
  <c r="J230" i="1"/>
  <c r="J248" i="1"/>
  <c r="J257" i="1"/>
  <c r="J258" i="1"/>
  <c r="K230" i="1"/>
  <c r="F248" i="1"/>
  <c r="G248" i="1"/>
  <c r="H248" i="1"/>
  <c r="I248" i="1"/>
  <c r="K248" i="1"/>
  <c r="F257" i="1"/>
  <c r="G257" i="1"/>
  <c r="H257" i="1"/>
  <c r="I257" i="1"/>
  <c r="K257" i="1"/>
  <c r="F291" i="1"/>
  <c r="G291" i="1"/>
  <c r="G310" i="1"/>
  <c r="G329" i="1"/>
  <c r="G338" i="1"/>
  <c r="G339" i="1"/>
  <c r="G353" i="1"/>
  <c r="H291" i="1"/>
  <c r="I291" i="1"/>
  <c r="F310" i="1"/>
  <c r="H310" i="1"/>
  <c r="I310" i="1"/>
  <c r="F329" i="1"/>
  <c r="H329" i="1"/>
  <c r="I329" i="1"/>
  <c r="F338" i="1"/>
  <c r="H338" i="1"/>
  <c r="I338" i="1"/>
  <c r="J338" i="1"/>
  <c r="K338" i="1"/>
  <c r="K339" i="1"/>
  <c r="K353" i="1"/>
  <c r="F363" i="1"/>
  <c r="G363" i="1"/>
  <c r="H363" i="1"/>
  <c r="I363" i="1"/>
  <c r="G635" i="1"/>
  <c r="J363" i="1"/>
  <c r="K363" i="1"/>
  <c r="I369" i="1"/>
  <c r="F370" i="1"/>
  <c r="G370" i="1"/>
  <c r="H370" i="1"/>
  <c r="L382" i="1"/>
  <c r="F383" i="1"/>
  <c r="G383" i="1"/>
  <c r="H383" i="1"/>
  <c r="I383" i="1"/>
  <c r="J383" i="1"/>
  <c r="K383" i="1"/>
  <c r="F394" i="1"/>
  <c r="G394" i="1"/>
  <c r="H394" i="1"/>
  <c r="H402" i="1"/>
  <c r="H408" i="1"/>
  <c r="H409" i="1"/>
  <c r="H645" i="1"/>
  <c r="I394" i="1"/>
  <c r="F402" i="1"/>
  <c r="G402" i="1"/>
  <c r="I402" i="1"/>
  <c r="F408" i="1"/>
  <c r="G408" i="1"/>
  <c r="G409" i="1"/>
  <c r="H646" i="1"/>
  <c r="I408" i="1"/>
  <c r="F409" i="1"/>
  <c r="H644"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F461" i="1"/>
  <c r="G461" i="1"/>
  <c r="H461" i="1"/>
  <c r="F471" i="1"/>
  <c r="G471" i="1"/>
  <c r="H471" i="1"/>
  <c r="I471" i="1"/>
  <c r="J471" i="1"/>
  <c r="F475" i="1"/>
  <c r="G475" i="1"/>
  <c r="H475" i="1"/>
  <c r="H477" i="1"/>
  <c r="H62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1" i="1"/>
  <c r="J572" i="1"/>
  <c r="K566" i="1"/>
  <c r="L568" i="1"/>
  <c r="L569" i="1"/>
  <c r="L570" i="1"/>
  <c r="F571" i="1"/>
  <c r="G571" i="1"/>
  <c r="H571" i="1"/>
  <c r="I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c r="H653" i="1"/>
  <c r="G654" i="1"/>
  <c r="H654" i="1"/>
  <c r="G655" i="1"/>
  <c r="H655" i="1"/>
  <c r="H656" i="1"/>
  <c r="J656" i="1"/>
  <c r="G62" i="2"/>
  <c r="I170" i="1"/>
  <c r="G477" i="1"/>
  <c r="F258" i="1"/>
  <c r="C20" i="10"/>
  <c r="I370" i="1"/>
  <c r="H635" i="1"/>
  <c r="L257" i="1"/>
  <c r="H193" i="1"/>
  <c r="H112" i="1"/>
  <c r="H194" i="1"/>
  <c r="G630" i="1"/>
  <c r="J630" i="1"/>
  <c r="C11" i="10"/>
  <c r="A31" i="12"/>
  <c r="E114" i="2"/>
  <c r="E85" i="2"/>
  <c r="E91" i="2"/>
  <c r="L402" i="1"/>
  <c r="C139" i="2"/>
  <c r="C91" i="2"/>
  <c r="H462" i="1"/>
  <c r="H642" i="1"/>
  <c r="J642" i="1"/>
  <c r="F339" i="1"/>
  <c r="F353" i="1"/>
  <c r="L561" i="1"/>
  <c r="J625" i="1"/>
  <c r="G462" i="1"/>
  <c r="H641" i="1"/>
  <c r="E103" i="2"/>
  <c r="D18" i="2"/>
  <c r="H553" i="1"/>
  <c r="I546" i="1"/>
  <c r="F462" i="1"/>
  <c r="H640" i="1"/>
  <c r="J640" i="1"/>
  <c r="K606" i="1"/>
  <c r="G649" i="1"/>
  <c r="H258" i="1"/>
  <c r="H272" i="1"/>
  <c r="I52" i="1"/>
  <c r="H621" i="1"/>
  <c r="J621" i="1"/>
  <c r="D31" i="2"/>
  <c r="D51" i="2"/>
  <c r="E31" i="2"/>
  <c r="C18" i="2"/>
  <c r="F18" i="2"/>
  <c r="L271" i="1"/>
  <c r="F662" i="1"/>
  <c r="F572" i="1"/>
  <c r="L420" i="1"/>
  <c r="D91" i="2"/>
  <c r="D81" i="2"/>
  <c r="E78" i="2"/>
  <c r="G546" i="1"/>
  <c r="J644" i="1"/>
  <c r="J646" i="1"/>
  <c r="F112" i="1"/>
  <c r="L394" i="1"/>
  <c r="C138" i="2"/>
  <c r="L363" i="1"/>
  <c r="B17" i="16"/>
  <c r="B19" i="16"/>
  <c r="B28" i="16"/>
  <c r="H661" i="1"/>
  <c r="H662" i="1"/>
  <c r="H665" i="1"/>
  <c r="H668" i="1"/>
  <c r="E122" i="2"/>
  <c r="H624" i="1"/>
  <c r="J624" i="1"/>
  <c r="B33" i="16"/>
  <c r="L615" i="1"/>
  <c r="K599" i="1"/>
  <c r="G648" i="1"/>
  <c r="K572" i="1"/>
  <c r="L571" i="1"/>
  <c r="H572" i="1"/>
  <c r="L566" i="1"/>
  <c r="L572" i="1"/>
  <c r="I572" i="1"/>
  <c r="K546" i="1"/>
  <c r="H52" i="1"/>
  <c r="H620" i="1"/>
  <c r="C114" i="2"/>
  <c r="G112" i="1"/>
  <c r="B10" i="16"/>
  <c r="E118" i="2"/>
  <c r="F661" i="1"/>
  <c r="H648" i="1"/>
  <c r="J645" i="1"/>
  <c r="J635" i="1"/>
  <c r="G626" i="1"/>
  <c r="L530" i="1"/>
  <c r="H546" i="1"/>
  <c r="G164" i="2"/>
  <c r="G161" i="2"/>
  <c r="G157" i="2"/>
  <c r="G156" i="2"/>
  <c r="G81" i="2"/>
  <c r="C78" i="2"/>
  <c r="C70" i="2"/>
  <c r="C81" i="2"/>
  <c r="F78" i="2"/>
  <c r="F81" i="2"/>
  <c r="D62" i="2"/>
  <c r="D63" i="2"/>
  <c r="E57" i="2"/>
  <c r="E62" i="2"/>
  <c r="E63" i="2"/>
  <c r="C26" i="10"/>
  <c r="C18" i="10"/>
  <c r="J641" i="1"/>
  <c r="J546" i="1"/>
  <c r="I477" i="1"/>
  <c r="H626" i="1"/>
  <c r="J477" i="1"/>
  <c r="H627" i="1"/>
  <c r="F477" i="1"/>
  <c r="H623" i="1"/>
  <c r="J623" i="1"/>
  <c r="L434" i="1"/>
  <c r="L428" i="1"/>
  <c r="I258" i="1"/>
  <c r="I272" i="1"/>
  <c r="K258" i="1"/>
  <c r="K272" i="1"/>
  <c r="G193" i="1"/>
  <c r="B13" i="16"/>
  <c r="F193" i="1"/>
  <c r="J553" i="1"/>
  <c r="I553" i="1"/>
  <c r="K550" i="1"/>
  <c r="F553" i="1"/>
  <c r="L352" i="1"/>
  <c r="F130" i="2"/>
  <c r="F144" i="2" s="1"/>
  <c r="F145" i="2" s="1"/>
  <c r="G170" i="1"/>
  <c r="B12" i="16"/>
  <c r="J618" i="1"/>
  <c r="K552" i="1"/>
  <c r="I25" i="13"/>
  <c r="K551" i="1"/>
  <c r="J272" i="1"/>
  <c r="L535" i="1"/>
  <c r="K501" i="1"/>
  <c r="I461" i="1"/>
  <c r="I453" i="1"/>
  <c r="I447" i="1"/>
  <c r="G643" i="1"/>
  <c r="H339" i="1"/>
  <c r="H353" i="1"/>
  <c r="F272" i="1"/>
  <c r="C123" i="2"/>
  <c r="E109" i="2"/>
  <c r="E115" i="2"/>
  <c r="C56" i="2"/>
  <c r="F663" i="1"/>
  <c r="I663" i="1"/>
  <c r="C25" i="10"/>
  <c r="C21" i="10"/>
  <c r="C17" i="10"/>
  <c r="D19" i="13"/>
  <c r="C19" i="13"/>
  <c r="D14" i="13"/>
  <c r="C14" i="13"/>
  <c r="C62" i="2"/>
  <c r="G22" i="13"/>
  <c r="C22" i="13"/>
  <c r="L540" i="1"/>
  <c r="K504" i="1"/>
  <c r="L383" i="1"/>
  <c r="G637" i="1"/>
  <c r="J637" i="1"/>
  <c r="G258" i="1"/>
  <c r="G272" i="1"/>
  <c r="C142" i="2"/>
  <c r="C111" i="2"/>
  <c r="C15" i="10"/>
  <c r="A13" i="12"/>
  <c r="D29" i="13"/>
  <c r="C29" i="13"/>
  <c r="D12" i="13"/>
  <c r="D5" i="13"/>
  <c r="C5" i="13"/>
  <c r="E8" i="13"/>
  <c r="C8" i="13"/>
  <c r="E128" i="2"/>
  <c r="C12" i="13"/>
  <c r="C35" i="10"/>
  <c r="C29" i="10"/>
  <c r="E81" i="2"/>
  <c r="G650" i="1"/>
  <c r="J650" i="1"/>
  <c r="L545" i="1"/>
  <c r="L525" i="1"/>
  <c r="J339" i="1"/>
  <c r="J353" i="1"/>
  <c r="D127" i="2"/>
  <c r="D128" i="2"/>
  <c r="D145" i="2"/>
  <c r="C124" i="2"/>
  <c r="C122" i="2"/>
  <c r="C118" i="2"/>
  <c r="C19" i="10"/>
  <c r="C16" i="10"/>
  <c r="D17" i="13"/>
  <c r="C17" i="13"/>
  <c r="D7" i="13"/>
  <c r="C7" i="13"/>
  <c r="E16" i="13"/>
  <c r="C16" i="13"/>
  <c r="C10" i="10"/>
  <c r="C109" i="2"/>
  <c r="L338" i="1"/>
  <c r="F62" i="2"/>
  <c r="F63" i="2"/>
  <c r="C23" i="10"/>
  <c r="G163" i="2"/>
  <c r="G162" i="2"/>
  <c r="G160" i="2"/>
  <c r="G159" i="2"/>
  <c r="G158" i="2"/>
  <c r="G103" i="2"/>
  <c r="F103" i="2"/>
  <c r="C103" i="2"/>
  <c r="F91" i="2"/>
  <c r="E50" i="2"/>
  <c r="E51" i="2"/>
  <c r="C50" i="2"/>
  <c r="F31" i="2"/>
  <c r="C31" i="2"/>
  <c r="E18" i="2"/>
  <c r="E144" i="2"/>
  <c r="F50" i="2"/>
  <c r="C24" i="10"/>
  <c r="H31" i="13"/>
  <c r="H33" i="13"/>
  <c r="I339" i="1"/>
  <c r="I353" i="1"/>
  <c r="J651" i="1"/>
  <c r="L408" i="1"/>
  <c r="C140" i="2"/>
  <c r="C141" i="2"/>
  <c r="I193" i="1"/>
  <c r="J655" i="1"/>
  <c r="J654" i="1"/>
  <c r="G21" i="2"/>
  <c r="G31" i="2"/>
  <c r="J32" i="1"/>
  <c r="J435" i="1"/>
  <c r="F435" i="1"/>
  <c r="K435" i="1"/>
  <c r="G134" i="2"/>
  <c r="G144" i="2"/>
  <c r="G145" i="2"/>
  <c r="G31" i="13"/>
  <c r="J194" i="1"/>
  <c r="G647" i="1"/>
  <c r="G140" i="1"/>
  <c r="B11" i="16"/>
  <c r="F140" i="1"/>
  <c r="F194" i="1"/>
  <c r="G63" i="2"/>
  <c r="J619" i="1"/>
  <c r="G42" i="2"/>
  <c r="G50" i="2"/>
  <c r="J51" i="1"/>
  <c r="G16" i="2"/>
  <c r="G18" i="2"/>
  <c r="J19" i="1"/>
  <c r="G622" i="1"/>
  <c r="F546" i="1"/>
  <c r="H435" i="1"/>
  <c r="J620" i="1"/>
  <c r="D103" i="2"/>
  <c r="I140" i="1"/>
  <c r="A22" i="12"/>
  <c r="H649" i="1"/>
  <c r="J653" i="1"/>
  <c r="G572" i="1"/>
  <c r="I435" i="1"/>
  <c r="G435" i="1"/>
  <c r="I664" i="1"/>
  <c r="F51" i="2"/>
  <c r="I36" i="14"/>
  <c r="E145" i="2"/>
  <c r="E104" i="2"/>
  <c r="C36" i="10"/>
  <c r="L435" i="1"/>
  <c r="G639" i="1"/>
  <c r="J639" i="1"/>
  <c r="F665" i="1"/>
  <c r="F668" i="1"/>
  <c r="I662" i="1"/>
  <c r="G104" i="2"/>
  <c r="L339" i="1"/>
  <c r="L353" i="1"/>
  <c r="G634" i="1"/>
  <c r="J634" i="1"/>
  <c r="J649" i="1"/>
  <c r="I194" i="1"/>
  <c r="G631" i="1"/>
  <c r="J631" i="1"/>
  <c r="G636" i="1"/>
  <c r="J636" i="1"/>
  <c r="G51" i="2"/>
  <c r="D104" i="2"/>
  <c r="L409" i="1"/>
  <c r="C27" i="10"/>
  <c r="H673" i="1"/>
  <c r="C6" i="10" s="1"/>
  <c r="L546" i="1"/>
  <c r="J626" i="1"/>
  <c r="F104" i="2"/>
  <c r="B14" i="16"/>
  <c r="B22" i="16"/>
  <c r="G628" i="1"/>
  <c r="J628" i="1"/>
  <c r="E33" i="13"/>
  <c r="D35" i="13"/>
  <c r="J648" i="1"/>
  <c r="L258" i="1"/>
  <c r="L272" i="1"/>
  <c r="G633" i="1"/>
  <c r="J633" i="1"/>
  <c r="C115" i="2"/>
  <c r="C63" i="2"/>
  <c r="C104" i="2"/>
  <c r="C39" i="10"/>
  <c r="G33" i="13"/>
  <c r="C144" i="2"/>
  <c r="C128" i="2"/>
  <c r="D31" i="13"/>
  <c r="C31" i="13"/>
  <c r="I462" i="1"/>
  <c r="H643" i="1"/>
  <c r="J643" i="1"/>
  <c r="G661" i="1"/>
  <c r="G665" i="1"/>
  <c r="G673" i="1"/>
  <c r="C5" i="10"/>
  <c r="C25" i="13"/>
  <c r="I33" i="13"/>
  <c r="K553" i="1"/>
  <c r="C28" i="10"/>
  <c r="D23" i="10"/>
  <c r="C51" i="2"/>
  <c r="G632" i="1"/>
  <c r="J632" i="1"/>
  <c r="G194" i="1"/>
  <c r="G629" i="1"/>
  <c r="J629" i="1"/>
  <c r="G627" i="1"/>
  <c r="J627" i="1"/>
  <c r="J52" i="1"/>
  <c r="H622" i="1"/>
  <c r="J622" i="1"/>
  <c r="C38" i="10"/>
  <c r="F673" i="1"/>
  <c r="C4" i="10" s="1"/>
  <c r="I661" i="1"/>
  <c r="I665" i="1"/>
  <c r="I673" i="1"/>
  <c r="C7" i="10" s="1"/>
  <c r="G668" i="1"/>
  <c r="C145" i="2"/>
  <c r="D25" i="10"/>
  <c r="G638" i="1"/>
  <c r="J638" i="1"/>
  <c r="H647" i="1"/>
  <c r="J647" i="1"/>
  <c r="D22" i="10"/>
  <c r="D18" i="10"/>
  <c r="D27" i="10"/>
  <c r="D15" i="10"/>
  <c r="D21" i="10"/>
  <c r="D24" i="10"/>
  <c r="D20" i="10"/>
  <c r="D11" i="10"/>
  <c r="D12" i="10"/>
  <c r="D13" i="10"/>
  <c r="D17" i="10"/>
  <c r="D19" i="10"/>
  <c r="D10" i="10"/>
  <c r="D26" i="10"/>
  <c r="C30" i="10"/>
  <c r="D16" i="10"/>
  <c r="D33" i="13"/>
  <c r="D36" i="13"/>
  <c r="H657" i="1"/>
  <c r="C41" i="10"/>
  <c r="D38" i="10"/>
  <c r="I668" i="1"/>
  <c r="D28" i="10"/>
  <c r="D37" i="10"/>
  <c r="D36" i="10"/>
  <c r="D35" i="10"/>
  <c r="D40" i="10"/>
  <c r="D39" i="10"/>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<sst xmlns="http://schemas.openxmlformats.org/spreadsheetml/2006/main" count="5579" uniqueCount="1673">
  <si>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</si>
  <si>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</si>
  <si>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</si>
  <si>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</si>
  <si>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</si>
  <si>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</si>
  <si>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</si>
  <si>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</si>
  <si>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</si>
  <si>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</si>
  <si>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</si>
  <si>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</si>
  <si>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</si>
  <si>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</si>
  <si>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</si>
  <si>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</si>
  <si>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</si>
  <si>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</si>
  <si>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</si>
  <si>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</si>
  <si>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</si>
  <si>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</si>
  <si>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</si>
  <si>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</si>
  <si>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</si>
  <si>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</si>
  <si>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</si>
  <si>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</si>
  <si>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</si>
  <si>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</si>
  <si>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</si>
  <si>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</si>
  <si>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</si>
  <si>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</si>
  <si>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</si>
  <si>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</si>
  <si>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</si>
  <si>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</si>
  <si>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</si>
  <si>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</si>
  <si>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</si>
  <si>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</si>
  <si>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</si>
  <si>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</si>
  <si>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</si>
  <si>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</si>
  <si>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</si>
  <si>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</si>
  <si>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</si>
  <si>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</si>
  <si>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</si>
  <si>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</si>
  <si>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</si>
  <si>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</si>
  <si>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</si>
  <si>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</si>
  <si>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</si>
  <si>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</si>
  <si>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</si>
  <si>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</si>
  <si>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</si>
  <si>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</si>
  <si>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</si>
  <si>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</si>
  <si>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</si>
  <si>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</si>
  <si>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</si>
  <si>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</si>
  <si>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</si>
  <si>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</si>
  <si>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</si>
  <si>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</si>
  <si>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</si>
  <si>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</si>
  <si>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</si>
  <si>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</si>
  <si>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</si>
  <si>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</si>
  <si>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</si>
  <si>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</si>
  <si>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</si>
  <si>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</si>
  <si>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</si>
  <si>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</si>
  <si>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</si>
  <si>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</si>
  <si>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</si>
  <si>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</si>
  <si>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</si>
  <si>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</si>
  <si>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</si>
  <si>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</si>
  <si>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</si>
  <si>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</si>
  <si>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</si>
  <si>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</si>
  <si>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</si>
  <si>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</si>
  <si>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</si>
  <si>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</si>
  <si>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</si>
  <si>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</si>
  <si>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</si>
  <si>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</si>
  <si>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</si>
  <si>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</si>
  <si>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</si>
  <si>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</si>
  <si>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</si>
  <si>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</si>
  <si>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</si>
  <si>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</si>
  <si>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</si>
  <si>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</si>
  <si>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</si>
  <si>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</si>
  <si>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</si>
  <si>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</si>
  <si>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</si>
  <si>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</si>
  <si>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</si>
  <si>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</si>
  <si>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</si>
  <si>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</si>
  <si>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</si>
  <si>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</si>
  <si>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</si>
  <si>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</si>
  <si>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</si>
  <si>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</si>
  <si>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</si>
  <si>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</si>
  <si>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</si>
  <si>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</si>
  <si>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</si>
  <si>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</si>
  <si>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</si>
  <si>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</si>
  <si>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</si>
  <si>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</si>
  <si>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</si>
  <si>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</si>
  <si>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</si>
  <si>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</si>
  <si>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</si>
  <si>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</si>
  <si>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</si>
  <si>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</si>
  <si>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</si>
  <si>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</si>
  <si>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</si>
  <si>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</si>
  <si>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</si>
  <si>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</si>
  <si>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</si>
  <si>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</si>
  <si>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</si>
  <si>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</si>
  <si>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</si>
  <si>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</si>
  <si>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</si>
  <si>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</si>
  <si>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</si>
  <si>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</si>
  <si>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</si>
  <si>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</si>
  <si>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</si>
  <si>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</si>
  <si>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</si>
  <si>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</si>
  <si>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</si>
  <si>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</si>
  <si>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</si>
  <si>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</si>
  <si>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</si>
  <si>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</si>
  <si>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</si>
  <si>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</si>
  <si>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</si>
  <si>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</si>
  <si>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</si>
  <si>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</si>
  <si>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</si>
  <si>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</si>
  <si>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</si>
  <si>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</si>
  <si>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</si>
  <si>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</si>
  <si>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</si>
  <si>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</si>
  <si>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</si>
  <si>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</si>
  <si>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</si>
  <si>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</si>
  <si>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</si>
  <si>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</si>
  <si>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</si>
  <si>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</si>
  <si>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</si>
  <si>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</si>
  <si>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</si>
  <si>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</si>
  <si>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</si>
  <si>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</si>
  <si>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</si>
  <si>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</si>
  <si>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</si>
  <si>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</si>
  <si>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</si>
  <si>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</si>
  <si>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</si>
  <si>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</si>
  <si>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</si>
  <si>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</si>
  <si>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</si>
  <si>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</si>
  <si>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</si>
  <si>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</si>
  <si>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</si>
  <si>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</si>
  <si>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</si>
  <si>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</si>
  <si>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</si>
  <si>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</si>
  <si>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</si>
  <si>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</si>
  <si>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</si>
  <si>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</si>
  <si>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</si>
  <si>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</si>
  <si>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</si>
  <si>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</si>
  <si>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</si>
  <si>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</si>
  <si>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</si>
  <si>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</si>
  <si>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</si>
  <si>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</si>
  <si>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</si>
  <si>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</si>
  <si>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</si>
  <si>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</si>
  <si>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</si>
  <si>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</si>
  <si>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</si>
  <si>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</si>
  <si>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</si>
  <si>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</si>
  <si>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</si>
  <si>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</si>
  <si>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</si>
  <si>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</si>
  <si>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</si>
  <si>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</si>
  <si>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</si>
  <si>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</si>
  <si>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</si>
  <si>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</si>
  <si>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</si>
  <si>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</si>
  <si>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</si>
  <si>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</si>
  <si>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</si>
  <si>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</si>
  <si>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</si>
  <si>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</si>
  <si>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</si>
  <si>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</si>
  <si>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</si>
  <si>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</si>
  <si>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</si>
  <si>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</si>
  <si>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</si>
  <si>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</si>
  <si>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</si>
  <si>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</si>
  <si>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</si>
  <si>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</si>
  <si>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</si>
  <si>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</si>
  <si>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</si>
  <si>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</si>
  <si>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</si>
  <si>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</si>
  <si>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</si>
  <si>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</si>
  <si>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</si>
  <si>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</si>
  <si>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</si>
  <si>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</si>
  <si>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</si>
  <si>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</si>
  <si>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</si>
  <si>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</si>
  <si>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</si>
  <si>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</si>
  <si>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</si>
  <si>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</si>
  <si>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</si>
  <si>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</si>
  <si>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</si>
  <si>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</si>
  <si>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</si>
  <si>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</si>
  <si>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</si>
  <si>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</si>
  <si>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</si>
  <si>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</si>
  <si>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</si>
  <si>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</si>
  <si>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</si>
  <si>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</si>
  <si>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</si>
  <si>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</si>
  <si>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</si>
  <si>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</si>
  <si>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</si>
  <si>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</si>
  <si>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</si>
  <si>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</si>
  <si>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</si>
  <si>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</si>
  <si>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</si>
  <si>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</si>
  <si>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</si>
  <si>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</si>
  <si>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</si>
  <si>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</si>
  <si>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</si>
  <si>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</si>
  <si>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</si>
  <si>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</si>
  <si>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</si>
  <si>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</si>
  <si>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</si>
  <si>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</si>
  <si>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</si>
  <si>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</si>
  <si>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</si>
  <si>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</si>
  <si>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</si>
  <si>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</si>
  <si>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</si>
  <si>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</si>
  <si>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</si>
  <si>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</si>
  <si>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</si>
  <si>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</si>
  <si>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</si>
  <si>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</si>
  <si>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</si>
  <si>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</si>
  <si>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</si>
  <si>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</si>
  <si>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</si>
  <si>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</si>
  <si>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</si>
  <si>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</si>
  <si>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</si>
  <si>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</si>
  <si>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</si>
  <si>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</si>
  <si>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</si>
  <si>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</si>
  <si>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</si>
  <si>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</si>
  <si>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</si>
  <si>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</si>
  <si>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</si>
  <si>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</si>
  <si>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</si>
  <si>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</si>
  <si>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</si>
  <si>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</si>
  <si>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</si>
  <si>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</si>
  <si>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</si>
  <si>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</si>
  <si>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</si>
  <si>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</si>
  <si>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</si>
  <si>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</si>
  <si>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</si>
  <si>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</si>
  <si>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</si>
  <si>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</si>
  <si>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</si>
  <si>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</si>
  <si>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</si>
  <si>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</si>
  <si>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</si>
  <si>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</si>
  <si>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</si>
  <si>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</si>
  <si>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</si>
  <si>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</si>
  <si>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</si>
  <si>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</si>
  <si>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</si>
  <si>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</si>
  <si>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</si>
  <si>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</si>
  <si>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</si>
  <si>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</si>
  <si>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</si>
  <si>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</si>
  <si>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</si>
  <si>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</si>
  <si>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</si>
  <si>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</si>
  <si>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</si>
  <si>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</si>
  <si>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</si>
  <si>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</si>
  <si>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</si>
  <si>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</si>
  <si>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</si>
  <si>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</si>
  <si>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</si>
  <si>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</si>
  <si>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</si>
  <si>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</si>
  <si>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</si>
  <si>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</si>
  <si>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</si>
  <si>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</si>
  <si>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</si>
  <si>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</si>
  <si>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</si>
  <si>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</si>
  <si>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</si>
  <si>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</si>
  <si>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</si>
  <si>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</si>
  <si>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</si>
  <si>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</si>
  <si>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</si>
  <si>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</si>
  <si>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</si>
  <si>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</si>
  <si>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</si>
  <si>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</si>
  <si>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</si>
  <si>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</si>
  <si>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</si>
  <si>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</si>
  <si>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</si>
  <si>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</si>
  <si>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</si>
  <si>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</si>
  <si>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</si>
  <si>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</si>
  <si>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</si>
  <si>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</si>
  <si>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</si>
  <si>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</si>
  <si>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</si>
  <si>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</si>
  <si>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</si>
  <si>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</si>
  <si>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</si>
  <si>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</si>
  <si>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</si>
  <si>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</si>
  <si>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</si>
  <si>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</si>
  <si>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</si>
  <si>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</si>
  <si>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</si>
  <si>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</si>
  <si>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</si>
  <si>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</si>
  <si>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</si>
  <si>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</si>
  <si>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</si>
  <si>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</si>
  <si>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</si>
  <si>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</si>
  <si>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</si>
  <si>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</si>
  <si>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</si>
  <si>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</si>
  <si>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</si>
  <si>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</si>
  <si>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</si>
  <si>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</si>
  <si>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</si>
  <si>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</si>
  <si>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</si>
  <si>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</si>
  <si>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</si>
  <si>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</si>
  <si>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</si>
  <si>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</si>
  <si>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</si>
  <si>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</si>
  <si>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</si>
  <si>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</si>
  <si>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</si>
  <si>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</si>
  <si>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</si>
  <si>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</si>
  <si>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</si>
  <si>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</si>
  <si>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</si>
  <si>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</si>
  <si>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</si>
  <si>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</si>
  <si>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</si>
  <si>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</si>
  <si>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</si>
  <si>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</si>
  <si>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</si>
  <si>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</si>
  <si>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</si>
  <si>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</si>
  <si>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</si>
  <si>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</si>
  <si>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</si>
  <si>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</si>
  <si>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</si>
  <si>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</si>
  <si>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</si>
  <si>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</si>
  <si>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</si>
  <si>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</si>
  <si>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</si>
  <si>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</si>
  <si>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</si>
  <si>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</si>
  <si>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</si>
  <si>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</si>
  <si>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</si>
  <si>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</si>
  <si>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</si>
  <si>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</si>
  <si>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</si>
  <si>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</si>
  <si>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</si>
  <si>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</si>
  <si>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</si>
  <si>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</si>
  <si>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</si>
  <si>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</si>
  <si>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</si>
  <si>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</si>
  <si>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</si>
  <si>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</si>
  <si>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</si>
  <si>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</si>
  <si>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</si>
  <si>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</si>
  <si>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</si>
  <si>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</si>
  <si>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</si>
  <si>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</si>
  <si>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</si>
  <si>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</si>
  <si>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</si>
  <si>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</si>
  <si>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</si>
  <si>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</si>
  <si>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</si>
  <si>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</si>
  <si>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</si>
  <si>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</si>
  <si>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</si>
  <si>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</si>
  <si>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</si>
  <si>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</si>
  <si>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</si>
  <si>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</si>
  <si>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</si>
  <si>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</si>
  <si>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</si>
  <si>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</si>
  <si>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</si>
  <si>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</si>
  <si>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</si>
  <si>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</si>
  <si>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</si>
  <si>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</si>
  <si>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</si>
  <si>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</si>
  <si>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</si>
  <si>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</si>
  <si>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</si>
  <si>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</si>
  <si>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</si>
  <si>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</si>
  <si>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</si>
  <si>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</si>
  <si>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</si>
  <si>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</si>
  <si>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</si>
  <si>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</si>
  <si>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</si>
  <si>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</si>
  <si>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</si>
  <si>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</si>
  <si>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</si>
  <si>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</si>
  <si>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</si>
  <si>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</si>
  <si>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</si>
  <si>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</si>
  <si>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</si>
  <si>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</si>
  <si>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</si>
  <si>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</si>
  <si>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</si>
  <si>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</si>
  <si>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</si>
  <si>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</si>
  <si>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</si>
  <si>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</si>
  <si>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</si>
  <si>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</si>
  <si>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</si>
  <si>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</si>
  <si>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</si>
  <si>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</si>
  <si>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</si>
  <si>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</si>
  <si>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</si>
  <si>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</si>
  <si>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</si>
  <si>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</si>
  <si>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</si>
  <si>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</si>
  <si>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</si>
  <si>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</si>
  <si>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</si>
  <si>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</si>
  <si>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</si>
  <si>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</si>
  <si>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</si>
  <si>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</si>
  <si>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</si>
  <si>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</si>
  <si>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</si>
  <si>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</si>
  <si>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</si>
  <si>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</si>
  <si>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</si>
  <si>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</si>
  <si>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</si>
  <si>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</si>
  <si>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</si>
  <si>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</si>
  <si>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</si>
  <si>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</si>
  <si>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</si>
  <si>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</si>
  <si>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</si>
  <si>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</si>
  <si>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</si>
  <si>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</si>
  <si>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</si>
  <si>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</si>
  <si>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</si>
  <si>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</si>
  <si>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</si>
  <si>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</si>
  <si>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</si>
  <si>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</si>
  <si>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</si>
  <si>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</si>
  <si>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</si>
  <si>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</si>
  <si>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</si>
  <si>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</si>
  <si>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</si>
  <si>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</si>
  <si>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</si>
  <si>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</si>
  <si>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</si>
  <si>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</si>
  <si>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</si>
  <si>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</si>
  <si>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</si>
  <si>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</si>
  <si>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</si>
  <si>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</si>
  <si>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</si>
  <si>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</si>
  <si>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</si>
  <si>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</si>
  <si>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</si>
  <si>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</si>
  <si>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</si>
  <si>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</si>
  <si>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</si>
  <si>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</si>
  <si>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</si>
  <si>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</si>
  <si>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</si>
  <si>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</si>
  <si>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</si>
  <si>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</si>
  <si>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</si>
  <si>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</si>
  <si>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</si>
  <si>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</si>
  <si>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</si>
  <si>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</si>
  <si>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</si>
  <si>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</si>
  <si>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</si>
  <si>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</si>
  <si>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</si>
  <si>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</si>
  <si>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</si>
  <si>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</si>
  <si>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</si>
  <si>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</si>
  <si>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</si>
  <si>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</si>
  <si>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</si>
  <si>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</si>
  <si>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</si>
  <si>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</si>
  <si>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</si>
  <si>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</si>
  <si>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</si>
  <si>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</si>
  <si>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</si>
  <si>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</si>
  <si>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</si>
  <si>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</si>
  <si>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</si>
  <si>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</si>
  <si>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</si>
  <si>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</si>
  <si>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</si>
  <si>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</si>
  <si>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</si>
  <si>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</si>
  <si>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</si>
  <si>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</si>
  <si>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</si>
  <si>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</si>
  <si>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</si>
  <si>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</si>
  <si>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</si>
  <si>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</si>
  <si>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</si>
  <si>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</si>
  <si>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</si>
  <si>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</si>
  <si>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</si>
  <si>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</si>
  <si>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</si>
  <si>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</si>
  <si>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</si>
  <si>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</si>
  <si>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</si>
  <si>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</si>
  <si>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</si>
  <si>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</si>
  <si>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</si>
  <si>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</si>
  <si>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</si>
  <si>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</si>
  <si>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</si>
  <si>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</si>
  <si>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</si>
  <si>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</si>
  <si>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</si>
  <si>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</si>
  <si>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</si>
  <si>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</si>
  <si>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</si>
  <si>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</si>
  <si>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</si>
  <si>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</si>
  <si>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</si>
  <si>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</si>
  <si>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</si>
  <si>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</si>
  <si>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</si>
  <si>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</si>
  <si>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</si>
  <si>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</si>
  <si>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</si>
  <si>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</si>
  <si>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</si>
  <si>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</si>
  <si>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</si>
  <si>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</si>
  <si>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</si>
  <si>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</si>
  <si>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</si>
  <si>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</si>
  <si>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</si>
  <si>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</si>
  <si>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</si>
  <si>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</si>
  <si>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</si>
  <si>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</si>
  <si>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</si>
  <si>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</si>
  <si>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</si>
  <si>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</si>
  <si>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</si>
  <si>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</si>
  <si>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</si>
  <si>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</si>
  <si>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</si>
  <si>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</si>
  <si>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</si>
  <si>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</si>
  <si>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</si>
  <si>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</si>
  <si>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</si>
  <si>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</si>
  <si>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</si>
  <si>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</si>
  <si>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</si>
  <si>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</si>
  <si>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</si>
  <si>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</si>
  <si>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</si>
  <si>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</si>
  <si>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</si>
  <si>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</si>
  <si>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</si>
  <si>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</si>
  <si>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</si>
  <si>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</si>
  <si>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</si>
  <si>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</si>
  <si>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</si>
  <si>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</si>
  <si>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</si>
  <si>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</si>
  <si>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</si>
  <si>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</si>
  <si>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</si>
  <si>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</si>
  <si>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</si>
  <si>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</si>
  <si>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</si>
  <si>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</si>
  <si>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</si>
  <si>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</si>
  <si>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</si>
  <si>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</si>
  <si>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</si>
  <si>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</si>
  <si>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</si>
  <si>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</si>
  <si>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</si>
  <si>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</si>
  <si>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</si>
  <si>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</si>
  <si>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</si>
  <si>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</si>
  <si>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</si>
  <si>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</si>
  <si>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</si>
  <si>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</si>
  <si>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</si>
  <si>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</si>
  <si>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</si>
  <si>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</si>
  <si>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</si>
  <si>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</si>
  <si>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</si>
  <si>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</si>
  <si>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</si>
  <si>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</si>
  <si>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</si>
  <si>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</si>
  <si>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</si>
  <si>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</si>
  <si>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</si>
  <si>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</si>
  <si>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</si>
  <si>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</si>
  <si>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</si>
  <si>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</si>
  <si>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</si>
  <si>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</si>
  <si>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</si>
  <si>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</si>
  <si>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</si>
  <si>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</si>
  <si>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</si>
  <si>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</si>
  <si>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</si>
  <si>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</si>
  <si>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</si>
  <si>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</si>
  <si>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</si>
  <si>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</si>
  <si>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</si>
  <si>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</si>
  <si>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</si>
  <si>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</si>
  <si>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</si>
  <si>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</si>
  <si>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</si>
  <si>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</si>
  <si>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</si>
  <si>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</si>
  <si>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</si>
  <si>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</si>
  <si>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</si>
  <si>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</si>
  <si>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</si>
  <si>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</si>
  <si>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</si>
  <si>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</si>
  <si>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</si>
  <si>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</si>
  <si>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</si>
  <si>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</si>
  <si>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</si>
  <si>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</si>
  <si>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</si>
  <si>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</si>
  <si>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</si>
  <si>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</si>
  <si>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</si>
  <si>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</si>
  <si>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</si>
  <si>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</si>
  <si>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</si>
  <si>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</si>
  <si>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</si>
  <si>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</si>
  <si>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</si>
  <si>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</si>
  <si>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</si>
  <si>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</si>
  <si>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</si>
  <si>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</si>
  <si>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</si>
  <si>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</si>
  <si>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</si>
  <si>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</si>
  <si>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</si>
  <si>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</si>
  <si>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</si>
  <si>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</si>
  <si>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</si>
  <si>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</si>
  <si>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</si>
  <si>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</si>
  <si>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</si>
  <si>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</si>
  <si>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</si>
  <si>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</si>
  <si>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</si>
  <si>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</si>
  <si>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</si>
  <si>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</si>
  <si>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</si>
  <si>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</si>
  <si>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</si>
  <si>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</si>
  <si>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</si>
  <si>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</si>
  <si>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</si>
  <si>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</si>
  <si>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</si>
  <si>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</si>
  <si>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</si>
  <si>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</si>
  <si>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</si>
  <si>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</si>
  <si>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</si>
  <si>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</si>
  <si>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</si>
  <si>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</si>
  <si>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</si>
  <si>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</si>
  <si>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</si>
  <si>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</si>
  <si>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</si>
  <si>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</si>
  <si>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</si>
  <si>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</si>
  <si>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</si>
  <si>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</si>
  <si>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</si>
  <si>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</si>
  <si>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</si>
  <si>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</si>
  <si>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</si>
  <si>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</si>
  <si>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</si>
  <si>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</si>
  <si>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</si>
  <si>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</si>
  <si>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</si>
  <si>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</si>
  <si>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</si>
  <si>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</si>
  <si>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</si>
  <si>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</si>
  <si>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</si>
  <si>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</si>
  <si>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</si>
  <si>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</si>
  <si>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</si>
  <si>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</si>
  <si>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</si>
  <si>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</si>
  <si>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</si>
  <si>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</si>
  <si>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</si>
  <si>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</si>
  <si>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</si>
  <si>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</si>
  <si>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</si>
  <si>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</si>
  <si>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</si>
  <si>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</si>
  <si>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</si>
  <si>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</si>
  <si>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</si>
  <si>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</si>
  <si>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</si>
  <si>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</si>
  <si>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</si>
  <si>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</si>
  <si>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</si>
  <si>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</si>
  <si>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</si>
  <si>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</si>
  <si>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</si>
  <si>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</si>
  <si>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</si>
  <si>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</si>
  <si>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</si>
  <si>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</si>
  <si>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</si>
  <si>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</si>
  <si>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</si>
  <si>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</si>
  <si>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</si>
  <si>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</si>
  <si>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</si>
  <si>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</si>
  <si>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</si>
  <si>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</si>
  <si>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</si>
  <si>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</si>
  <si>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</si>
  <si>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</si>
  <si>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</si>
  <si>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</si>
  <si>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</si>
  <si>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</si>
  <si>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</si>
  <si>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</si>
  <si>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</si>
  <si>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</si>
  <si>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</si>
  <si>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</si>
  <si>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</si>
  <si>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</si>
  <si>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</si>
  <si>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</si>
  <si>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</si>
  <si>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</si>
  <si>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</si>
  <si>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</si>
  <si>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</si>
  <si>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</si>
  <si>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</si>
  <si>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</si>
  <si>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</si>
  <si>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</si>
  <si>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</si>
  <si>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</si>
  <si>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</si>
  <si>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</si>
  <si>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</si>
  <si>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</si>
  <si>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</si>
  <si>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</si>
  <si>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</si>
  <si>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</si>
  <si>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</si>
  <si>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</si>
  <si>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</si>
  <si>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</si>
  <si>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</si>
  <si>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</si>
  <si>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</si>
  <si>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</si>
  <si>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</si>
  <si>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</si>
  <si>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</si>
  <si>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</si>
  <si>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</si>
  <si>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</si>
  <si>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</si>
  <si>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</si>
  <si>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</si>
  <si>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</si>
  <si>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</si>
  <si>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</si>
  <si>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</si>
  <si>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</si>
  <si>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</si>
  <si>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</si>
  <si>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</si>
  <si>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</si>
  <si>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</si>
  <si>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</si>
  <si>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</si>
  <si>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</si>
  <si>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</si>
  <si>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</si>
  <si>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</si>
  <si>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</si>
  <si>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</si>
  <si>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</si>
  <si>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</si>
  <si>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</si>
  <si>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</si>
  <si>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</si>
  <si>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</si>
  <si>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</si>
  <si>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</si>
  <si>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</si>
  <si>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</si>
  <si>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</si>
  <si>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</si>
  <si>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</si>
  <si>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</si>
  <si>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</si>
  <si>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</si>
  <si>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</si>
  <si>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</si>
  <si>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</si>
  <si>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</si>
  <si>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</si>
  <si>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</si>
  <si>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</si>
  <si>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</si>
  <si>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</si>
  <si>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</si>
  <si>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</si>
  <si>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</si>
  <si>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</si>
  <si>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</si>
  <si>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</si>
  <si>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</si>
  <si>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</si>
  <si>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</si>
  <si>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</si>
  <si>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</si>
  <si>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</si>
  <si>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</si>
  <si>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</si>
  <si>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</si>
  <si>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</si>
  <si>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</si>
  <si>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</si>
  <si>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</si>
  <si>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</si>
  <si>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</si>
  <si>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</si>
  <si>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</si>
  <si>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</si>
  <si>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</si>
  <si>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</si>
  <si>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</si>
  <si>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</si>
  <si>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</si>
  <si>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</si>
  <si>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</si>
  <si>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</si>
  <si>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</si>
  <si>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</si>
  <si>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</si>
  <si>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</si>
  <si>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</si>
  <si>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</si>
  <si>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</si>
  <si>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</si>
  <si>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</si>
  <si>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</si>
  <si>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</si>
  <si>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</si>
  <si>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</si>
  <si>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</si>
  <si>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</si>
  <si>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</si>
  <si>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</si>
  <si>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</si>
  <si>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</si>
  <si>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</si>
  <si>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</si>
  <si>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</si>
  <si>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</si>
  <si>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</si>
  <si>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</si>
  <si>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</si>
  <si>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</si>
  <si>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</si>
  <si>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</si>
  <si>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</si>
  <si>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</si>
  <si>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</si>
  <si>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</si>
  <si>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</si>
  <si>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</si>
  <si>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</si>
  <si>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</si>
  <si>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</si>
  <si>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</si>
  <si>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</si>
  <si>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</si>
  <si>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</si>
  <si>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</si>
  <si>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</si>
  <si>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</si>
  <si>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</si>
  <si>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</si>
  <si>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</si>
  <si>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</si>
  <si>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</si>
  <si>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</si>
  <si>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</si>
  <si>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</si>
  <si>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</si>
  <si>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</si>
  <si>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</si>
  <si>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</si>
  <si>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</si>
  <si>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</si>
  <si>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</si>
  <si>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</si>
  <si>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</si>
  <si>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</si>
  <si>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</si>
  <si>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</si>
  <si>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</si>
  <si>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</si>
  <si>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</si>
  <si>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</si>
  <si>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</si>
  <si>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</si>
  <si>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</si>
  <si>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</si>
  <si>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</si>
  <si>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</si>
  <si>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</si>
  <si>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</si>
  <si>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</si>
  <si>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</si>
  <si>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</si>
  <si>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</si>
  <si>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</si>
  <si>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</si>
  <si>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</si>
  <si>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</si>
  <si>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</si>
  <si>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</si>
  <si>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</si>
  <si>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</si>
  <si>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</si>
  <si>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</si>
  <si>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</si>
  <si>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</si>
  <si>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</si>
  <si>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</si>
  <si>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</si>
  <si>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</si>
  <si>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</si>
  <si>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</si>
  <si>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</si>
  <si>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</si>
  <si>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</si>
  <si>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</si>
  <si>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</si>
  <si>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</si>
  <si>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</si>
  <si>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</si>
  <si>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</si>
  <si>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</si>
  <si>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</si>
  <si>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</si>
  <si>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</si>
  <si>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</si>
  <si>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</si>
  <si>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</si>
  <si>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</si>
  <si>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</si>
  <si>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</si>
  <si>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</si>
  <si>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</si>
  <si>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</si>
  <si>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</si>
  <si>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</si>
  <si>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</si>
  <si>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</si>
  <si>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</si>
  <si>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</si>
  <si>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</si>
  <si>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</si>
  <si>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</si>
  <si>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</si>
  <si>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</si>
  <si>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</si>
  <si>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</si>
  <si>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</si>
  <si>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</si>
  <si>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</si>
  <si>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</si>
  <si>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</si>
  <si>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</si>
  <si>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</si>
  <si>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</si>
  <si>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</si>
  <si>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</si>
  <si>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</si>
  <si>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</si>
  <si>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</si>
  <si>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</si>
  <si>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</si>
  <si>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</si>
  <si>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</si>
  <si>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</si>
  <si>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</si>
  <si>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</si>
  <si>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</si>
  <si>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</si>
  <si>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</si>
  <si>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</si>
  <si>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</si>
  <si>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</si>
  <si>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</si>
  <si>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</si>
  <si>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</si>
  <si>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</si>
  <si>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</si>
  <si>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</si>
  <si>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</si>
  <si>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</si>
  <si>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</si>
  <si>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</si>
  <si>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</si>
  <si>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</si>
  <si>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</si>
  <si>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</si>
  <si>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</si>
  <si>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</si>
  <si>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</si>
  <si>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</si>
  <si>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</si>
  <si>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</si>
  <si>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</si>
  <si>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</si>
  <si>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</si>
  <si>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</si>
  <si>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</si>
  <si>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</si>
  <si>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</si>
  <si>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</si>
  <si>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</si>
  <si>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</si>
  <si>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</si>
  <si>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</si>
  <si>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</si>
  <si>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</si>
  <si>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</si>
  <si>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</si>
  <si>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</si>
  <si>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</si>
  <si>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</si>
  <si>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</si>
  <si>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</si>
  <si>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</si>
  <si>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</si>
  <si>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</si>
  <si>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</si>
  <si>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</si>
  <si>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</si>
  <si>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</si>
  <si>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</si>
  <si>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</si>
  <si>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</si>
  <si>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</si>
  <si>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</si>
  <si>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</si>
  <si>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</si>
  <si>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</si>
  <si>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</si>
  <si>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</si>
  <si>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</si>
  <si>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</si>
  <si>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</si>
  <si>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</si>
  <si>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</si>
  <si>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</si>
  <si>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</si>
  <si>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</si>
  <si>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</si>
  <si>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</si>
  <si>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</si>
  <si>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</si>
  <si>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</si>
  <si>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</si>
  <si>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</si>
  <si>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</si>
  <si>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</si>
  <si>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</si>
  <si>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</si>
  <si>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</si>
  <si>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</si>
  <si>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</si>
  <si>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</si>
  <si>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</si>
  <si>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</si>
  <si>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</si>
  <si>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</si>
  <si>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</si>
  <si>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</si>
  <si>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</si>
  <si>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</si>
  <si>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</si>
  <si>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</si>
  <si>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</si>
  <si>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</si>
  <si>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</si>
  <si>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</si>
  <si>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</si>
  <si>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</si>
  <si>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</si>
  <si>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</si>
  <si>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</si>
  <si>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</si>
  <si>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</si>
  <si>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</si>
  <si>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</si>
  <si>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</si>
  <si>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</si>
  <si>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</si>
  <si>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</si>
  <si>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</si>
  <si>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</si>
  <si>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</si>
  <si>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</si>
  <si>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</si>
  <si>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</si>
  <si>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</si>
  <si>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</si>
  <si>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</si>
  <si>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</si>
  <si>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</si>
  <si>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</si>
  <si>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</si>
  <si>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</si>
  <si>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</si>
  <si>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</si>
  <si>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</si>
  <si>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</si>
  <si>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</si>
  <si>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</si>
  <si>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</si>
  <si>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</si>
  <si>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</si>
  <si>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</si>
  <si>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</si>
  <si>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</si>
  <si>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</si>
  <si>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</si>
  <si>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</si>
  <si>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</si>
  <si>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</si>
  <si>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</si>
  <si>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</si>
  <si>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</si>
  <si>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</si>
  <si>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</si>
  <si>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</si>
  <si>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</si>
  <si>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</si>
  <si>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</si>
  <si>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</si>
  <si>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</si>
  <si>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</si>
  <si>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</si>
  <si>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</si>
  <si>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</si>
  <si>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</si>
  <si>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</si>
  <si>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</si>
  <si>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</si>
  <si>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</si>
  <si>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</si>
  <si>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</si>
  <si>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</si>
  <si>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</si>
  <si>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</si>
  <si>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</si>
  <si>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</si>
  <si>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</si>
  <si>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</si>
  <si>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</si>
  <si>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</si>
  <si>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</si>
  <si>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</si>
  <si>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</si>
  <si>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</si>
  <si>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</si>
  <si>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</si>
  <si>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</si>
  <si>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</si>
  <si>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</si>
  <si>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</si>
  <si>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</si>
  <si>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</si>
  <si>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</si>
  <si>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</si>
  <si>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</si>
  <si>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</si>
  <si>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</si>
  <si>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</si>
  <si>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</si>
  <si>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</si>
  <si>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</si>
  <si>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</si>
  <si>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</si>
  <si>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</si>
  <si>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</si>
  <si>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</si>
  <si>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</si>
  <si>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</si>
  <si>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</si>
  <si>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</si>
  <si>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</si>
  <si>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</si>
  <si>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</si>
  <si>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</si>
  <si>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</si>
  <si>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</si>
  <si>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</si>
  <si>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</si>
  <si>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</si>
  <si>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</si>
  <si>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</si>
  <si>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</si>
  <si>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</si>
  <si>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</si>
  <si>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</si>
  <si>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</si>
  <si>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</si>
  <si>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</si>
  <si>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</si>
  <si>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</si>
  <si>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</si>
  <si>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</si>
  <si>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</si>
  <si>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</si>
  <si>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</si>
  <si>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</si>
  <si>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</si>
  <si>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</si>
  <si>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</si>
  <si>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</si>
  <si>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</si>
  <si>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</si>
  <si>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</si>
  <si>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</si>
  <si>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</si>
  <si>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</si>
  <si>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</si>
  <si>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</si>
  <si>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</si>
  <si>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</si>
  <si>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</si>
  <si>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</si>
  <si>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</si>
  <si>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</si>
  <si>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</si>
  <si>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</si>
  <si>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</si>
  <si>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</si>
  <si>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</si>
  <si>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</si>
  <si>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</si>
  <si>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</si>
  <si>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</si>
  <si>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</si>
  <si>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</si>
  <si>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</si>
  <si>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</si>
  <si>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</si>
  <si>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</si>
  <si>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</si>
  <si>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</si>
  <si>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</si>
  <si>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</si>
  <si>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</si>
  <si>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</si>
  <si>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</si>
  <si>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</si>
  <si>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</si>
  <si>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</si>
  <si>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</si>
  <si>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</si>
  <si>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</si>
  <si>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</si>
  <si>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</si>
  <si>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</si>
  <si>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</si>
  <si>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</si>
  <si>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</si>
  <si>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</si>
  <si>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</si>
  <si>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</si>
  <si>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</si>
  <si>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</si>
  <si>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</si>
  <si>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</si>
  <si>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</si>
  <si>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</si>
  <si>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</si>
  <si>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</si>
  <si>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</si>
  <si>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</si>
  <si>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</si>
  <si>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</si>
  <si>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</si>
  <si>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</si>
  <si>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</si>
  <si>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</si>
  <si>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</si>
  <si>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</si>
  <si>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</si>
  <si>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</si>
  <si>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</si>
  <si>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</si>
  <si>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</si>
  <si>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</si>
  <si>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</si>
  <si>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</si>
  <si>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</si>
  <si>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</si>
  <si>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</si>
  <si>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</si>
  <si>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</si>
  <si>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</si>
  <si>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</si>
  <si>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</si>
  <si>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</si>
  <si>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</si>
  <si>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</si>
  <si>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</si>
  <si>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</si>
  <si>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</si>
  <si>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</si>
  <si>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</si>
  <si>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</si>
  <si>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</si>
  <si>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</si>
  <si>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</si>
  <si>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</si>
  <si>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</si>
  <si>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</si>
  <si>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</si>
  <si>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</si>
  <si>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</si>
  <si>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</si>
  <si>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Portsmouth School Department (SAU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</si>
</sst>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7"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449</v>
      </c>
      <c r="C2" s="21">
        <v>449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v>1336.39</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v>530344.5</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48354.97</v>
      </c>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39641.619999999995</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0</v>
      </c>
      <c r="G19" s="41">
        <f>SUM(G9:G18)</f>
        <v>89332.98</v>
      </c>
      <c r="H19" s="41">
        <f>SUM(H9:H18)</f>
        <v>530344.5</v>
      </c>
      <c r="I19" s="41">
        <f>SUM(I9:I18)</f>
        <v>0</v>
      </c>
      <c r="J19" s="41">
        <f>SUM(J9:J18)</f>
        <v>0</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59771.4</v>
      </c>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v>1115.4100000000001</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25974.94</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0</v>
      </c>
      <c r="G32" s="41">
        <f>SUM(G22:G31)</f>
        <v>86861.75</v>
      </c>
      <c r="H32" s="41">
        <f>SUM(H22:H31)</f>
        <v>0</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f>1986.47+484.76</f>
        <v>2471.23</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530344.5</v>
      </c>
      <c r="I48" s="18"/>
      <c r="J48" s="13">
        <f>SUM(I460)</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0</v>
      </c>
      <c r="G51" s="41">
        <f>SUM(G35:G50)</f>
        <v>2471.23</v>
      </c>
      <c r="H51" s="41">
        <f>SUM(H35:H50)</f>
        <v>530344.5</v>
      </c>
      <c r="I51" s="41">
        <f>SUM(I35:I50)</f>
        <v>0</v>
      </c>
      <c r="J51" s="41">
        <f>SUM(J35:J50)</f>
        <v>0</v>
      </c>
      <c r="K51" s="45" t="s">
        <v>288</v>
      </c>
      <c r="L51" s="45" t="s">
        <v>288</v>
      </c>
      <c r="N51" s="262"/>
    </row>
    <row r="52" spans="1:14" s="3" customFormat="1" ht="12.2" customHeight="1" thickTop="1" x14ac:dyDescent="0.15">
      <c r="A52" s="38" t="s">
        <v>455</v>
      </c>
      <c r="B52" s="39" t="s">
        <v>289</v>
      </c>
      <c r="C52" s="6">
        <v>37</v>
      </c>
      <c r="D52" s="39" t="s">
        <v>653</v>
      </c>
      <c r="E52" s="39"/>
      <c r="F52" s="41">
        <f>F51+F32</f>
        <v>0</v>
      </c>
      <c r="G52" s="41">
        <f>G51+G32</f>
        <v>89332.98</v>
      </c>
      <c r="H52" s="41">
        <f>H51+H32</f>
        <v>530344.5</v>
      </c>
      <c r="I52" s="41">
        <f>I51+I32</f>
        <v>0</v>
      </c>
      <c r="J52" s="41">
        <f>J51+J32</f>
        <v>0</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31792499.109999999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v>206811.36</v>
      </c>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31792499.109999999</v>
      </c>
      <c r="G60" s="41">
        <f>SUM(G57:G59)</f>
        <v>0</v>
      </c>
      <c r="H60" s="41">
        <f>SUM(H57:H59)</f>
        <v>206811.36</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52868.5</v>
      </c>
      <c r="G63" s="24" t="s">
        <v>288</v>
      </c>
      <c r="H63" s="18">
        <v>29705.1</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6560918.5499999998</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v>878638.45</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v>23174.6</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v>6300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6613787.0499999998</v>
      </c>
      <c r="G79" s="45" t="s">
        <v>288</v>
      </c>
      <c r="H79" s="41">
        <f>SUM(H63:H78)</f>
        <v>937818.14999999991</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62435.48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v>12495</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1150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97364.87</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38233.47</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1996.34</v>
      </c>
      <c r="G110" s="18">
        <v>8479.83</v>
      </c>
      <c r="H110" s="18">
        <v>138787.89000000001</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41379.81</v>
      </c>
      <c r="G111" s="41">
        <f>SUM(G96:G110)</f>
        <v>70915.31</v>
      </c>
      <c r="H111" s="41">
        <f>SUM(H96:H110)</f>
        <v>248647.76</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38447665.969999999</v>
      </c>
      <c r="G112" s="41">
        <f>G60+G111</f>
        <v>70915.31</v>
      </c>
      <c r="H112" s="41">
        <f>H60+H79+H94+H111</f>
        <v>1393277.2699999998</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11597138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2283.3200000000002</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11599421.32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1757196.45</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204528.04</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9031.67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v>79426.38</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1961724.49</v>
      </c>
      <c r="G136" s="41">
        <f>SUM(G123:G135)</f>
        <v>9031.67</v>
      </c>
      <c r="H136" s="41">
        <f>SUM(H123:H135)</f>
        <v>79426.38</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13561145.810000001</v>
      </c>
      <c r="G140" s="41">
        <f>G121+SUM(G136:G137)</f>
        <v>9031.67</v>
      </c>
      <c r="H140" s="41">
        <f>H121+SUM(H136:H139)</f>
        <v>79426.38</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434676.31</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129588.63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92012.46</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356972.25+26721.92</f>
        <v>383694.17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680646.93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c r="G160" s="24" t="s">
        <v>288</v>
      </c>
      <c r="H160" s="18">
        <v>179984.88</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69898+440200</f>
        <v>510098</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211625.64+73200</f>
        <v>284825.64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0</v>
      </c>
      <c r="G163" s="41">
        <f>SUM(G150:G162)</f>
        <v>383694.17</v>
      </c>
      <c r="H163" s="41">
        <f>SUM(H150:H162)</f>
        <v>2311832.85</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0</v>
      </c>
      <c r="G170" s="41">
        <f>G147+G163+SUM(G164:G169)</f>
        <v>383694.17</v>
      </c>
      <c r="H170" s="41">
        <f>H147+H163+SUM(H164:H169)</f>
        <v>2311832.85</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246360</v>
      </c>
      <c r="H180" s="18">
        <v>1091381</v>
      </c>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246360</v>
      </c>
      <c r="H184" s="41">
        <f>SUM(H180:H183)</f>
        <v>1091381</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246360</v>
      </c>
      <c r="H193" s="41">
        <f>+H184+SUM(H189:H192)</f>
        <v>1091381</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52008811.780000001</v>
      </c>
      <c r="G194" s="47">
        <f>G112+G140+G170+G193</f>
        <v>710001.14999999991</v>
      </c>
      <c r="H194" s="47">
        <f>H112+H140+H170+H193</f>
        <v>4875917.5</v>
      </c>
      <c r="I194" s="47">
        <f>I112+I140+I170+I193</f>
        <v>0</v>
      </c>
      <c r="J194" s="47">
        <f>J112+J140+J193</f>
        <v>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5448578.0800000001</v>
      </c>
      <c r="G198" s="18">
        <v>3171897.8099999996</v>
      </c>
      <c r="H198" s="18">
        <v>21294.02</v>
      </c>
      <c r="I198" s="18">
        <v>169172.22999999998</v>
      </c>
      <c r="J198" s="18">
        <v>46329.23</v>
      </c>
      <c r="K198" s="18"/>
      <c r="L198" s="19">
        <f>SUM(F198:K198)</f>
        <v>8857271.370000001</v>
      </c>
      <c r="M198" s="8"/>
      <c r="N198" s="264"/>
    </row>
    <row r="199" spans="1:14" s="3" customFormat="1" ht="12.2" customHeight="1" x14ac:dyDescent="0.15">
      <c r="A199" s="1" t="s">
        <v>439</v>
      </c>
      <c r="B199" s="2" t="s">
        <v>341</v>
      </c>
      <c r="C199" s="2" t="s">
        <v>291</v>
      </c>
      <c r="D199" s="2" t="s">
        <v>431</v>
      </c>
      <c r="E199" s="6">
        <v>1200</v>
      </c>
      <c r="F199" s="18">
        <v>1929500.84</v>
      </c>
      <c r="G199" s="18">
        <v>975871.62000000011</v>
      </c>
      <c r="H199" s="18">
        <v>552018.83000000007</v>
      </c>
      <c r="I199" s="18">
        <v>1888.44</v>
      </c>
      <c r="J199" s="18">
        <v>4223.8</v>
      </c>
      <c r="K199" s="18"/>
      <c r="L199" s="19">
        <f>SUM(F199:K199)</f>
        <v>3463503.53</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33956.120000000003</v>
      </c>
      <c r="G201" s="18">
        <v>8367.08</v>
      </c>
      <c r="H201" s="18"/>
      <c r="I201" s="18"/>
      <c r="J201" s="18"/>
      <c r="K201" s="18"/>
      <c r="L201" s="19">
        <f>SUM(F201:K201)</f>
        <v>42323.200000000004</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2048549.28</v>
      </c>
      <c r="G203" s="18">
        <v>1178240.8700000001</v>
      </c>
      <c r="H203" s="18">
        <v>120898.62999999999</v>
      </c>
      <c r="I203" s="18">
        <v>17577.030000000002</v>
      </c>
      <c r="J203" s="18">
        <v>883.7</v>
      </c>
      <c r="K203" s="18">
        <v>2772</v>
      </c>
      <c r="L203" s="19">
        <f t="shared" ref="L203:L209" si="0">SUM(F203:K203)</f>
        <v>3368921.5100000002</v>
      </c>
      <c r="M203" s="8"/>
      <c r="N203" s="264"/>
    </row>
    <row r="204" spans="1:14" s="3" customFormat="1" ht="12.2" customHeight="1" x14ac:dyDescent="0.15">
      <c r="A204" s="1" t="s">
        <v>443</v>
      </c>
      <c r="B204" s="2" t="s">
        <v>341</v>
      </c>
      <c r="C204" s="2" t="s">
        <v>295</v>
      </c>
      <c r="D204" s="2" t="s">
        <v>431</v>
      </c>
      <c r="E204" s="6">
        <v>2200</v>
      </c>
      <c r="F204" s="18">
        <v>142351.85</v>
      </c>
      <c r="G204" s="18">
        <v>70750.509999999995</v>
      </c>
      <c r="H204" s="18">
        <v>4982.92</v>
      </c>
      <c r="I204" s="18">
        <v>29449.189999999995</v>
      </c>
      <c r="J204" s="18">
        <v>64277.72</v>
      </c>
      <c r="K204" s="18"/>
      <c r="L204" s="19">
        <f t="shared" si="0"/>
        <v>311812.19</v>
      </c>
      <c r="M204" s="8"/>
      <c r="N204" s="264"/>
    </row>
    <row r="205" spans="1:14" s="3" customFormat="1" ht="12.2" customHeight="1" x14ac:dyDescent="0.15">
      <c r="A205" s="1" t="s">
        <v>444</v>
      </c>
      <c r="B205" s="2" t="s">
        <v>341</v>
      </c>
      <c r="C205" s="2" t="s">
        <v>296</v>
      </c>
      <c r="D205" s="2" t="s">
        <v>431</v>
      </c>
      <c r="E205" s="6">
        <v>2300</v>
      </c>
      <c r="F205" s="18">
        <v>191221.42</v>
      </c>
      <c r="G205" s="18">
        <v>97943.96</v>
      </c>
      <c r="H205" s="18">
        <v>56306.79</v>
      </c>
      <c r="I205" s="18">
        <v>9617.3700000000008</v>
      </c>
      <c r="J205" s="18"/>
      <c r="K205" s="18">
        <v>5475.41</v>
      </c>
      <c r="L205" s="19">
        <f t="shared" si="0"/>
        <v>360564.94999999995</v>
      </c>
      <c r="M205" s="8"/>
      <c r="N205" s="264"/>
    </row>
    <row r="206" spans="1:14" s="3" customFormat="1" ht="12.2" customHeight="1" x14ac:dyDescent="0.15">
      <c r="A206" s="1" t="s">
        <v>445</v>
      </c>
      <c r="B206" s="2" t="s">
        <v>341</v>
      </c>
      <c r="C206" s="2" t="s">
        <v>297</v>
      </c>
      <c r="D206" s="2" t="s">
        <v>431</v>
      </c>
      <c r="E206" s="6">
        <v>2400</v>
      </c>
      <c r="F206" s="18">
        <v>628658.37</v>
      </c>
      <c r="G206" s="18">
        <v>346910.24</v>
      </c>
      <c r="H206" s="18">
        <v>1966.55</v>
      </c>
      <c r="I206" s="18">
        <v>2446.29</v>
      </c>
      <c r="J206" s="18"/>
      <c r="K206" s="18"/>
      <c r="L206" s="19">
        <f t="shared" si="0"/>
        <v>979981.45000000007</v>
      </c>
      <c r="M206" s="8"/>
      <c r="N206" s="264"/>
    </row>
    <row r="207" spans="1:14" s="3" customFormat="1" ht="12.2" customHeight="1" x14ac:dyDescent="0.15">
      <c r="A207" s="1" t="s">
        <v>446</v>
      </c>
      <c r="B207" s="2" t="s">
        <v>341</v>
      </c>
      <c r="C207" s="2" t="s">
        <v>298</v>
      </c>
      <c r="D207" s="2" t="s">
        <v>431</v>
      </c>
      <c r="E207" s="6">
        <v>2500</v>
      </c>
      <c r="F207" s="18">
        <v>115433.54</v>
      </c>
      <c r="G207" s="18">
        <v>53860.45</v>
      </c>
      <c r="H207" s="18">
        <v>59325.009999999995</v>
      </c>
      <c r="I207" s="18">
        <v>1326.15</v>
      </c>
      <c r="J207" s="18">
        <v>129.6</v>
      </c>
      <c r="K207" s="18">
        <v>456.42</v>
      </c>
      <c r="L207" s="19">
        <f t="shared" si="0"/>
        <v>230531.17</v>
      </c>
      <c r="M207" s="8"/>
      <c r="N207" s="264"/>
    </row>
    <row r="208" spans="1:14" s="3" customFormat="1" ht="12.2" customHeight="1" x14ac:dyDescent="0.15">
      <c r="A208" s="1" t="s">
        <v>447</v>
      </c>
      <c r="B208" s="2" t="s">
        <v>341</v>
      </c>
      <c r="C208" s="2" t="s">
        <v>299</v>
      </c>
      <c r="D208" s="2" t="s">
        <v>431</v>
      </c>
      <c r="E208" s="6">
        <v>2600</v>
      </c>
      <c r="F208" s="18">
        <v>530108.76</v>
      </c>
      <c r="G208" s="18">
        <v>270140.58999999997</v>
      </c>
      <c r="H208" s="18">
        <v>270632.74</v>
      </c>
      <c r="I208" s="18">
        <v>242547.59</v>
      </c>
      <c r="J208" s="18">
        <v>28074.85</v>
      </c>
      <c r="K208" s="18">
        <v>1396.72</v>
      </c>
      <c r="L208" s="19">
        <f t="shared" si="0"/>
        <v>1342901.25</v>
      </c>
      <c r="M208" s="8"/>
      <c r="N208" s="264"/>
    </row>
    <row r="209" spans="1:14" s="3" customFormat="1" ht="12.2" customHeight="1" x14ac:dyDescent="0.15">
      <c r="A209" s="1" t="s">
        <v>448</v>
      </c>
      <c r="B209" s="2" t="s">
        <v>341</v>
      </c>
      <c r="C209" s="2" t="s">
        <v>300</v>
      </c>
      <c r="D209" s="2" t="s">
        <v>431</v>
      </c>
      <c r="E209" s="6">
        <v>2700</v>
      </c>
      <c r="F209" s="18"/>
      <c r="G209" s="18"/>
      <c r="H209" s="18">
        <v>494845.01</v>
      </c>
      <c r="I209" s="18"/>
      <c r="J209" s="18"/>
      <c r="K209" s="18"/>
      <c r="L209" s="19">
        <f t="shared" si="0"/>
        <v>494845.01</v>
      </c>
      <c r="M209" s="8"/>
      <c r="N209" s="264"/>
    </row>
    <row r="210" spans="1:14" s="3" customFormat="1" ht="12.2" customHeight="1" x14ac:dyDescent="0.15">
      <c r="A210" s="1" t="s">
        <v>449</v>
      </c>
      <c r="B210" s="2" t="s">
        <v>341</v>
      </c>
      <c r="C210" s="2" t="s">
        <v>343</v>
      </c>
      <c r="D210" s="2" t="s">
        <v>431</v>
      </c>
      <c r="E210" s="6">
        <v>2800</v>
      </c>
      <c r="F210" s="18">
        <v>217057.6</v>
      </c>
      <c r="G210" s="18">
        <v>108948.93000000001</v>
      </c>
      <c r="H210" s="18">
        <v>73458.39</v>
      </c>
      <c r="I210" s="18">
        <v>37995.199999999997</v>
      </c>
      <c r="J210" s="18"/>
      <c r="K210" s="18">
        <v>720</v>
      </c>
      <c r="L210" s="19">
        <f>SUM(F210:K210)</f>
        <v>438180.12000000005</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11285415.859999998</v>
      </c>
      <c r="G212" s="41">
        <f t="shared" si="1"/>
        <v>6282932.0599999996</v>
      </c>
      <c r="H212" s="41">
        <f t="shared" si="1"/>
        <v>1655728.8900000001</v>
      </c>
      <c r="I212" s="41">
        <f t="shared" si="1"/>
        <v>512019.49</v>
      </c>
      <c r="J212" s="41">
        <f t="shared" si="1"/>
        <v>143918.90000000002</v>
      </c>
      <c r="K212" s="41">
        <f t="shared" si="1"/>
        <v>10820.55</v>
      </c>
      <c r="L212" s="41">
        <f t="shared" si="1"/>
        <v>19890835.750000004</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2927214.19</v>
      </c>
      <c r="G216" s="18">
        <v>1696357.12</v>
      </c>
      <c r="H216" s="18">
        <v>2547.84</v>
      </c>
      <c r="I216" s="18">
        <v>95562.58</v>
      </c>
      <c r="J216" s="18">
        <v>25870.989999999998</v>
      </c>
      <c r="K216" s="18"/>
      <c r="L216" s="19">
        <f>SUM(F216:K216)</f>
        <v>4747552.7200000007</v>
      </c>
      <c r="M216" s="8"/>
      <c r="N216" s="264"/>
    </row>
    <row r="217" spans="1:14" s="3" customFormat="1" ht="12.2" customHeight="1" x14ac:dyDescent="0.15">
      <c r="A217" s="1" t="s">
        <v>439</v>
      </c>
      <c r="B217" s="2" t="s">
        <v>346</v>
      </c>
      <c r="C217" s="2" t="s">
        <v>291</v>
      </c>
      <c r="D217" s="2" t="s">
        <v>431</v>
      </c>
      <c r="E217" s="6">
        <v>1200</v>
      </c>
      <c r="F217" s="18">
        <v>855392.74</v>
      </c>
      <c r="G217" s="18">
        <v>473685.73</v>
      </c>
      <c r="H217" s="18">
        <v>485709.39999999997</v>
      </c>
      <c r="I217" s="18">
        <v>4648.1499999999996</v>
      </c>
      <c r="J217" s="18"/>
      <c r="K217" s="18"/>
      <c r="L217" s="19">
        <f>SUM(F217:K217)</f>
        <v>1819436.0199999998</v>
      </c>
      <c r="M217" s="8"/>
      <c r="N217" s="264"/>
    </row>
    <row r="218" spans="1:14" s="3" customFormat="1" ht="12.2" customHeight="1" x14ac:dyDescent="0.15">
      <c r="A218" s="1" t="s">
        <v>440</v>
      </c>
      <c r="B218" s="2" t="s">
        <v>346</v>
      </c>
      <c r="C218" s="2" t="s">
        <v>292</v>
      </c>
      <c r="D218" s="2" t="s">
        <v>431</v>
      </c>
      <c r="E218" s="6">
        <v>1300</v>
      </c>
      <c r="F218" s="18">
        <v>349056.72</v>
      </c>
      <c r="G218" s="18">
        <v>199188.91</v>
      </c>
      <c r="H218" s="18"/>
      <c r="I218" s="18">
        <v>5583.66</v>
      </c>
      <c r="J218" s="18">
        <v>1184.01</v>
      </c>
      <c r="K218" s="18"/>
      <c r="L218" s="19">
        <f>SUM(F218:K218)</f>
        <v>555013.30000000005</v>
      </c>
      <c r="M218" s="8"/>
      <c r="N218" s="264"/>
    </row>
    <row r="219" spans="1:14" s="3" customFormat="1" ht="12.2" customHeight="1" x14ac:dyDescent="0.15">
      <c r="A219" s="1" t="s">
        <v>441</v>
      </c>
      <c r="B219" s="2" t="s">
        <v>346</v>
      </c>
      <c r="C219" s="2" t="s">
        <v>293</v>
      </c>
      <c r="D219" s="2" t="s">
        <v>431</v>
      </c>
      <c r="E219" s="6">
        <v>1400</v>
      </c>
      <c r="F219" s="18">
        <v>58881.5</v>
      </c>
      <c r="G219" s="18">
        <v>25971.07</v>
      </c>
      <c r="H219" s="18">
        <v>1781</v>
      </c>
      <c r="I219" s="18">
        <v>16141.79</v>
      </c>
      <c r="J219" s="18"/>
      <c r="K219" s="18"/>
      <c r="L219" s="19">
        <f>SUM(F219:K219)</f>
        <v>102775.36000000002</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551786.82000000007</v>
      </c>
      <c r="G221" s="18">
        <v>310342.29000000004</v>
      </c>
      <c r="H221" s="18">
        <v>20309.03</v>
      </c>
      <c r="I221" s="18">
        <v>5309.84</v>
      </c>
      <c r="J221" s="18">
        <v>510.58</v>
      </c>
      <c r="K221" s="18"/>
      <c r="L221" s="19">
        <f t="shared" ref="L221:L227" si="2">SUM(F221:K221)</f>
        <v>888258.56000000006</v>
      </c>
      <c r="M221" s="8"/>
      <c r="N221" s="264"/>
    </row>
    <row r="222" spans="1:14" s="3" customFormat="1" ht="12.2" customHeight="1" x14ac:dyDescent="0.15">
      <c r="A222" s="1" t="s">
        <v>443</v>
      </c>
      <c r="B222" s="2" t="s">
        <v>346</v>
      </c>
      <c r="C222" s="2" t="s">
        <v>295</v>
      </c>
      <c r="D222" s="2" t="s">
        <v>431</v>
      </c>
      <c r="E222" s="6">
        <v>2200</v>
      </c>
      <c r="F222" s="18">
        <v>88487.97</v>
      </c>
      <c r="G222" s="18">
        <v>30027.260000000002</v>
      </c>
      <c r="H222" s="18">
        <v>2879.02</v>
      </c>
      <c r="I222" s="18">
        <v>18145.28</v>
      </c>
      <c r="J222" s="18">
        <v>35321.129999999997</v>
      </c>
      <c r="K222" s="18"/>
      <c r="L222" s="19">
        <f t="shared" si="2"/>
        <v>174860.66000000003</v>
      </c>
      <c r="M222" s="8"/>
      <c r="N222" s="264"/>
    </row>
    <row r="223" spans="1:14" s="3" customFormat="1" ht="12.2" customHeight="1" x14ac:dyDescent="0.15">
      <c r="A223" s="1" t="s">
        <v>444</v>
      </c>
      <c r="B223" s="2" t="s">
        <v>346</v>
      </c>
      <c r="C223" s="2" t="s">
        <v>296</v>
      </c>
      <c r="D223" s="2" t="s">
        <v>431</v>
      </c>
      <c r="E223" s="6">
        <v>2300</v>
      </c>
      <c r="F223" s="18">
        <v>128414.98999999999</v>
      </c>
      <c r="G223" s="18">
        <v>64274.23</v>
      </c>
      <c r="H223" s="18">
        <v>32424.75</v>
      </c>
      <c r="I223" s="18">
        <v>5556.7</v>
      </c>
      <c r="J223" s="18"/>
      <c r="K223" s="18">
        <v>3163.57</v>
      </c>
      <c r="L223" s="19">
        <f t="shared" si="2"/>
        <v>233834.24000000002</v>
      </c>
      <c r="M223" s="8"/>
      <c r="N223" s="264"/>
    </row>
    <row r="224" spans="1:14" s="3" customFormat="1" ht="12.2" customHeight="1" x14ac:dyDescent="0.15">
      <c r="A224" s="1" t="s">
        <v>445</v>
      </c>
      <c r="B224" s="2" t="s">
        <v>346</v>
      </c>
      <c r="C224" s="2" t="s">
        <v>297</v>
      </c>
      <c r="D224" s="2" t="s">
        <v>431</v>
      </c>
      <c r="E224" s="6">
        <v>2400</v>
      </c>
      <c r="F224" s="18">
        <v>320581.98</v>
      </c>
      <c r="G224" s="18">
        <v>175643.58</v>
      </c>
      <c r="H224" s="18">
        <v>2242.67</v>
      </c>
      <c r="I224" s="18"/>
      <c r="J224" s="18"/>
      <c r="K224" s="18"/>
      <c r="L224" s="19">
        <f t="shared" si="2"/>
        <v>498468.22999999992</v>
      </c>
      <c r="M224" s="8"/>
      <c r="N224" s="264"/>
    </row>
    <row r="225" spans="1:14" s="3" customFormat="1" ht="12.2" customHeight="1" x14ac:dyDescent="0.15">
      <c r="A225" s="1" t="s">
        <v>446</v>
      </c>
      <c r="B225" s="2" t="s">
        <v>346</v>
      </c>
      <c r="C225" s="2" t="s">
        <v>298</v>
      </c>
      <c r="D225" s="2" t="s">
        <v>431</v>
      </c>
      <c r="E225" s="6">
        <v>2500</v>
      </c>
      <c r="F225" s="18">
        <v>66694.929999999993</v>
      </c>
      <c r="G225" s="18">
        <v>28360.02</v>
      </c>
      <c r="H225" s="18">
        <v>40464.199999999997</v>
      </c>
      <c r="I225" s="18">
        <v>766.22</v>
      </c>
      <c r="J225" s="18">
        <v>74.88</v>
      </c>
      <c r="K225" s="18">
        <v>263.70999999999998</v>
      </c>
      <c r="L225" s="19">
        <f t="shared" si="2"/>
        <v>136623.96</v>
      </c>
      <c r="M225" s="8"/>
      <c r="N225" s="264"/>
    </row>
    <row r="226" spans="1:14" s="3" customFormat="1" ht="12.2" customHeight="1" x14ac:dyDescent="0.15">
      <c r="A226" s="1" t="s">
        <v>447</v>
      </c>
      <c r="B226" s="2" t="s">
        <v>346</v>
      </c>
      <c r="C226" s="2" t="s">
        <v>299</v>
      </c>
      <c r="D226" s="2" t="s">
        <v>431</v>
      </c>
      <c r="E226" s="6">
        <v>2600</v>
      </c>
      <c r="F226" s="18">
        <v>370545.37</v>
      </c>
      <c r="G226" s="18">
        <v>185810.96000000002</v>
      </c>
      <c r="H226" s="18">
        <v>146630.64000000001</v>
      </c>
      <c r="I226" s="18">
        <v>276949</v>
      </c>
      <c r="J226" s="18">
        <v>16221.02</v>
      </c>
      <c r="K226" s="18">
        <v>806.99</v>
      </c>
      <c r="L226" s="19">
        <f t="shared" si="2"/>
        <v>996963.9800000001</v>
      </c>
      <c r="M226" s="8"/>
      <c r="N226" s="264"/>
    </row>
    <row r="227" spans="1:14" s="3" customFormat="1" ht="12.2" customHeight="1" x14ac:dyDescent="0.15">
      <c r="A227" s="1" t="s">
        <v>448</v>
      </c>
      <c r="B227" s="2" t="s">
        <v>346</v>
      </c>
      <c r="C227" s="2" t="s">
        <v>300</v>
      </c>
      <c r="D227" s="2" t="s">
        <v>431</v>
      </c>
      <c r="E227" s="6">
        <v>2700</v>
      </c>
      <c r="F227" s="18"/>
      <c r="G227" s="18"/>
      <c r="H227" s="18">
        <v>358874.17</v>
      </c>
      <c r="I227" s="18"/>
      <c r="J227" s="18"/>
      <c r="K227" s="18"/>
      <c r="L227" s="19">
        <f t="shared" si="2"/>
        <v>358874.17</v>
      </c>
      <c r="M227" s="8"/>
      <c r="N227" s="264"/>
    </row>
    <row r="228" spans="1:14" s="3" customFormat="1" ht="12.2" customHeight="1" x14ac:dyDescent="0.15">
      <c r="A228" s="1" t="s">
        <v>449</v>
      </c>
      <c r="B228" s="2" t="s">
        <v>346</v>
      </c>
      <c r="C228" s="2" t="s">
        <v>343</v>
      </c>
      <c r="D228" s="2" t="s">
        <v>431</v>
      </c>
      <c r="E228" s="6">
        <v>2800</v>
      </c>
      <c r="F228" s="18">
        <v>125411.06</v>
      </c>
      <c r="G228" s="18">
        <v>66724.209999999992</v>
      </c>
      <c r="H228" s="18">
        <v>29218.86</v>
      </c>
      <c r="I228" s="18">
        <v>21952.78</v>
      </c>
      <c r="J228" s="18"/>
      <c r="K228" s="18">
        <v>416</v>
      </c>
      <c r="L228" s="19">
        <f>SUM(F228:K228)</f>
        <v>243722.91</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5842468.2699999996</v>
      </c>
      <c r="G230" s="41">
        <f>SUM(G216:G229)</f>
        <v>3256385.38</v>
      </c>
      <c r="H230" s="41">
        <f>SUM(H216:H229)</f>
        <v>1123081.58</v>
      </c>
      <c r="I230" s="41">
        <f>SUM(I216:I229)</f>
        <v>450616</v>
      </c>
      <c r="J230" s="41">
        <f>SUM(J216:J229)</f>
        <v>79182.609999999986</v>
      </c>
      <c r="K230" s="41">
        <f t="shared" si="3"/>
        <v>4650.2700000000004</v>
      </c>
      <c r="L230" s="41">
        <f t="shared" si="3"/>
        <v>10756384.110000003</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5685792.04</v>
      </c>
      <c r="G234" s="18">
        <v>3332400.8200000003</v>
      </c>
      <c r="H234" s="18">
        <v>5718.99</v>
      </c>
      <c r="I234" s="18">
        <v>143393.66999999998</v>
      </c>
      <c r="J234" s="18">
        <v>26862.84</v>
      </c>
      <c r="K234" s="18">
        <v>450</v>
      </c>
      <c r="L234" s="19">
        <f>SUM(F234:K234)</f>
        <v>9194618.3599999994</v>
      </c>
      <c r="M234" s="8"/>
      <c r="N234" s="264"/>
    </row>
    <row r="235" spans="1:14" s="3" customFormat="1" ht="12.2" customHeight="1" x14ac:dyDescent="0.15">
      <c r="A235" s="1" t="s">
        <v>439</v>
      </c>
      <c r="B235" s="2" t="s">
        <v>350</v>
      </c>
      <c r="C235" s="2" t="s">
        <v>291</v>
      </c>
      <c r="D235" s="2" t="s">
        <v>431</v>
      </c>
      <c r="E235" s="6">
        <v>1200</v>
      </c>
      <c r="F235" s="18">
        <v>523546.13999999996</v>
      </c>
      <c r="G235" s="18">
        <v>309147.24</v>
      </c>
      <c r="H235" s="18">
        <v>349406.53</v>
      </c>
      <c r="I235" s="18">
        <v>3540.3599999999997</v>
      </c>
      <c r="J235" s="18"/>
      <c r="K235" s="18"/>
      <c r="L235" s="19">
        <f>SUM(F235:K235)</f>
        <v>1185640.27</v>
      </c>
      <c r="M235" s="8"/>
      <c r="N235" s="264"/>
    </row>
    <row r="236" spans="1:14" s="3" customFormat="1" ht="12.2" customHeight="1" x14ac:dyDescent="0.15">
      <c r="A236" s="1" t="s">
        <v>440</v>
      </c>
      <c r="B236" s="2" t="s">
        <v>350</v>
      </c>
      <c r="C236" s="2" t="s">
        <v>292</v>
      </c>
      <c r="D236" s="2" t="s">
        <v>431</v>
      </c>
      <c r="E236" s="6">
        <v>1300</v>
      </c>
      <c r="F236" s="18">
        <v>639595.57999999996</v>
      </c>
      <c r="G236" s="18">
        <v>390696.54000000004</v>
      </c>
      <c r="H236" s="18">
        <v>12108.88</v>
      </c>
      <c r="I236" s="18">
        <v>38512.620000000003</v>
      </c>
      <c r="J236" s="18">
        <v>6300.91</v>
      </c>
      <c r="K236" s="18"/>
      <c r="L236" s="19">
        <f>SUM(F236:K236)</f>
        <v>1087214.53</v>
      </c>
      <c r="M236" s="8"/>
      <c r="N236" s="264"/>
    </row>
    <row r="237" spans="1:14" s="3" customFormat="1" ht="12.2" customHeight="1" x14ac:dyDescent="0.15">
      <c r="A237" s="1" t="s">
        <v>441</v>
      </c>
      <c r="B237" s="2" t="s">
        <v>350</v>
      </c>
      <c r="C237" s="2" t="s">
        <v>293</v>
      </c>
      <c r="D237" s="2" t="s">
        <v>431</v>
      </c>
      <c r="E237" s="6">
        <v>1400</v>
      </c>
      <c r="F237" s="18">
        <v>323556.75</v>
      </c>
      <c r="G237" s="18">
        <v>173805.61000000002</v>
      </c>
      <c r="H237" s="18">
        <v>56576.63</v>
      </c>
      <c r="I237" s="18">
        <v>103775.03</v>
      </c>
      <c r="J237" s="18"/>
      <c r="K237" s="18"/>
      <c r="L237" s="19">
        <f>SUM(F237:K237)</f>
        <v>657714.02</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1091545.68</v>
      </c>
      <c r="G239" s="18">
        <v>625874.23</v>
      </c>
      <c r="H239" s="18">
        <v>33780.9</v>
      </c>
      <c r="I239" s="18">
        <v>18141.510000000002</v>
      </c>
      <c r="J239" s="18">
        <v>1060.44</v>
      </c>
      <c r="K239" s="18">
        <v>19250.88</v>
      </c>
      <c r="L239" s="19">
        <f t="shared" ref="L239:L245" si="4">SUM(F239:K239)</f>
        <v>1789653.6399999997</v>
      </c>
      <c r="M239" s="8"/>
      <c r="N239" s="264"/>
    </row>
    <row r="240" spans="1:14" s="3" customFormat="1" ht="12.2" customHeight="1" x14ac:dyDescent="0.15">
      <c r="A240" s="1" t="s">
        <v>443</v>
      </c>
      <c r="B240" s="2" t="s">
        <v>350</v>
      </c>
      <c r="C240" s="2" t="s">
        <v>295</v>
      </c>
      <c r="D240" s="2" t="s">
        <v>431</v>
      </c>
      <c r="E240" s="6">
        <v>2200</v>
      </c>
      <c r="F240" s="18">
        <v>113607.92</v>
      </c>
      <c r="G240" s="18">
        <v>75574.92</v>
      </c>
      <c r="H240" s="18">
        <v>11908.970000000001</v>
      </c>
      <c r="I240" s="18">
        <v>31649.06</v>
      </c>
      <c r="J240" s="18">
        <v>75465.259999999995</v>
      </c>
      <c r="K240" s="18"/>
      <c r="L240" s="19">
        <f t="shared" si="4"/>
        <v>308206.13</v>
      </c>
      <c r="M240" s="8"/>
      <c r="N240" s="264"/>
    </row>
    <row r="241" spans="1:14" s="3" customFormat="1" ht="12.2" customHeight="1" x14ac:dyDescent="0.15">
      <c r="A241" s="1" t="s">
        <v>444</v>
      </c>
      <c r="B241" s="2" t="s">
        <v>350</v>
      </c>
      <c r="C241" s="2" t="s">
        <v>296</v>
      </c>
      <c r="D241" s="2" t="s">
        <v>431</v>
      </c>
      <c r="E241" s="6">
        <v>2300</v>
      </c>
      <c r="F241" s="18">
        <v>501383.4</v>
      </c>
      <c r="G241" s="18">
        <v>287377.95999999996</v>
      </c>
      <c r="H241" s="18">
        <v>80415.37</v>
      </c>
      <c r="I241" s="18">
        <v>11540.85</v>
      </c>
      <c r="J241" s="18"/>
      <c r="K241" s="18">
        <v>31023.66</v>
      </c>
      <c r="L241" s="19">
        <f t="shared" si="4"/>
        <v>911741.24</v>
      </c>
      <c r="M241" s="8"/>
      <c r="N241" s="264"/>
    </row>
    <row r="242" spans="1:14" s="3" customFormat="1" ht="12.2" customHeight="1" x14ac:dyDescent="0.15">
      <c r="A242" s="1" t="s">
        <v>445</v>
      </c>
      <c r="B242" s="2" t="s">
        <v>350</v>
      </c>
      <c r="C242" s="2" t="s">
        <v>297</v>
      </c>
      <c r="D242" s="2" t="s">
        <v>431</v>
      </c>
      <c r="E242" s="6">
        <v>2400</v>
      </c>
      <c r="F242" s="18">
        <v>717218.38</v>
      </c>
      <c r="G242" s="18">
        <v>416557.57999999996</v>
      </c>
      <c r="H242" s="18">
        <v>63142.26</v>
      </c>
      <c r="I242" s="18">
        <v>6309.63</v>
      </c>
      <c r="J242" s="18"/>
      <c r="K242" s="18">
        <v>4320</v>
      </c>
      <c r="L242" s="19">
        <f t="shared" si="4"/>
        <v>1207547.8499999999</v>
      </c>
      <c r="M242" s="8"/>
      <c r="N242" s="264"/>
    </row>
    <row r="243" spans="1:14" s="3" customFormat="1" ht="12.2" customHeight="1" x14ac:dyDescent="0.15">
      <c r="A243" s="1" t="s">
        <v>446</v>
      </c>
      <c r="B243" s="2" t="s">
        <v>350</v>
      </c>
      <c r="C243" s="2" t="s">
        <v>298</v>
      </c>
      <c r="D243" s="2" t="s">
        <v>431</v>
      </c>
      <c r="E243" s="6">
        <v>2500</v>
      </c>
      <c r="F243" s="18">
        <v>138520.24</v>
      </c>
      <c r="G243" s="18">
        <v>72474.86</v>
      </c>
      <c r="H243" s="18">
        <v>78863.960000000006</v>
      </c>
      <c r="I243" s="18">
        <v>1591.38</v>
      </c>
      <c r="J243" s="18">
        <v>155.52000000000001</v>
      </c>
      <c r="K243" s="18">
        <v>547.72</v>
      </c>
      <c r="L243" s="19">
        <f t="shared" si="4"/>
        <v>292153.68</v>
      </c>
      <c r="M243" s="8"/>
      <c r="N243" s="264"/>
    </row>
    <row r="244" spans="1:14" s="3" customFormat="1" ht="12.2" customHeight="1" x14ac:dyDescent="0.15">
      <c r="A244" s="1" t="s">
        <v>447</v>
      </c>
      <c r="B244" s="2" t="s">
        <v>350</v>
      </c>
      <c r="C244" s="2" t="s">
        <v>299</v>
      </c>
      <c r="D244" s="2" t="s">
        <v>431</v>
      </c>
      <c r="E244" s="6">
        <v>2600</v>
      </c>
      <c r="F244" s="18">
        <v>600593.63</v>
      </c>
      <c r="G244" s="18">
        <v>324558.56</v>
      </c>
      <c r="H244" s="18">
        <v>660366.06000000006</v>
      </c>
      <c r="I244" s="18">
        <v>620332.37000000011</v>
      </c>
      <c r="J244" s="18">
        <v>33689.82</v>
      </c>
      <c r="K244" s="18">
        <v>16426.12</v>
      </c>
      <c r="L244" s="19">
        <f t="shared" si="4"/>
        <v>2255966.56</v>
      </c>
      <c r="M244" s="8"/>
      <c r="N244" s="264"/>
    </row>
    <row r="245" spans="1:14" s="3" customFormat="1" ht="12.2" customHeight="1" x14ac:dyDescent="0.15">
      <c r="A245" s="1" t="s">
        <v>448</v>
      </c>
      <c r="B245" s="2" t="s">
        <v>350</v>
      </c>
      <c r="C245" s="2" t="s">
        <v>300</v>
      </c>
      <c r="D245" s="2" t="s">
        <v>431</v>
      </c>
      <c r="E245" s="6">
        <v>2700</v>
      </c>
      <c r="F245" s="18"/>
      <c r="G245" s="18"/>
      <c r="H245" s="18">
        <v>600673.03</v>
      </c>
      <c r="I245" s="18"/>
      <c r="J245" s="18"/>
      <c r="K245" s="18"/>
      <c r="L245" s="19">
        <f t="shared" si="4"/>
        <v>600673.03</v>
      </c>
      <c r="M245" s="8"/>
      <c r="N245" s="264"/>
    </row>
    <row r="246" spans="1:14" s="3" customFormat="1" ht="12.2" customHeight="1" x14ac:dyDescent="0.15">
      <c r="A246" s="1" t="s">
        <v>449</v>
      </c>
      <c r="B246" s="2" t="s">
        <v>350</v>
      </c>
      <c r="C246" s="2" t="s">
        <v>343</v>
      </c>
      <c r="D246" s="2" t="s">
        <v>431</v>
      </c>
      <c r="E246" s="6">
        <v>2800</v>
      </c>
      <c r="F246" s="18">
        <v>260469.13</v>
      </c>
      <c r="G246" s="18">
        <v>151651.59</v>
      </c>
      <c r="H246" s="18">
        <v>74142.649999999994</v>
      </c>
      <c r="I246" s="18">
        <v>45594.239999999998</v>
      </c>
      <c r="J246" s="18"/>
      <c r="K246" s="18">
        <v>864</v>
      </c>
      <c r="L246" s="19">
        <f>SUM(F246:K246)</f>
        <v>532721.61</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10595828.890000002</v>
      </c>
      <c r="G248" s="41">
        <f t="shared" si="5"/>
        <v>6160119.9100000011</v>
      </c>
      <c r="H248" s="41">
        <f t="shared" si="5"/>
        <v>2027104.23</v>
      </c>
      <c r="I248" s="41">
        <f t="shared" si="5"/>
        <v>1024380.72</v>
      </c>
      <c r="J248" s="41">
        <f t="shared" si="5"/>
        <v>143534.79</v>
      </c>
      <c r="K248" s="41">
        <f t="shared" si="5"/>
        <v>72882.38</v>
      </c>
      <c r="L248" s="41">
        <f t="shared" si="5"/>
        <v>20023850.919999998</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27723713.019999996</v>
      </c>
      <c r="G258" s="41">
        <f t="shared" si="8"/>
        <v>15699437.350000001</v>
      </c>
      <c r="H258" s="41">
        <f t="shared" si="8"/>
        <v>4805914.7</v>
      </c>
      <c r="I258" s="41">
        <f t="shared" si="8"/>
        <v>1987016.21</v>
      </c>
      <c r="J258" s="41">
        <f t="shared" si="8"/>
        <v>366636.30000000005</v>
      </c>
      <c r="K258" s="41">
        <f t="shared" si="8"/>
        <v>88353.200000000012</v>
      </c>
      <c r="L258" s="41">
        <f t="shared" si="8"/>
        <v>50671070.780000001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246360</v>
      </c>
      <c r="L264" s="19">
        <f>SUM(F264:K264)</f>
        <v>246360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f>352871+718510+20000</f>
        <v>1091381</v>
      </c>
      <c r="L265" s="19">
        <f t="shared" ref="L265:L271" si="9">SUM(F265:K265)</f>
        <v>1091381</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1337741</v>
      </c>
      <c r="L271" s="41">
        <f t="shared" si="9"/>
        <v>1337741</v>
      </c>
      <c r="M271" s="8"/>
      <c r="N271" s="264"/>
    </row>
    <row r="272" spans="1:14" s="34" customFormat="1" ht="12.2" customHeight="1" thickTop="1" x14ac:dyDescent="0.2">
      <c r="A272" s="43" t="s">
        <v>464</v>
      </c>
      <c r="B272" s="40">
        <v>10</v>
      </c>
      <c r="C272" s="40">
        <v>18</v>
      </c>
      <c r="D272" s="39" t="s">
        <v>431</v>
      </c>
      <c r="E272" s="40"/>
      <c r="F272" s="42">
        <f t="shared" ref="F272:L272" si="11">F258+F271</f>
        <v>27723713.019999996</v>
      </c>
      <c r="G272" s="42">
        <f t="shared" si="11"/>
        <v>15699437.350000001</v>
      </c>
      <c r="H272" s="42">
        <f t="shared" si="11"/>
        <v>4805914.7</v>
      </c>
      <c r="I272" s="42">
        <f t="shared" si="11"/>
        <v>1987016.21</v>
      </c>
      <c r="J272" s="42">
        <f t="shared" si="11"/>
        <v>366636.30000000005</v>
      </c>
      <c r="K272" s="42">
        <f t="shared" si="11"/>
        <v>1426094.2</v>
      </c>
      <c r="L272" s="42">
        <f t="shared" si="11"/>
        <v>52008811.780000001</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274067.14</v>
      </c>
      <c r="G277" s="18">
        <v>61718.87</v>
      </c>
      <c r="H277" s="18">
        <v>40650.42</v>
      </c>
      <c r="I277" s="18">
        <v>7736.83</v>
      </c>
      <c r="J277" s="18">
        <v>48947.76</v>
      </c>
      <c r="K277" s="18"/>
      <c r="L277" s="19">
        <f>SUM(F277:K277)</f>
        <v>433121.02</v>
      </c>
      <c r="M277" s="8"/>
      <c r="N277" s="264"/>
    </row>
    <row r="278" spans="1:14" s="3" customFormat="1" ht="12.2" customHeight="1" x14ac:dyDescent="0.15">
      <c r="A278" s="1" t="s">
        <v>439</v>
      </c>
      <c r="B278" s="2" t="s">
        <v>357</v>
      </c>
      <c r="C278" s="2" t="s">
        <v>291</v>
      </c>
      <c r="D278" s="2" t="s">
        <v>431</v>
      </c>
      <c r="E278" s="6">
        <v>1200</v>
      </c>
      <c r="F278" s="18">
        <v>484457.2</v>
      </c>
      <c r="G278" s="18">
        <v>62773.909999999996</v>
      </c>
      <c r="H278" s="18">
        <v>9541.25</v>
      </c>
      <c r="I278" s="18">
        <v>22773.62</v>
      </c>
      <c r="J278" s="18">
        <v>9166.1999999999989</v>
      </c>
      <c r="K278" s="18"/>
      <c r="L278" s="19">
        <f>SUM(F278:K278)</f>
        <v>588712.17999999993</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12259.84</v>
      </c>
      <c r="G280" s="18">
        <v>2797.0800000000004</v>
      </c>
      <c r="H280" s="18">
        <v>23771.88</v>
      </c>
      <c r="I280" s="18">
        <v>22127.969999999998</v>
      </c>
      <c r="J280" s="18"/>
      <c r="K280" s="18"/>
      <c r="L280" s="19">
        <f>SUM(F280:K280)</f>
        <v>60956.770000000004</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v>4630.68</v>
      </c>
      <c r="I282" s="18"/>
      <c r="J282" s="18"/>
      <c r="K282" s="18"/>
      <c r="L282" s="19">
        <f t="shared" ref="L282:L288" si="12">SUM(F282:K282)</f>
        <v>4630.68</v>
      </c>
      <c r="M282" s="8"/>
      <c r="N282" s="264"/>
    </row>
    <row r="283" spans="1:14" s="3" customFormat="1" ht="12.2" customHeight="1" x14ac:dyDescent="0.15">
      <c r="A283" s="1" t="s">
        <v>443</v>
      </c>
      <c r="B283" s="2" t="s">
        <v>357</v>
      </c>
      <c r="C283" s="2" t="s">
        <v>295</v>
      </c>
      <c r="D283" s="2" t="s">
        <v>431</v>
      </c>
      <c r="E283" s="6">
        <v>2200</v>
      </c>
      <c r="F283" s="18">
        <v>13800</v>
      </c>
      <c r="G283" s="18">
        <v>3298.51</v>
      </c>
      <c r="H283" s="18">
        <v>18239.14</v>
      </c>
      <c r="I283" s="18"/>
      <c r="J283" s="18">
        <v>8098</v>
      </c>
      <c r="K283" s="18"/>
      <c r="L283" s="19">
        <f t="shared" si="12"/>
        <v>43435.65</v>
      </c>
      <c r="M283" s="8"/>
      <c r="N283" s="264"/>
    </row>
    <row r="284" spans="1:14" s="3" customFormat="1" ht="12.2" customHeight="1" x14ac:dyDescent="0.15">
      <c r="A284" s="1" t="s">
        <v>444</v>
      </c>
      <c r="B284" s="2" t="s">
        <v>357</v>
      </c>
      <c r="C284" s="2" t="s">
        <v>296</v>
      </c>
      <c r="D284" s="2" t="s">
        <v>431</v>
      </c>
      <c r="E284" s="6">
        <v>2300</v>
      </c>
      <c r="F284" s="18">
        <v>20152.810000000001</v>
      </c>
      <c r="G284" s="18">
        <v>3696.09</v>
      </c>
      <c r="H284" s="18"/>
      <c r="I284" s="18"/>
      <c r="J284" s="18"/>
      <c r="K284" s="18"/>
      <c r="L284" s="19">
        <f t="shared" si="12"/>
        <v>23848.9</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v>9923.6299999999992</v>
      </c>
      <c r="G287" s="18">
        <v>1880.67</v>
      </c>
      <c r="H287" s="18">
        <v>29747.22</v>
      </c>
      <c r="I287" s="18">
        <v>105065.67</v>
      </c>
      <c r="J287" s="18">
        <v>12685.32</v>
      </c>
      <c r="K287" s="18"/>
      <c r="L287" s="19">
        <f t="shared" si="12"/>
        <v>159302.51</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814660.62000000011</v>
      </c>
      <c r="G291" s="42">
        <f t="shared" si="13"/>
        <v>136165.13</v>
      </c>
      <c r="H291" s="42">
        <f t="shared" si="13"/>
        <v>126580.59000000001</v>
      </c>
      <c r="I291" s="42">
        <f t="shared" si="13"/>
        <v>157704.09</v>
      </c>
      <c r="J291" s="42">
        <f t="shared" si="13"/>
        <v>78897.279999999999</v>
      </c>
      <c r="K291" s="42">
        <f t="shared" si="13"/>
        <v>0</v>
      </c>
      <c r="L291" s="41">
        <f t="shared" si="13"/>
        <v>1314007.7099999997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1439.2600000000002</v>
      </c>
      <c r="G296" s="18">
        <v>453.92999999999995</v>
      </c>
      <c r="H296" s="18">
        <v>23486.91</v>
      </c>
      <c r="I296" s="18">
        <v>1576.85</v>
      </c>
      <c r="J296" s="18">
        <v>28280.93</v>
      </c>
      <c r="K296" s="18"/>
      <c r="L296" s="19">
        <f>SUM(F296:K296)</f>
        <v>55237.88</v>
      </c>
      <c r="M296" s="8"/>
      <c r="N296" s="264"/>
    </row>
    <row r="297" spans="1:14" s="3" customFormat="1" ht="12.2" customHeight="1" x14ac:dyDescent="0.15">
      <c r="A297" s="1" t="s">
        <v>439</v>
      </c>
      <c r="B297" s="2" t="s">
        <v>358</v>
      </c>
      <c r="C297" s="2" t="s">
        <v>291</v>
      </c>
      <c r="D297" s="2" t="s">
        <v>431</v>
      </c>
      <c r="E297" s="6">
        <v>1200</v>
      </c>
      <c r="F297" s="18">
        <v>410298.45999999996</v>
      </c>
      <c r="G297" s="18">
        <v>69586.83</v>
      </c>
      <c r="H297" s="18">
        <v>1575.17</v>
      </c>
      <c r="I297" s="18">
        <v>5906.85</v>
      </c>
      <c r="J297" s="18">
        <v>529.66999999999996</v>
      </c>
      <c r="K297" s="18"/>
      <c r="L297" s="19">
        <f>SUM(F297:K297)</f>
        <v>487896.97999999992</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6043.46</v>
      </c>
      <c r="G299" s="18">
        <v>1430.45</v>
      </c>
      <c r="H299" s="18"/>
      <c r="I299" s="18">
        <v>26.909999999999968</v>
      </c>
      <c r="J299" s="18">
        <v>18518.259999999998</v>
      </c>
      <c r="K299" s="18">
        <v>340</v>
      </c>
      <c r="L299" s="19">
        <f>SUM(F299:K299)</f>
        <v>26359.079999999998</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v>2675.5</v>
      </c>
      <c r="I301" s="18"/>
      <c r="J301" s="18"/>
      <c r="K301" s="18"/>
      <c r="L301" s="19">
        <f t="shared" ref="L301:L307" si="14">SUM(F301:K301)</f>
        <v>2675.5</v>
      </c>
      <c r="M301" s="8"/>
      <c r="N301" s="264"/>
    </row>
    <row r="302" spans="1:14" s="3" customFormat="1" ht="12.2" customHeight="1" x14ac:dyDescent="0.15">
      <c r="A302" s="1" t="s">
        <v>443</v>
      </c>
      <c r="B302" s="2" t="s">
        <v>358</v>
      </c>
      <c r="C302" s="2" t="s">
        <v>295</v>
      </c>
      <c r="D302" s="2" t="s">
        <v>431</v>
      </c>
      <c r="E302" s="6">
        <v>2200</v>
      </c>
      <c r="F302" s="18"/>
      <c r="G302" s="18"/>
      <c r="H302" s="18">
        <v>12008.93</v>
      </c>
      <c r="I302" s="18"/>
      <c r="J302" s="18"/>
      <c r="K302" s="18"/>
      <c r="L302" s="19">
        <f t="shared" si="14"/>
        <v>12008.93</v>
      </c>
      <c r="M302" s="8"/>
      <c r="N302" s="264"/>
    </row>
    <row r="303" spans="1:14" s="3" customFormat="1" ht="12.2" customHeight="1" x14ac:dyDescent="0.15">
      <c r="A303" s="1" t="s">
        <v>444</v>
      </c>
      <c r="B303" s="2" t="s">
        <v>358</v>
      </c>
      <c r="C303" s="2" t="s">
        <v>296</v>
      </c>
      <c r="D303" s="2" t="s">
        <v>431</v>
      </c>
      <c r="E303" s="6">
        <v>2300</v>
      </c>
      <c r="F303" s="18">
        <v>11643.84</v>
      </c>
      <c r="G303" s="18">
        <v>2135.52</v>
      </c>
      <c r="H303" s="18"/>
      <c r="I303" s="18"/>
      <c r="J303" s="18"/>
      <c r="K303" s="18"/>
      <c r="L303" s="19">
        <f t="shared" si="14"/>
        <v>13779.36</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v>5733.65</v>
      </c>
      <c r="G306" s="18">
        <v>1086.6099999999999</v>
      </c>
      <c r="H306" s="18">
        <v>17187.28</v>
      </c>
      <c r="I306" s="18">
        <v>60704.61</v>
      </c>
      <c r="J306" s="18">
        <v>15429.3</v>
      </c>
      <c r="K306" s="18"/>
      <c r="L306" s="19">
        <f t="shared" si="14"/>
        <v>100141.45</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435158.67000000004</v>
      </c>
      <c r="G310" s="42">
        <f t="shared" si="15"/>
        <v>74693.34</v>
      </c>
      <c r="H310" s="42">
        <f t="shared" si="15"/>
        <v>56933.79</v>
      </c>
      <c r="I310" s="42">
        <f t="shared" si="15"/>
        <v>68215.22</v>
      </c>
      <c r="J310" s="42">
        <f t="shared" si="15"/>
        <v>62758.16</v>
      </c>
      <c r="K310" s="42">
        <f t="shared" si="15"/>
        <v>340</v>
      </c>
      <c r="L310" s="41">
        <f t="shared" si="15"/>
        <v>698099.17999999982</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20850.120000000003</v>
      </c>
      <c r="G315" s="18">
        <v>3597.49</v>
      </c>
      <c r="H315" s="18">
        <v>48780.51</v>
      </c>
      <c r="I315" s="18">
        <v>7274.99</v>
      </c>
      <c r="J315" s="18">
        <v>58737.31</v>
      </c>
      <c r="K315" s="18"/>
      <c r="L315" s="19">
        <f>SUM(F315:K315)</f>
        <v>139240.41999999998</v>
      </c>
      <c r="M315" s="8"/>
      <c r="N315" s="264"/>
    </row>
    <row r="316" spans="1:14" s="3" customFormat="1" ht="12.2" customHeight="1" x14ac:dyDescent="0.15">
      <c r="A316" s="1" t="s">
        <v>439</v>
      </c>
      <c r="B316" s="2" t="s">
        <v>359</v>
      </c>
      <c r="C316" s="2" t="s">
        <v>291</v>
      </c>
      <c r="D316" s="2" t="s">
        <v>431</v>
      </c>
      <c r="E316" s="6">
        <v>1200</v>
      </c>
      <c r="F316" s="18">
        <v>1302752.31</v>
      </c>
      <c r="G316" s="18">
        <v>286663.01999999996</v>
      </c>
      <c r="H316" s="18">
        <v>8952.58</v>
      </c>
      <c r="I316" s="18">
        <v>34636.19</v>
      </c>
      <c r="J316" s="18">
        <v>22287.63</v>
      </c>
      <c r="K316" s="18">
        <v>1383.55</v>
      </c>
      <c r="L316" s="19">
        <f>SUM(F316:K316)</f>
        <v>1656675.28</v>
      </c>
      <c r="M316" s="8"/>
      <c r="N316" s="264"/>
    </row>
    <row r="317" spans="1:14" s="3" customFormat="1" ht="12.2" customHeight="1" x14ac:dyDescent="0.15">
      <c r="A317" s="1" t="s">
        <v>440</v>
      </c>
      <c r="B317" s="2" t="s">
        <v>359</v>
      </c>
      <c r="C317" s="2" t="s">
        <v>292</v>
      </c>
      <c r="D317" s="2" t="s">
        <v>431</v>
      </c>
      <c r="E317" s="6">
        <v>1300</v>
      </c>
      <c r="F317" s="18">
        <v>46351.47</v>
      </c>
      <c r="G317" s="18">
        <v>8423.7199999999993</v>
      </c>
      <c r="H317" s="18">
        <v>13802.5</v>
      </c>
      <c r="I317" s="18">
        <v>54991.33</v>
      </c>
      <c r="J317" s="18">
        <v>25299.439999999999</v>
      </c>
      <c r="K317" s="18"/>
      <c r="L317" s="19">
        <f>SUM(F317:K317)</f>
        <v>148868.46</v>
      </c>
      <c r="M317" s="8"/>
      <c r="N317" s="264"/>
    </row>
    <row r="318" spans="1:14" s="3" customFormat="1" ht="12.2" customHeight="1" x14ac:dyDescent="0.15">
      <c r="A318" s="1" t="s">
        <v>441</v>
      </c>
      <c r="B318" s="2" t="s">
        <v>359</v>
      </c>
      <c r="C318" s="2" t="s">
        <v>293</v>
      </c>
      <c r="D318" s="2" t="s">
        <v>431</v>
      </c>
      <c r="E318" s="6">
        <v>1400</v>
      </c>
      <c r="F318" s="18">
        <v>20959.809999999998</v>
      </c>
      <c r="G318" s="18">
        <v>4886.3999999999996</v>
      </c>
      <c r="H318" s="18">
        <v>9589.5400000000009</v>
      </c>
      <c r="I318" s="18">
        <v>4570.1400000000003</v>
      </c>
      <c r="J318" s="18">
        <v>0</v>
      </c>
      <c r="K318" s="18">
        <v>2977</v>
      </c>
      <c r="L318" s="19">
        <f>SUM(F318:K318)</f>
        <v>42982.89</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46157.54</v>
      </c>
      <c r="G320" s="18">
        <v>11662.46</v>
      </c>
      <c r="H320" s="18">
        <v>18513.34</v>
      </c>
      <c r="I320" s="18"/>
      <c r="J320" s="18"/>
      <c r="K320" s="18">
        <v>2085.7800000000002</v>
      </c>
      <c r="L320" s="19">
        <f t="shared" ref="L320:L326" si="16">SUM(F320:K320)</f>
        <v>78419.12</v>
      </c>
      <c r="M320" s="8"/>
      <c r="N320" s="264"/>
    </row>
    <row r="321" spans="1:14" s="3" customFormat="1" ht="12.2" customHeight="1" x14ac:dyDescent="0.15">
      <c r="A321" s="1" t="s">
        <v>443</v>
      </c>
      <c r="B321" s="2" t="s">
        <v>359</v>
      </c>
      <c r="C321" s="2" t="s">
        <v>295</v>
      </c>
      <c r="D321" s="2" t="s">
        <v>431</v>
      </c>
      <c r="E321" s="6">
        <v>2200</v>
      </c>
      <c r="F321" s="18"/>
      <c r="G321" s="18"/>
      <c r="H321" s="18">
        <v>47381.42</v>
      </c>
      <c r="I321" s="18"/>
      <c r="J321" s="18"/>
      <c r="K321" s="18">
        <v>2280.36</v>
      </c>
      <c r="L321" s="19">
        <f t="shared" si="16"/>
        <v>49661.78</v>
      </c>
      <c r="M321" s="8"/>
      <c r="N321" s="264"/>
    </row>
    <row r="322" spans="1:14" s="3" customFormat="1" ht="12.2" customHeight="1" x14ac:dyDescent="0.15">
      <c r="A322" s="1" t="s">
        <v>444</v>
      </c>
      <c r="B322" s="2" t="s">
        <v>359</v>
      </c>
      <c r="C322" s="2" t="s">
        <v>296</v>
      </c>
      <c r="D322" s="2" t="s">
        <v>431</v>
      </c>
      <c r="E322" s="6">
        <v>2300</v>
      </c>
      <c r="F322" s="18">
        <v>91993.86</v>
      </c>
      <c r="G322" s="18">
        <v>16185.100000000002</v>
      </c>
      <c r="H322" s="18"/>
      <c r="I322" s="18"/>
      <c r="J322" s="18"/>
      <c r="K322" s="18"/>
      <c r="L322" s="19">
        <f t="shared" si="16"/>
        <v>108178.96</v>
      </c>
      <c r="M322" s="8"/>
      <c r="N322" s="264"/>
    </row>
    <row r="323" spans="1:14" s="3" customFormat="1" ht="12.2" customHeight="1" x14ac:dyDescent="0.15">
      <c r="A323" s="1" t="s">
        <v>445</v>
      </c>
      <c r="B323" s="2" t="s">
        <v>359</v>
      </c>
      <c r="C323" s="2" t="s">
        <v>297</v>
      </c>
      <c r="D323" s="2" t="s">
        <v>431</v>
      </c>
      <c r="E323" s="6">
        <v>2400</v>
      </c>
      <c r="F323" s="18">
        <v>111255.98</v>
      </c>
      <c r="G323" s="18">
        <v>28247.41</v>
      </c>
      <c r="H323" s="18"/>
      <c r="I323" s="18"/>
      <c r="J323" s="18"/>
      <c r="K323" s="18"/>
      <c r="L323" s="19">
        <f t="shared" si="16"/>
        <v>139503.38999999998</v>
      </c>
      <c r="M323" s="8"/>
      <c r="N323" s="264"/>
    </row>
    <row r="324" spans="1:14" s="3" customFormat="1" ht="12.2" customHeight="1" x14ac:dyDescent="0.15">
      <c r="A324" s="1" t="s">
        <v>446</v>
      </c>
      <c r="B324" s="2" t="s">
        <v>359</v>
      </c>
      <c r="C324" s="2" t="s">
        <v>298</v>
      </c>
      <c r="D324" s="2" t="s">
        <v>431</v>
      </c>
      <c r="E324" s="6">
        <v>2500</v>
      </c>
      <c r="F324" s="18"/>
      <c r="G324" s="18"/>
      <c r="H324" s="18">
        <v>893.57</v>
      </c>
      <c r="I324" s="18"/>
      <c r="J324" s="18"/>
      <c r="K324" s="18"/>
      <c r="L324" s="19">
        <f t="shared" si="16"/>
        <v>893.57</v>
      </c>
      <c r="M324" s="8"/>
      <c r="N324" s="264"/>
    </row>
    <row r="325" spans="1:14" s="3" customFormat="1" ht="12.2" customHeight="1" x14ac:dyDescent="0.15">
      <c r="A325" s="1" t="s">
        <v>447</v>
      </c>
      <c r="B325" s="2" t="s">
        <v>359</v>
      </c>
      <c r="C325" s="2" t="s">
        <v>299</v>
      </c>
      <c r="D325" s="2" t="s">
        <v>431</v>
      </c>
      <c r="E325" s="6">
        <v>2600</v>
      </c>
      <c r="F325" s="18">
        <v>25466.78</v>
      </c>
      <c r="G325" s="18">
        <v>4714.54</v>
      </c>
      <c r="H325" s="18">
        <v>39488.100000000006</v>
      </c>
      <c r="I325" s="18">
        <v>154123.23000000001</v>
      </c>
      <c r="J325" s="18">
        <v>15222.38</v>
      </c>
      <c r="K325" s="18"/>
      <c r="L325" s="19">
        <f t="shared" si="16"/>
        <v>239015.03000000003</v>
      </c>
      <c r="M325" s="8"/>
      <c r="N325" s="264"/>
    </row>
    <row r="326" spans="1:14" s="3" customFormat="1" ht="12.2" customHeight="1" x14ac:dyDescent="0.15">
      <c r="A326" s="1" t="s">
        <v>448</v>
      </c>
      <c r="B326" s="2" t="s">
        <v>359</v>
      </c>
      <c r="C326" s="2" t="s">
        <v>300</v>
      </c>
      <c r="D326" s="2" t="s">
        <v>431</v>
      </c>
      <c r="E326" s="6">
        <v>2700</v>
      </c>
      <c r="F326" s="18"/>
      <c r="G326" s="18"/>
      <c r="H326" s="18">
        <v>1771.6</v>
      </c>
      <c r="I326" s="18"/>
      <c r="J326" s="18"/>
      <c r="K326" s="18"/>
      <c r="L326" s="19">
        <f t="shared" si="16"/>
        <v>1771.6</v>
      </c>
      <c r="M326" s="8"/>
      <c r="N326" s="264"/>
    </row>
    <row r="327" spans="1:14" s="3" customFormat="1" ht="12.2" customHeight="1" x14ac:dyDescent="0.15">
      <c r="A327" s="1" t="s">
        <v>449</v>
      </c>
      <c r="B327" s="2" t="s">
        <v>359</v>
      </c>
      <c r="C327" s="2" t="s">
        <v>343</v>
      </c>
      <c r="D327" s="2" t="s">
        <v>431</v>
      </c>
      <c r="E327" s="6">
        <v>2800</v>
      </c>
      <c r="F327" s="18"/>
      <c r="G327" s="18"/>
      <c r="H327" s="18">
        <v>1898.55</v>
      </c>
      <c r="I327" s="18"/>
      <c r="J327" s="18"/>
      <c r="K327" s="18"/>
      <c r="L327" s="19">
        <f>SUM(F327:K327)</f>
        <v>1898.55</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1665787.8700000003</v>
      </c>
      <c r="G329" s="42">
        <f t="shared" si="17"/>
        <v>364380.1399999999</v>
      </c>
      <c r="H329" s="42">
        <f t="shared" si="17"/>
        <v>191071.71000000002</v>
      </c>
      <c r="I329" s="42">
        <f t="shared" si="17"/>
        <v>255595.88</v>
      </c>
      <c r="J329" s="42">
        <f t="shared" si="17"/>
        <v>121546.76000000001</v>
      </c>
      <c r="K329" s="42">
        <f t="shared" si="17"/>
        <v>8726.69</v>
      </c>
      <c r="L329" s="41">
        <f t="shared" si="17"/>
        <v>2607109.0499999993</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v>96587.520000000004</v>
      </c>
      <c r="I333" s="18"/>
      <c r="J333" s="18"/>
      <c r="K333" s="18"/>
      <c r="L333" s="19">
        <f t="shared" ref="L333:L338" si="18">SUM(F333:K333)</f>
        <v>96587.520000000004</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v>121126.49</v>
      </c>
      <c r="I337" s="18"/>
      <c r="J337" s="18"/>
      <c r="K337" s="18"/>
      <c r="L337" s="19">
        <f t="shared" si="18"/>
        <v>121126.49</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217714.01</v>
      </c>
      <c r="I338" s="41">
        <f t="shared" si="19"/>
        <v>0</v>
      </c>
      <c r="J338" s="41">
        <f t="shared" si="19"/>
        <v>0</v>
      </c>
      <c r="K338" s="41">
        <f t="shared" si="19"/>
        <v>0</v>
      </c>
      <c r="L338" s="41">
        <f t="shared" si="18"/>
        <v>217714.01</v>
      </c>
      <c r="M338" s="8"/>
      <c r="N338" s="264"/>
    </row>
    <row r="339" spans="1:43" s="3" customFormat="1" ht="12.2" customHeight="1" thickTop="1" x14ac:dyDescent="0.15">
      <c r="A339" s="38" t="s">
        <v>468</v>
      </c>
      <c r="B339" s="40">
        <v>14</v>
      </c>
      <c r="C339" s="40">
        <v>7</v>
      </c>
      <c r="D339" s="39" t="s">
        <v>431</v>
      </c>
      <c r="E339" s="40"/>
      <c r="F339" s="41">
        <f t="shared" ref="F339:L339" si="20">F291+F310+F329+F338</f>
        <v>2915607.16</v>
      </c>
      <c r="G339" s="41">
        <f t="shared" si="20"/>
        <v>575238.60999999987</v>
      </c>
      <c r="H339" s="41">
        <f t="shared" si="20"/>
        <v>592300.10000000009</v>
      </c>
      <c r="I339" s="41">
        <f t="shared" si="20"/>
        <v>481515.19</v>
      </c>
      <c r="J339" s="41">
        <f t="shared" si="20"/>
        <v>263202.2</v>
      </c>
      <c r="K339" s="41">
        <f t="shared" si="20"/>
        <v>9066.69</v>
      </c>
      <c r="L339" s="41">
        <f t="shared" si="20"/>
        <v>4836929.9499999993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2915607.16</v>
      </c>
      <c r="G353" s="41">
        <f>G339</f>
        <v>575238.60999999987</v>
      </c>
      <c r="H353" s="41">
        <f>H339</f>
        <v>592300.10000000009</v>
      </c>
      <c r="I353" s="41">
        <f>I339</f>
        <v>481515.19</v>
      </c>
      <c r="J353" s="41">
        <f>J339</f>
        <v>263202.2</v>
      </c>
      <c r="K353" s="47">
        <f>K339+K352</f>
        <v>9066.69</v>
      </c>
      <c r="L353" s="41">
        <f>L339+L352</f>
        <v>4836929.9499999993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143434</v>
      </c>
      <c r="G359" s="18">
        <v>25538.37</v>
      </c>
      <c r="H359" s="18">
        <v>12955.54</v>
      </c>
      <c r="I359" s="18">
        <v>81391.5</v>
      </c>
      <c r="J359" s="18">
        <v>15.62</v>
      </c>
      <c r="K359" s="18">
        <v>339.42</v>
      </c>
      <c r="L359" s="13">
        <f>SUM(F359:K359)</f>
        <v>263674.45</v>
      </c>
      <c r="M359" s="8"/>
      <c r="N359" s="264"/>
    </row>
    <row r="360" spans="1:22" s="3" customFormat="1" ht="12.2" customHeight="1" x14ac:dyDescent="0.15">
      <c r="A360" s="1" t="s">
        <v>542</v>
      </c>
      <c r="B360" s="2" t="s">
        <v>366</v>
      </c>
      <c r="C360" s="6">
        <v>2</v>
      </c>
      <c r="D360" s="2" t="s">
        <v>431</v>
      </c>
      <c r="E360" s="6"/>
      <c r="F360" s="18">
        <v>90016.579999999987</v>
      </c>
      <c r="G360" s="18">
        <v>14045.39</v>
      </c>
      <c r="H360" s="18">
        <v>7485.42</v>
      </c>
      <c r="I360" s="18">
        <v>47026.2</v>
      </c>
      <c r="J360" s="18">
        <v>9.0299999999999994</v>
      </c>
      <c r="K360" s="18">
        <v>196.11</v>
      </c>
      <c r="L360" s="19">
        <f>SUM(F360:K360)</f>
        <v>158778.72999999995</v>
      </c>
      <c r="M360" s="8"/>
      <c r="N360" s="264"/>
    </row>
    <row r="361" spans="1:22" s="3" customFormat="1" ht="12.2" customHeight="1" x14ac:dyDescent="0.15">
      <c r="A361" s="3" t="s">
        <v>543</v>
      </c>
      <c r="B361" s="2" t="s">
        <v>366</v>
      </c>
      <c r="C361" s="6">
        <v>3</v>
      </c>
      <c r="D361" s="2" t="s">
        <v>431</v>
      </c>
      <c r="E361" s="6"/>
      <c r="F361" s="18">
        <v>150739</v>
      </c>
      <c r="G361" s="18">
        <v>22681.72</v>
      </c>
      <c r="H361" s="18">
        <v>15546.64</v>
      </c>
      <c r="I361" s="18">
        <v>97669.8</v>
      </c>
      <c r="J361" s="18">
        <v>18.739999999999998</v>
      </c>
      <c r="K361" s="18">
        <v>407.31</v>
      </c>
      <c r="L361" s="19">
        <f>SUM(F361:K361)</f>
        <v>287063.20999999996</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384189.57999999996</v>
      </c>
      <c r="G363" s="47">
        <f t="shared" si="22"/>
        <v>62265.479999999996</v>
      </c>
      <c r="H363" s="47">
        <f t="shared" si="22"/>
        <v>35987.599999999999</v>
      </c>
      <c r="I363" s="47">
        <f t="shared" si="22"/>
        <v>226087.5</v>
      </c>
      <c r="J363" s="47">
        <f t="shared" si="22"/>
        <v>43.39</v>
      </c>
      <c r="K363" s="47">
        <f t="shared" si="22"/>
        <v>942.83999999999992</v>
      </c>
      <c r="L363" s="47">
        <f t="shared" si="22"/>
        <v>709516.3899999999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63898.32</v>
      </c>
      <c r="G368" s="18">
        <v>36919.03</v>
      </c>
      <c r="H368" s="18">
        <v>76677.990000000005</v>
      </c>
      <c r="I368" s="56">
        <f>SUM(F368:H368)</f>
        <v>177495.34000000003</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17493.18</v>
      </c>
      <c r="G369" s="63">
        <v>10107.17</v>
      </c>
      <c r="H369" s="63">
        <v>20991.81</v>
      </c>
      <c r="I369" s="56">
        <f>SUM(F369:H369)</f>
        <v>48592.160000000003</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81391.5</v>
      </c>
      <c r="G370" s="47">
        <f>SUM(G368:G369)</f>
        <v>47026.2</v>
      </c>
      <c r="H370" s="47">
        <f>SUM(H368:H369)</f>
        <v>97669.8</v>
      </c>
      <c r="I370" s="47">
        <f>SUM(I368:I369)</f>
        <v>226087.50000000003</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0</v>
      </c>
      <c r="G466" s="18">
        <v>1986.47</v>
      </c>
      <c r="H466" s="18">
        <v>491356.95</v>
      </c>
      <c r="I466" s="18"/>
      <c r="J466" s="18"/>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52008811.780000001</v>
      </c>
      <c r="G469" s="18">
        <v>710001.15</v>
      </c>
      <c r="H469" s="18">
        <v>4875917.5</v>
      </c>
      <c r="I469" s="18"/>
      <c r="J469" s="18"/>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52008811.780000001</v>
      </c>
      <c r="G471" s="53">
        <f>SUM(G469:G470)</f>
        <v>710001.15</v>
      </c>
      <c r="H471" s="53">
        <f>SUM(H469:H470)</f>
        <v>4875917.5</v>
      </c>
      <c r="I471" s="53">
        <f>SUM(I469:I470)</f>
        <v>0</v>
      </c>
      <c r="J471" s="53">
        <f>SUM(J469:J470)</f>
        <v>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52008811.780000001</v>
      </c>
      <c r="G473" s="18">
        <v>709516.39</v>
      </c>
      <c r="H473" s="18">
        <v>4836929.95</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52008811.780000001</v>
      </c>
      <c r="G475" s="53">
        <f>SUM(G473:G474)</f>
        <v>709516.39</v>
      </c>
      <c r="H475" s="53">
        <f>SUM(H473:H474)</f>
        <v>4836929.95</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0</v>
      </c>
      <c r="G477" s="53">
        <f>(G466+G471)- G475</f>
        <v>2471.2299999999814</v>
      </c>
      <c r="H477" s="53">
        <f>(H466+H471)- H475</f>
        <v>530344.5</v>
      </c>
      <c r="I477" s="53">
        <f>(I466+I471)- I475</f>
        <v>0</v>
      </c>
      <c r="J477" s="53">
        <f>(J466+J471)- J475</f>
        <v>0</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2413958.04</v>
      </c>
      <c r="G522" s="18">
        <v>1038645.5300000001</v>
      </c>
      <c r="H522" s="18">
        <v>561560.08000000007</v>
      </c>
      <c r="I522" s="18">
        <v>24662.059999999998</v>
      </c>
      <c r="J522" s="18">
        <v>13390</v>
      </c>
      <c r="K522" s="18"/>
      <c r="L522" s="88">
        <f>SUM(F522:K522)</f>
        <v>4052215.7100000004</v>
      </c>
      <c r="N522" s="263"/>
    </row>
    <row r="523" spans="1:14" s="52" customFormat="1" ht="12.2" customHeight="1" x14ac:dyDescent="0.2">
      <c r="A523" s="22" t="s">
        <v>634</v>
      </c>
      <c r="B523" s="105">
        <v>21</v>
      </c>
      <c r="C523" s="115">
        <v>2</v>
      </c>
      <c r="D523" s="2" t="s">
        <v>432</v>
      </c>
      <c r="E523" s="115"/>
      <c r="F523" s="18">
        <v>1265691.2</v>
      </c>
      <c r="G523" s="18">
        <v>543272.55999999994</v>
      </c>
      <c r="H523" s="18">
        <v>487284.56999999995</v>
      </c>
      <c r="I523" s="18">
        <v>10555</v>
      </c>
      <c r="J523" s="18">
        <v>529.66999999999996</v>
      </c>
      <c r="K523" s="18"/>
      <c r="L523" s="88">
        <f>SUM(F523:K523)</f>
        <v>2307332.9999999995</v>
      </c>
      <c r="N523" s="263"/>
    </row>
    <row r="524" spans="1:14" s="52" customFormat="1" ht="12.2" customHeight="1" thickBot="1" x14ac:dyDescent="0.25">
      <c r="A524" s="22" t="s">
        <v>635</v>
      </c>
      <c r="B524" s="105">
        <v>21</v>
      </c>
      <c r="C524" s="115">
        <v>3</v>
      </c>
      <c r="D524" s="2" t="s">
        <v>432</v>
      </c>
      <c r="E524" s="115"/>
      <c r="F524" s="18">
        <v>1826298.45</v>
      </c>
      <c r="G524" s="18">
        <v>595810.26</v>
      </c>
      <c r="H524" s="18">
        <v>358359.11000000004</v>
      </c>
      <c r="I524" s="18">
        <v>38176.550000000003</v>
      </c>
      <c r="J524" s="18">
        <v>22287.63</v>
      </c>
      <c r="K524" s="18">
        <v>1383.55</v>
      </c>
      <c r="L524" s="88">
        <f>SUM(F524:K524)</f>
        <v>2842315.5499999993</v>
      </c>
      <c r="N524" s="263"/>
    </row>
    <row r="525" spans="1:14" s="52" customFormat="1" ht="12.2" customHeight="1" thickTop="1" x14ac:dyDescent="0.2">
      <c r="A525" s="139" t="s">
        <v>63</v>
      </c>
      <c r="B525" s="107">
        <v>21</v>
      </c>
      <c r="C525" s="195">
        <v>4</v>
      </c>
      <c r="D525" s="196" t="s">
        <v>432</v>
      </c>
      <c r="E525" s="195"/>
      <c r="F525" s="108">
        <f>SUM(F522:F524)</f>
        <v>5505947.6900000004</v>
      </c>
      <c r="G525" s="108">
        <f t="shared" ref="G525:L525" si="36">SUM(G522:G524)</f>
        <v>2177728.35</v>
      </c>
      <c r="H525" s="108">
        <f t="shared" si="36"/>
        <v>1407203.76</v>
      </c>
      <c r="I525" s="108">
        <f t="shared" si="36"/>
        <v>73393.61</v>
      </c>
      <c r="J525" s="108">
        <f t="shared" si="36"/>
        <v>36207.300000000003</v>
      </c>
      <c r="K525" s="108">
        <f t="shared" si="36"/>
        <v>1383.55</v>
      </c>
      <c r="L525" s="89">
        <f t="shared" si="36"/>
        <v>9201864.2599999998</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668438.24</v>
      </c>
      <c r="G527" s="18">
        <v>159788.91</v>
      </c>
      <c r="H527" s="18">
        <v>120076.36</v>
      </c>
      <c r="I527" s="18">
        <v>2490.5100000000002</v>
      </c>
      <c r="J527" s="18"/>
      <c r="K527" s="18">
        <v>2772</v>
      </c>
      <c r="L527" s="88">
        <f>SUM(F527:K527)</f>
        <v>953566.02</v>
      </c>
      <c r="M527" s="8"/>
      <c r="N527" s="264"/>
    </row>
    <row r="528" spans="1:14" s="3" customFormat="1" ht="12.2" customHeight="1" x14ac:dyDescent="0.15">
      <c r="A528" s="22" t="s">
        <v>634</v>
      </c>
      <c r="B528" s="105">
        <v>21</v>
      </c>
      <c r="C528" s="115">
        <v>6</v>
      </c>
      <c r="D528" s="2" t="s">
        <v>432</v>
      </c>
      <c r="E528" s="115"/>
      <c r="F528" s="18">
        <v>141261.72999999998</v>
      </c>
      <c r="G528" s="18">
        <v>35392.340000000004</v>
      </c>
      <c r="H528" s="18">
        <v>19833.940000000002</v>
      </c>
      <c r="I528" s="18">
        <v>1438.96</v>
      </c>
      <c r="J528" s="18"/>
      <c r="K528" s="18"/>
      <c r="L528" s="88">
        <f>SUM(F528:K528)</f>
        <v>197926.96999999997</v>
      </c>
      <c r="M528" s="8"/>
      <c r="N528" s="264"/>
    </row>
    <row r="529" spans="1:14" s="3" customFormat="1" ht="12.2" customHeight="1" thickBot="1" x14ac:dyDescent="0.2">
      <c r="A529" s="22" t="s">
        <v>635</v>
      </c>
      <c r="B529" s="118">
        <v>21</v>
      </c>
      <c r="C529" s="118">
        <v>7</v>
      </c>
      <c r="D529" s="2" t="s">
        <v>432</v>
      </c>
      <c r="E529" s="118"/>
      <c r="F529" s="18">
        <v>303651.18</v>
      </c>
      <c r="G529" s="18">
        <v>72535.63</v>
      </c>
      <c r="H529" s="18">
        <v>32794.160000000003</v>
      </c>
      <c r="I529" s="18">
        <v>3148.6200000000003</v>
      </c>
      <c r="J529" s="18">
        <v>146.72999999999999</v>
      </c>
      <c r="K529" s="18">
        <v>18670.080000000002</v>
      </c>
      <c r="L529" s="88">
        <f>SUM(F529:K529)</f>
        <v>430946.39999999997</v>
      </c>
      <c r="M529" s="8"/>
      <c r="N529" s="264"/>
    </row>
    <row r="530" spans="1:14" s="3" customFormat="1" ht="12.2" customHeight="1" thickTop="1" x14ac:dyDescent="0.15">
      <c r="A530" s="139" t="s">
        <v>65</v>
      </c>
      <c r="B530" s="107">
        <v>21</v>
      </c>
      <c r="C530" s="107">
        <v>8</v>
      </c>
      <c r="D530" s="158" t="s">
        <v>432</v>
      </c>
      <c r="E530" s="107"/>
      <c r="F530" s="89">
        <f>SUM(F527:F529)</f>
        <v>1113351.1499999999</v>
      </c>
      <c r="G530" s="89">
        <f t="shared" ref="G530:L530" si="37">SUM(G527:G529)</f>
        <v>267716.88</v>
      </c>
      <c r="H530" s="89">
        <f t="shared" si="37"/>
        <v>172704.46</v>
      </c>
      <c r="I530" s="89">
        <f t="shared" si="37"/>
        <v>7078.09</v>
      </c>
      <c r="J530" s="89">
        <f t="shared" si="37"/>
        <v>146.72999999999999</v>
      </c>
      <c r="K530" s="89">
        <f t="shared" si="37"/>
        <v>21442.080000000002</v>
      </c>
      <c r="L530" s="89">
        <f t="shared" si="37"/>
        <v>1582439.39</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58531.91</v>
      </c>
      <c r="G532" s="18">
        <v>13359.68</v>
      </c>
      <c r="H532" s="18">
        <v>147.1</v>
      </c>
      <c r="I532" s="18"/>
      <c r="J532" s="18"/>
      <c r="K532" s="18"/>
      <c r="L532" s="88">
        <f>SUM(F532:K532)</f>
        <v>72038.69</v>
      </c>
      <c r="M532" s="8"/>
      <c r="N532" s="264"/>
    </row>
    <row r="533" spans="1:14" s="3" customFormat="1" ht="12.2" customHeight="1" x14ac:dyDescent="0.15">
      <c r="A533" s="22" t="s">
        <v>634</v>
      </c>
      <c r="B533" s="105">
        <v>21</v>
      </c>
      <c r="C533" s="105">
        <v>10</v>
      </c>
      <c r="D533" s="2" t="s">
        <v>432</v>
      </c>
      <c r="E533" s="105"/>
      <c r="F533" s="18">
        <v>50022.94</v>
      </c>
      <c r="G533" s="18">
        <v>11799.11</v>
      </c>
      <c r="H533" s="18"/>
      <c r="I533" s="18"/>
      <c r="J533" s="18"/>
      <c r="K533" s="18"/>
      <c r="L533" s="88">
        <f>SUM(F533:K533)</f>
        <v>61822.05</v>
      </c>
      <c r="M533" s="8"/>
      <c r="N533" s="264"/>
    </row>
    <row r="534" spans="1:14" s="3" customFormat="1" ht="12.2" customHeight="1" thickBot="1" x14ac:dyDescent="0.2">
      <c r="A534" s="22" t="s">
        <v>635</v>
      </c>
      <c r="B534" s="105">
        <v>21</v>
      </c>
      <c r="C534" s="105">
        <v>11</v>
      </c>
      <c r="D534" s="2" t="s">
        <v>432</v>
      </c>
      <c r="E534" s="105"/>
      <c r="F534" s="18">
        <v>128404.7</v>
      </c>
      <c r="G534" s="18">
        <v>25496.390000000003</v>
      </c>
      <c r="H534" s="18"/>
      <c r="I534" s="18"/>
      <c r="J534" s="18"/>
      <c r="K534" s="18"/>
      <c r="L534" s="88">
        <f>SUM(F534:K534)</f>
        <v>153901.09</v>
      </c>
      <c r="M534" s="8"/>
      <c r="N534" s="264"/>
    </row>
    <row r="535" spans="1:14" s="3" customFormat="1" ht="12.2" customHeight="1" thickTop="1" x14ac:dyDescent="0.15">
      <c r="A535" s="139" t="s">
        <v>67</v>
      </c>
      <c r="B535" s="107">
        <v>21</v>
      </c>
      <c r="C535" s="107">
        <v>12</v>
      </c>
      <c r="D535" s="158" t="s">
        <v>432</v>
      </c>
      <c r="E535" s="107"/>
      <c r="F535" s="89">
        <f>SUM(F532:F534)</f>
        <v>236959.55</v>
      </c>
      <c r="G535" s="89">
        <f t="shared" ref="G535:L535" si="38">SUM(G532:G534)</f>
        <v>50655.180000000008</v>
      </c>
      <c r="H535" s="89">
        <f t="shared" si="38"/>
        <v>147.1</v>
      </c>
      <c r="I535" s="89">
        <f t="shared" si="38"/>
        <v>0</v>
      </c>
      <c r="J535" s="89">
        <f t="shared" si="38"/>
        <v>0</v>
      </c>
      <c r="K535" s="89">
        <f t="shared" si="38"/>
        <v>0</v>
      </c>
      <c r="L535" s="89">
        <f t="shared" si="38"/>
        <v>287761.82999999996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28264.720000000001</v>
      </c>
      <c r="I537" s="18"/>
      <c r="J537" s="18"/>
      <c r="K537" s="18"/>
      <c r="L537" s="88">
        <f>SUM(F537:K537)</f>
        <v>28264.720000000001</v>
      </c>
      <c r="M537" s="8"/>
      <c r="N537" s="264"/>
    </row>
    <row r="538" spans="1:14" s="3" customFormat="1" ht="12.2" customHeight="1" x14ac:dyDescent="0.15">
      <c r="A538" s="22" t="s">
        <v>634</v>
      </c>
      <c r="B538" s="105">
        <v>21</v>
      </c>
      <c r="C538" s="105">
        <v>14</v>
      </c>
      <c r="D538" s="2" t="s">
        <v>432</v>
      </c>
      <c r="E538" s="105"/>
      <c r="F538" s="18"/>
      <c r="G538" s="18"/>
      <c r="H538" s="18">
        <v>16330.73</v>
      </c>
      <c r="I538" s="18"/>
      <c r="J538" s="18"/>
      <c r="K538" s="18"/>
      <c r="L538" s="88">
        <f>SUM(F538:K538)</f>
        <v>16330.73</v>
      </c>
      <c r="M538" s="8"/>
      <c r="N538" s="264"/>
    </row>
    <row r="539" spans="1:14" s="3" customFormat="1" ht="12.2" customHeight="1" thickBot="1" x14ac:dyDescent="0.2">
      <c r="A539" s="22" t="s">
        <v>635</v>
      </c>
      <c r="B539" s="105">
        <v>21</v>
      </c>
      <c r="C539" s="105">
        <v>15</v>
      </c>
      <c r="D539" s="2" t="s">
        <v>432</v>
      </c>
      <c r="E539" s="105"/>
      <c r="F539" s="18"/>
      <c r="G539" s="18"/>
      <c r="H539" s="18">
        <v>33917.660000000003</v>
      </c>
      <c r="I539" s="18"/>
      <c r="J539" s="18"/>
      <c r="K539" s="18"/>
      <c r="L539" s="88">
        <f>SUM(F539:K539)</f>
        <v>33917.660000000003</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78513.11</v>
      </c>
      <c r="I540" s="89">
        <f t="shared" si="39"/>
        <v>0</v>
      </c>
      <c r="J540" s="89">
        <f t="shared" si="39"/>
        <v>0</v>
      </c>
      <c r="K540" s="89">
        <f t="shared" si="39"/>
        <v>0</v>
      </c>
      <c r="L540" s="89">
        <f t="shared" si="39"/>
        <v>78513.11</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137656.32000000001</v>
      </c>
      <c r="I542" s="18"/>
      <c r="J542" s="18"/>
      <c r="K542" s="18"/>
      <c r="L542" s="88">
        <f>SUM(F542:K542)</f>
        <v>137656.32000000001</v>
      </c>
      <c r="M542" s="8"/>
      <c r="N542" s="264"/>
    </row>
    <row r="543" spans="1:14" s="3" customFormat="1" ht="12.2" customHeight="1" x14ac:dyDescent="0.15">
      <c r="A543" s="22" t="s">
        <v>634</v>
      </c>
      <c r="B543" s="105">
        <v>21</v>
      </c>
      <c r="C543" s="105">
        <v>18</v>
      </c>
      <c r="D543" s="2" t="s">
        <v>432</v>
      </c>
      <c r="E543" s="105"/>
      <c r="F543" s="18"/>
      <c r="G543" s="18"/>
      <c r="H543" s="18">
        <v>142031.1</v>
      </c>
      <c r="I543" s="18"/>
      <c r="J543" s="18"/>
      <c r="K543" s="18"/>
      <c r="L543" s="88">
        <f>SUM(F543:K543)</f>
        <v>142031.1</v>
      </c>
      <c r="M543" s="8"/>
      <c r="N543" s="264"/>
    </row>
    <row r="544" spans="1:14" s="3" customFormat="1" ht="12.2" customHeight="1" thickBot="1" x14ac:dyDescent="0.2">
      <c r="A544" s="22" t="s">
        <v>635</v>
      </c>
      <c r="B544" s="105">
        <v>21</v>
      </c>
      <c r="C544" s="105">
        <v>19</v>
      </c>
      <c r="D544" s="2" t="s">
        <v>432</v>
      </c>
      <c r="E544" s="105"/>
      <c r="F544" s="18"/>
      <c r="G544" s="18"/>
      <c r="H544" s="18">
        <v>90022.05</v>
      </c>
      <c r="I544" s="18"/>
      <c r="J544" s="18"/>
      <c r="K544" s="18"/>
      <c r="L544" s="88">
        <f>SUM(F544:K544)</f>
        <v>90022.05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369709.47000000003</v>
      </c>
      <c r="I545" s="193">
        <f t="shared" si="40"/>
        <v>0</v>
      </c>
      <c r="J545" s="193">
        <f t="shared" si="40"/>
        <v>0</v>
      </c>
      <c r="K545" s="193">
        <f t="shared" si="40"/>
        <v>0</v>
      </c>
      <c r="L545" s="193">
        <f t="shared" si="40"/>
        <v>369709.47000000003</v>
      </c>
      <c r="M545" s="8"/>
      <c r="N545" s="264"/>
    </row>
    <row r="546" spans="1:14" s="3" customFormat="1" ht="12.2" customHeight="1" thickTop="1" x14ac:dyDescent="0.15">
      <c r="A546" s="98" t="s">
        <v>72</v>
      </c>
      <c r="B546" s="107">
        <v>21</v>
      </c>
      <c r="C546" s="107">
        <v>21</v>
      </c>
      <c r="D546" s="158" t="s">
        <v>432</v>
      </c>
      <c r="E546" s="107"/>
      <c r="F546" s="89">
        <f>F525+F530+F535+F540+F545</f>
        <v>6856258.3899999997</v>
      </c>
      <c r="G546" s="89">
        <f t="shared" ref="G546:L546" si="41">G525+G530+G535+G540+G545</f>
        <v>2496100.41</v>
      </c>
      <c r="H546" s="89">
        <f t="shared" si="41"/>
        <v>2028277.9000000001</v>
      </c>
      <c r="I546" s="89">
        <f t="shared" si="41"/>
        <v>80471.7</v>
      </c>
      <c r="J546" s="89">
        <f t="shared" si="41"/>
        <v>36354.030000000006</v>
      </c>
      <c r="K546" s="89">
        <f t="shared" si="41"/>
        <v>22825.63</v>
      </c>
      <c r="L546" s="89">
        <f t="shared" si="41"/>
        <v>11520288.060000001</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4052215.7100000004</v>
      </c>
      <c r="G550" s="87">
        <f>L527</f>
        <v>953566.02</v>
      </c>
      <c r="H550" s="87">
        <f>L532</f>
        <v>72038.69</v>
      </c>
      <c r="I550" s="87">
        <f>L537</f>
        <v>28264.720000000001</v>
      </c>
      <c r="J550" s="87">
        <f>L542</f>
        <v>137656.32000000001</v>
      </c>
      <c r="K550" s="87">
        <f>SUM(F550:J550)</f>
        <v>5243741.4600000009</v>
      </c>
      <c r="L550" s="24" t="s">
        <v>288</v>
      </c>
      <c r="M550" s="8"/>
      <c r="N550" s="264"/>
    </row>
    <row r="551" spans="1:14" s="3" customFormat="1" ht="12.2" customHeight="1" x14ac:dyDescent="0.15">
      <c r="A551" s="22" t="s">
        <v>634</v>
      </c>
      <c r="B551" s="75">
        <v>21</v>
      </c>
      <c r="C551" s="75">
        <v>23</v>
      </c>
      <c r="D551" s="2" t="s">
        <v>432</v>
      </c>
      <c r="E551" s="75"/>
      <c r="F551" s="87">
        <f>L523</f>
        <v>2307332.9999999995</v>
      </c>
      <c r="G551" s="87">
        <f>L528</f>
        <v>197926.96999999997</v>
      </c>
      <c r="H551" s="87">
        <f>L533</f>
        <v>61822.05</v>
      </c>
      <c r="I551" s="87">
        <f>L538</f>
        <v>16330.73</v>
      </c>
      <c r="J551" s="87">
        <f>L543</f>
        <v>142031.1</v>
      </c>
      <c r="K551" s="87">
        <f>SUM(F551:J551)</f>
        <v>2725443.8499999996</v>
      </c>
      <c r="L551" s="24" t="s">
        <v>288</v>
      </c>
      <c r="M551" s="8"/>
      <c r="N551" s="264"/>
    </row>
    <row r="552" spans="1:14" s="3" customFormat="1" ht="12.2" customHeight="1" thickBot="1" x14ac:dyDescent="0.2">
      <c r="A552" s="22" t="s">
        <v>635</v>
      </c>
      <c r="B552" s="75">
        <v>21</v>
      </c>
      <c r="C552" s="75">
        <v>24</v>
      </c>
      <c r="D552" s="2" t="s">
        <v>432</v>
      </c>
      <c r="E552" s="75"/>
      <c r="F552" s="87">
        <f>L524</f>
        <v>2842315.5499999993</v>
      </c>
      <c r="G552" s="87">
        <f>L529</f>
        <v>430946.39999999997</v>
      </c>
      <c r="H552" s="87">
        <f>L534</f>
        <v>153901.09</v>
      </c>
      <c r="I552" s="87">
        <f>L539</f>
        <v>33917.660000000003</v>
      </c>
      <c r="J552" s="87">
        <f>L544</f>
        <v>90022.05</v>
      </c>
      <c r="K552" s="87">
        <f>SUM(F552:J552)</f>
        <v>3551102.7499999991</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9201864.2599999998</v>
      </c>
      <c r="G553" s="89">
        <f t="shared" si="42"/>
        <v>1582439.39</v>
      </c>
      <c r="H553" s="89">
        <f t="shared" si="42"/>
        <v>287761.82999999996</v>
      </c>
      <c r="I553" s="89">
        <f t="shared" si="42"/>
        <v>78513.11</v>
      </c>
      <c r="J553" s="89">
        <f t="shared" si="42"/>
        <v>369709.47000000003</v>
      </c>
      <c r="K553" s="89">
        <f t="shared" si="42"/>
        <v>11520288.059999999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155535.89000000001</v>
      </c>
      <c r="G563" s="18">
        <v>30207.8</v>
      </c>
      <c r="H563" s="18"/>
      <c r="I563" s="18">
        <v>31.58</v>
      </c>
      <c r="J563" s="18"/>
      <c r="K563" s="18"/>
      <c r="L563" s="88">
        <f>SUM(F563:K563)</f>
        <v>185775.27</v>
      </c>
      <c r="M563" s="8"/>
      <c r="N563" s="264"/>
    </row>
    <row r="564" spans="1:14" s="3" customFormat="1" ht="12.2" customHeight="1" x14ac:dyDescent="0.15">
      <c r="A564" s="22" t="s">
        <v>634</v>
      </c>
      <c r="B564" s="105">
        <v>22</v>
      </c>
      <c r="C564" s="115">
        <v>6</v>
      </c>
      <c r="D564" s="2" t="s">
        <v>432</v>
      </c>
      <c r="E564" s="115"/>
      <c r="F564" s="18">
        <v>62444.639999999999</v>
      </c>
      <c r="G564" s="18">
        <v>14833.2</v>
      </c>
      <c r="H564" s="18"/>
      <c r="I564" s="18">
        <v>118</v>
      </c>
      <c r="J564" s="18"/>
      <c r="K564" s="18"/>
      <c r="L564" s="88">
        <f>SUM(F564:K564)</f>
        <v>77395.839999999997</v>
      </c>
      <c r="M564" s="8"/>
      <c r="N564" s="264"/>
    </row>
    <row r="565" spans="1:14" s="3" customFormat="1" ht="12.2" customHeight="1" thickBot="1" x14ac:dyDescent="0.2">
      <c r="A565" s="22" t="s">
        <v>635</v>
      </c>
      <c r="B565" s="105">
        <v>22</v>
      </c>
      <c r="C565" s="118">
        <v>7</v>
      </c>
      <c r="D565" s="2" t="s">
        <v>432</v>
      </c>
      <c r="E565" s="118"/>
      <c r="F565" s="18">
        <v>83853.64</v>
      </c>
      <c r="G565" s="18">
        <v>15747.85</v>
      </c>
      <c r="H565" s="18"/>
      <c r="I565" s="18">
        <v>362.12</v>
      </c>
      <c r="J565" s="18"/>
      <c r="K565" s="18"/>
      <c r="L565" s="88">
        <f>SUM(F565:K565)</f>
        <v>99963.61</v>
      </c>
      <c r="M565" s="8"/>
      <c r="N565" s="264"/>
    </row>
    <row r="566" spans="1:14" s="3" customFormat="1" ht="12.2" customHeight="1" thickTop="1" x14ac:dyDescent="0.15">
      <c r="A566" s="139" t="s">
        <v>65</v>
      </c>
      <c r="B566" s="107">
        <v>22</v>
      </c>
      <c r="C566" s="107">
        <v>8</v>
      </c>
      <c r="D566" s="196" t="s">
        <v>432</v>
      </c>
      <c r="E566" s="107"/>
      <c r="F566" s="89">
        <f t="shared" ref="F566:L566" si="44">SUM(F563:F565)</f>
        <v>301834.17000000004</v>
      </c>
      <c r="G566" s="89">
        <f t="shared" si="44"/>
        <v>60788.85</v>
      </c>
      <c r="H566" s="89">
        <f t="shared" si="44"/>
        <v>0</v>
      </c>
      <c r="I566" s="89">
        <f t="shared" si="44"/>
        <v>511.7</v>
      </c>
      <c r="J566" s="89">
        <f t="shared" si="44"/>
        <v>0</v>
      </c>
      <c r="K566" s="89">
        <f t="shared" si="44"/>
        <v>0</v>
      </c>
      <c r="L566" s="89">
        <f t="shared" si="44"/>
        <v>363134.71999999997</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301834.17000000004</v>
      </c>
      <c r="G572" s="89">
        <f t="shared" ref="G572:L572" si="46">G561+G566+G571</f>
        <v>60788.85</v>
      </c>
      <c r="H572" s="89">
        <f t="shared" si="46"/>
        <v>0</v>
      </c>
      <c r="I572" s="89">
        <f t="shared" si="46"/>
        <v>511.7</v>
      </c>
      <c r="J572" s="89">
        <f t="shared" si="46"/>
        <v>0</v>
      </c>
      <c r="K572" s="89">
        <f t="shared" si="46"/>
        <v>0</v>
      </c>
      <c r="L572" s="89">
        <f t="shared" si="46"/>
        <v>363134.71999999997</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v>645</v>
      </c>
      <c r="I579" s="87">
        <f t="shared" si="47"/>
        <v>645</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391027.57</v>
      </c>
      <c r="G583" s="18">
        <v>433782.92</v>
      </c>
      <c r="H583" s="18">
        <f>264820.38+184450</f>
        <v>449270.38</v>
      </c>
      <c r="I583" s="87">
        <f t="shared" si="47"/>
        <v>1274080.8700000001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750</v>
      </c>
      <c r="I585" s="87">
        <f t="shared" si="47"/>
        <v>750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334651.99</v>
      </c>
      <c r="I592" s="18">
        <v>193354.48</v>
      </c>
      <c r="J592" s="18">
        <v>401582.4</v>
      </c>
      <c r="K592" s="104">
        <f t="shared" ref="K592:K598" si="48">SUM(H592:J592)</f>
        <v>929588.87</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120835.53</v>
      </c>
      <c r="I593" s="18">
        <v>138200.62</v>
      </c>
      <c r="J593" s="18">
        <v>110673.32</v>
      </c>
      <c r="K593" s="104">
        <f t="shared" si="48"/>
        <v>369709.47</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3096.96</v>
      </c>
      <c r="J595" s="18">
        <v>56537.85</v>
      </c>
      <c r="K595" s="104">
        <f t="shared" si="48"/>
        <v>59634.81</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39357.49</v>
      </c>
      <c r="I596" s="18">
        <v>24222.11</v>
      </c>
      <c r="J596" s="18">
        <v>31879.46</v>
      </c>
      <c r="K596" s="104">
        <f t="shared" si="48"/>
        <v>95459.06</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494845.01</v>
      </c>
      <c r="I599" s="108">
        <f>SUM(I592:I598)</f>
        <v>358874.17</v>
      </c>
      <c r="J599" s="108">
        <f>SUM(J592:J598)</f>
        <v>600673.03</v>
      </c>
      <c r="K599" s="108">
        <f>SUM(K592:K598)</f>
        <v>1454392.21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22457.4</v>
      </c>
      <c r="I604" s="18">
        <v>16396.54</v>
      </c>
      <c r="J604" s="18">
        <v>17231.289999999997</v>
      </c>
      <c r="K604" s="104">
        <f>SUM(H604:J604)</f>
        <v>56085.229999999996</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200358.77000000002</v>
      </c>
      <c r="I605" s="18">
        <v>125544.23000000001</v>
      </c>
      <c r="J605" s="18">
        <v>247850.27</v>
      </c>
      <c r="K605" s="104">
        <f>SUM(H605:J605)</f>
        <v>573753.27</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222816.17</v>
      </c>
      <c r="I606" s="108">
        <f>SUM(I603:I605)</f>
        <v>141940.77000000002</v>
      </c>
      <c r="J606" s="108">
        <f>SUM(J603:J605)</f>
        <v>265081.56</v>
      </c>
      <c r="K606" s="108">
        <f>SUM(K603:K605)</f>
        <v>629838.5</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f>5000+7430</f>
        <v>12430</v>
      </c>
      <c r="G614" s="18">
        <f>382.5+890+574.85+83.78+1007.94</f>
        <v>2939.0699999999997</v>
      </c>
      <c r="H614" s="18"/>
      <c r="I614" s="18"/>
      <c r="J614" s="18"/>
      <c r="K614" s="18"/>
      <c r="L614" s="88">
        <f>SUM(F614:K614)</f>
        <v>15369.07</v>
      </c>
      <c r="M614" s="8"/>
      <c r="N614" s="264"/>
    </row>
    <row r="615" spans="1:14" s="3" customFormat="1" ht="12.2" customHeight="1" thickTop="1" x14ac:dyDescent="0.15">
      <c r="A615" s="98" t="s">
        <v>340</v>
      </c>
      <c r="B615" s="107">
        <v>23</v>
      </c>
      <c r="C615" s="107">
        <v>16</v>
      </c>
      <c r="D615" s="39" t="s">
        <v>432</v>
      </c>
      <c r="E615" s="107"/>
      <c r="F615" s="108">
        <f t="shared" ref="F615:L615" si="49">SUM(F612:F614)</f>
        <v>12430</v>
      </c>
      <c r="G615" s="108">
        <f t="shared" si="49"/>
        <v>2939.0699999999997</v>
      </c>
      <c r="H615" s="108">
        <f t="shared" si="49"/>
        <v>0</v>
      </c>
      <c r="I615" s="108">
        <f t="shared" si="49"/>
        <v>0</v>
      </c>
      <c r="J615" s="108">
        <f t="shared" si="49"/>
        <v>0</v>
      </c>
      <c r="K615" s="108">
        <f t="shared" si="49"/>
        <v>0</v>
      </c>
      <c r="L615" s="89">
        <f t="shared" si="49"/>
        <v>15369.07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89332.98</v>
      </c>
      <c r="H619" s="109">
        <f>SUM(G52)</f>
        <v>89332.98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530344.5</v>
      </c>
      <c r="H620" s="109">
        <f>SUM(H52)</f>
        <v>530344.5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2471.23</v>
      </c>
      <c r="H624" s="109">
        <f>G477</f>
        <v>2471.2299999999814</v>
      </c>
      <c r="I624" s="121" t="s">
        <v>102</v>
      </c>
      <c r="J624" s="109">
        <f t="shared" si="50"/>
        <v>1.8644641386345029E-11</v>
      </c>
      <c r="K624" s="109"/>
      <c r="L624" s="109"/>
      <c r="M624" s="8"/>
    </row>
    <row r="625" spans="1:13" s="3" customFormat="1" ht="12.2" customHeight="1" x14ac:dyDescent="0.15">
      <c r="A625" s="97"/>
      <c r="B625" s="105"/>
      <c r="C625" s="105"/>
      <c r="D625" s="105"/>
      <c r="E625" s="105"/>
      <c r="F625" s="120" t="s">
        <v>867</v>
      </c>
      <c r="G625" s="109">
        <f>H51</f>
        <v>530344.5</v>
      </c>
      <c r="H625" s="109">
        <f>H477</f>
        <v>530344.5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52008811.780000001</v>
      </c>
      <c r="H628" s="104">
        <f>SUM(F469)</f>
        <v>52008811.780000001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710001.14999999991</v>
      </c>
      <c r="H629" s="104">
        <f>SUM(G469)</f>
        <v>710001.15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4875917.5</v>
      </c>
      <c r="H630" s="104">
        <f>SUM(H469)</f>
        <v>4875917.5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52008811.780000001</v>
      </c>
      <c r="H633" s="104">
        <f>SUM(F473)</f>
        <v>52008811.780000001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4836929.9499999993</v>
      </c>
      <c r="H634" s="104">
        <f>SUM(H473)</f>
        <v>4836929.95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226087.5</v>
      </c>
      <c r="H635" s="104">
        <f>I370</f>
        <v>226087.50000000003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709516.3899999999</v>
      </c>
      <c r="H636" s="104">
        <f>SUM(G473)</f>
        <v>709516.39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1454392.21</v>
      </c>
      <c r="H648" s="104">
        <f>L209+L227+L245</f>
        <v>1454392.21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629838.5</v>
      </c>
      <c r="H649" s="104">
        <f>(J258+J339)-(J256+J337)</f>
        <v>629838.5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494845.01</v>
      </c>
      <c r="H650" s="104">
        <f>H599</f>
        <v>494845.01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358874.17</v>
      </c>
      <c r="H651" s="104">
        <f>I599</f>
        <v>358874.17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600673.03</v>
      </c>
      <c r="H652" s="104">
        <f>J599</f>
        <v>600673.03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246360</v>
      </c>
      <c r="H653" s="104">
        <f>K264+K346</f>
        <v>246360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1091381</v>
      </c>
      <c r="H654" s="104">
        <f>K265</f>
        <v>1091381</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21468517.910000004</v>
      </c>
      <c r="G661" s="19">
        <f>(L230+L310+L360)</f>
        <v>11613262.020000003</v>
      </c>
      <c r="H661" s="19">
        <f>(L248+L329+L361)</f>
        <v>22918023.18</v>
      </c>
      <c r="I661" s="19">
        <f>SUM(F661:H661)</f>
        <v>55999803.110000007</v>
      </c>
      <c r="J661" s="13"/>
      <c r="K661" s="13"/>
      <c r="L661" s="13"/>
      <c r="M661" s="9"/>
    </row>
    <row r="662" spans="1:13" s="3" customFormat="1" ht="12.2" customHeight="1" x14ac:dyDescent="0.2">
      <c r="A662" s="1" t="s">
        <v>127</v>
      </c>
      <c r="F662" s="19">
        <f>(L359/IF(SUM(L359:L361)=0,1,SUM(L359:L361))*(SUM(G97:G110)))</f>
        <v>26353.944213789768</v>
      </c>
      <c r="G662" s="19">
        <f>(L360/IF(SUM(L359:L361)=0,1,SUM(L359:L361))*(SUM(G97:G110)))</f>
        <v>15869.743134977189</v>
      </c>
      <c r="H662" s="19">
        <f>(L361/IF(SUM(L359:L361)=0,1,SUM(L359:L361))*(SUM(G97:G110)))</f>
        <v>28691.622651233047</v>
      </c>
      <c r="I662" s="19">
        <f>SUM(F662:H662)</f>
        <v>70915.31</v>
      </c>
      <c r="J662"/>
      <c r="K662" s="13"/>
      <c r="L662" s="13"/>
      <c r="M662" s="8"/>
    </row>
    <row r="663" spans="1:13" s="3" customFormat="1" ht="12.2" customHeight="1" x14ac:dyDescent="0.2">
      <c r="A663" s="1" t="s">
        <v>128</v>
      </c>
      <c r="F663" s="19">
        <f>(L209+L288)-(J209+J288)</f>
        <v>494845.01</v>
      </c>
      <c r="G663" s="19">
        <f>(L227+L307)-(J227+J307)</f>
        <v>358874.17</v>
      </c>
      <c r="H663" s="19">
        <f>(L245+L326)-(J245+J326)</f>
        <v>602444.63</v>
      </c>
      <c r="I663" s="19">
        <f>SUM(F663:H663)</f>
        <v>1456163.81</v>
      </c>
      <c r="J663"/>
      <c r="K663" s="13"/>
      <c r="L663" s="13"/>
      <c r="M663" s="9"/>
    </row>
    <row r="664" spans="1:13" s="3" customFormat="1" ht="12.2" customHeight="1" x14ac:dyDescent="0.15">
      <c r="A664" s="198" t="s">
        <v>129</v>
      </c>
      <c r="B664" s="169"/>
      <c r="C664" s="169"/>
      <c r="D664" s="169"/>
      <c r="E664" s="169"/>
      <c r="F664" s="199">
        <f>SUM(F576:F588)+SUM(H603:H605)+SUM(L612)</f>
        <v>613843.74</v>
      </c>
      <c r="G664" s="199">
        <f>SUM(G576:G588)+SUM(I603:I605)+L613</f>
        <v>575723.68999999994</v>
      </c>
      <c r="H664" s="199">
        <f>SUM(H576:H588)+SUM(J603:J605)+L614</f>
        <v>731116.00999999989</v>
      </c>
      <c r="I664" s="19">
        <f>SUM(F664:H664)</f>
        <v>1920683.44</v>
      </c>
      <c r="J664" s="13"/>
      <c r="K664" s="13"/>
      <c r="L664" s="13"/>
      <c r="M664" s="9"/>
    </row>
    <row r="665" spans="1:13" s="3" customFormat="1" ht="12.2" customHeight="1" x14ac:dyDescent="0.15">
      <c r="A665" s="1" t="s">
        <v>130</v>
      </c>
      <c r="F665" s="19">
        <f>F661-SUM(F662:F664)</f>
        <v>20333475.215786215</v>
      </c>
      <c r="G665" s="19">
        <f>G661-SUM(G662:G664)</f>
        <v>10662794.416865027</v>
      </c>
      <c r="H665" s="19">
        <f>H661-SUM(H662:H664)</f>
        <v>21555770.917348765</v>
      </c>
      <c r="I665" s="19">
        <f>I661-SUM(I662:I664)</f>
        <v>52552040.550000004</v>
      </c>
      <c r="J665" s="13"/>
      <c r="K665" s="13"/>
      <c r="L665" s="13"/>
      <c r="M665" s="8"/>
    </row>
    <row r="666" spans="1:13" s="3" customFormat="1" ht="12.2" customHeight="1" x14ac:dyDescent="0.25">
      <c r="A666" s="1" t="s">
        <v>131</v>
      </c>
      <c r="F666" s="359">
        <v>900.15</v>
      </c>
      <c r="G666" s="359">
        <v>519.14</v>
      </c>
      <c r="H666" s="359">
        <v>1080.94</v>
      </c>
      <c r="I666" s="19">
        <f>SUM(F666:H666)</f>
        <v>2500.23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22588.99</v>
      </c>
      <c r="G668" s="19">
        <f>ROUND(G665/G666,2)</f>
        <v>20539.34</v>
      </c>
      <c r="H668" s="19">
        <f>ROUND(H665/H666,2)</f>
        <v>19941.689999999999</v>
      </c>
      <c r="I668" s="19">
        <f>ROUND(I665/I666,2)</f>
        <v>21018.880000000001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-0.17</v>
      </c>
      <c r="I671" s="19">
        <f>SUM(F671:H671)</f>
        <v>-0.17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22588.99</v>
      </c>
      <c r="G673" s="19">
        <f>ROUND((G665+G670)/(G666+G671),2)</f>
        <v>20539.34</v>
      </c>
      <c r="H673" s="19">
        <f>ROUND((H665+H670)/(H666+H671),2)</f>
        <v>19944.830000000002</v>
      </c>
      <c r="I673" s="19">
        <f>ROUND((I665+I670)/(I666+I671),2)</f>
        <v>21020.31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284825.64</v>
      </c>
      <c r="F7" s="346"/>
    </row>
    <row r="8" spans="2:6" x14ac:dyDescent="0.25">
      <c r="B8" s="346"/>
      <c r="C8" s="346"/>
      <c r="D8" s="346"/>
      <c r="E8" s="346"/>
      <c r="F8" s="346"/>
    </row>
    <row r="9" spans="2:6" x14ac:dyDescent="0.25">
      <c r="B9" s="346"/>
      <c r="C9" s="346" t="s">
        <v>1650</v>
      </c>
      <c r="D9" s="346" t="s">
        <v>1651</v>
      </c>
      <c r="E9" s="341">
        <v>0</v>
      </c>
      <c r="F9" s="346"/>
    </row>
    <row r="10" spans="2:6" x14ac:dyDescent="0.25">
      <c r="B10" s="346"/>
      <c r="C10" s="346"/>
      <c r="D10" s="346"/>
      <c r="E10" s="346"/>
      <c r="F10" s="346"/>
    </row>
    <row r="11" spans="2:6" x14ac:dyDescent="0.25">
      <c r="B11" s="346"/>
      <c r="C11" s="346" t="s">
        <v>1652</v>
      </c>
      <c r="D11" s="346" t="s">
        <v>1653</v>
      </c>
      <c r="E11" s="341">
        <v>0</v>
      </c>
      <c r="F11" s="346"/>
    </row>
    <row r="12" spans="2:6" x14ac:dyDescent="0.25">
      <c r="B12" s="346"/>
      <c r="C12" s="346"/>
      <c r="D12" s="346"/>
      <c r="E12" s="346"/>
      <c r="F12" s="346"/>
    </row>
    <row r="13" spans="2:6" x14ac:dyDescent="0.25">
      <c r="B13" s="346"/>
      <c r="C13" s="346" t="s">
        <v>1654</v>
      </c>
      <c r="D13" s="346" t="s">
        <v>1655</v>
      </c>
      <c r="E13" s="341">
        <v>0</v>
      </c>
      <c r="F13" s="346"/>
    </row>
    <row r="14" spans="2:6" x14ac:dyDescent="0.25">
      <c r="B14" s="346"/>
      <c r="C14" s="346"/>
      <c r="D14" s="346"/>
      <c r="E14" s="346"/>
      <c r="F14" s="346"/>
    </row>
    <row r="15" spans="2:6" x14ac:dyDescent="0.25">
      <c r="B15" s="346"/>
      <c r="C15" s="346" t="s">
        <v>1656</v>
      </c>
      <c r="D15" s="346" t="s">
        <v>1657</v>
      </c>
      <c r="E15" s="341">
        <v>0</v>
      </c>
      <c r="F15" s="346"/>
    </row>
    <row r="16" spans="2:6" x14ac:dyDescent="0.25">
      <c r="B16" s="346"/>
      <c r="C16" s="346"/>
      <c r="D16" s="346"/>
      <c r="E16" s="346"/>
      <c r="F16" s="346"/>
    </row>
    <row r="17" spans="2:8" x14ac:dyDescent="0.25">
      <c r="B17" s="346"/>
      <c r="C17" s="346" t="s">
        <v>1658</v>
      </c>
      <c r="D17" s="347">
        <v>21.018999999999998</v>
      </c>
      <c r="E17" s="341">
        <v>440200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553822.64</v>
      </c>
      <c r="F22" s="346"/>
    </row>
    <row r="23" spans="2:8" x14ac:dyDescent="0.25">
      <c r="B23" s="346"/>
      <c r="C23" s="346"/>
      <c r="D23" s="346"/>
      <c r="E23" s="346"/>
      <c r="F23" s="346"/>
    </row>
    <row r="24" spans="2:8" ht="26.25" customHeight="1" x14ac:dyDescent="0.25">
      <c r="B24" s="346"/>
      <c r="C24" s="348" t="s">
        <v>1661</v>
      </c>
      <c r="D24" s="346"/>
      <c r="E24" s="341">
        <v>148859.64000000001</v>
      </c>
      <c r="F24" s="346"/>
    </row>
    <row r="25" spans="2:8" ht="18" x14ac:dyDescent="0.25">
      <c r="B25" s="346"/>
      <c r="C25" s="349"/>
      <c r="D25" s="346"/>
      <c r="E25" s="346"/>
      <c r="F25" s="346"/>
    </row>
    <row r="26" spans="2:8" ht="27.75" customHeight="1" x14ac:dyDescent="0.25">
      <c r="B26" s="346"/>
      <c r="C26" s="348" t="s">
        <v>1662</v>
      </c>
      <c r="D26" s="346"/>
      <c r="E26" s="341">
        <v>404963</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v>171203</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4"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Portsmouth School Department (SAU 52)</v>
      </c>
      <c r="C5" s="363"/>
      <c r="D5" s="363"/>
      <c r="E5" s="363"/>
      <c r="F5" s="363"/>
    </row>
    <row r="8" spans="1:9" ht="18" x14ac:dyDescent="0.25">
      <c r="A8" s="317" t="s">
        <v>1576</v>
      </c>
      <c r="F8" s="324" t="s">
        <v>1594</v>
      </c>
    </row>
    <row r="9" spans="1:9" ht="15" x14ac:dyDescent="0.2">
      <c r="A9" s="315" t="s">
        <v>1577</v>
      </c>
      <c r="B9" s="318">
        <f>'DOE25'!G97</f>
        <v>62435.48</v>
      </c>
      <c r="F9" s="315" t="s">
        <v>1590</v>
      </c>
    </row>
    <row r="10" spans="1:9" ht="15" x14ac:dyDescent="0.2">
      <c r="A10" s="315" t="s">
        <v>1578</v>
      </c>
      <c r="B10" s="318">
        <f>'DOE25'!G112-'DOE25'!G97</f>
        <v>8479.8299999999945</v>
      </c>
      <c r="F10" s="315" t="s">
        <v>1591</v>
      </c>
    </row>
    <row r="11" spans="1:9" ht="15" x14ac:dyDescent="0.2">
      <c r="A11" s="315" t="s">
        <v>1579</v>
      </c>
      <c r="B11" s="318">
        <f>'DOE25'!G140</f>
        <v>9031.67</v>
      </c>
      <c r="F11" s="315" t="s">
        <v>1592</v>
      </c>
    </row>
    <row r="12" spans="1:9" ht="15" x14ac:dyDescent="0.2">
      <c r="A12" s="315" t="s">
        <v>1580</v>
      </c>
      <c r="B12" s="318">
        <f>'DOE25'!G170</f>
        <v>383694.17</v>
      </c>
      <c r="F12" s="315" t="s">
        <v>1593</v>
      </c>
    </row>
    <row r="13" spans="1:9" ht="15" x14ac:dyDescent="0.2">
      <c r="A13" s="315" t="s">
        <v>1581</v>
      </c>
      <c r="B13" s="318">
        <f>'DOE25'!G193-'DOE25'!G180</f>
        <v>0</v>
      </c>
      <c r="F13" s="315" t="s">
        <v>1603</v>
      </c>
    </row>
    <row r="14" spans="1:9" ht="18" x14ac:dyDescent="0.25">
      <c r="A14" s="317" t="s">
        <v>732</v>
      </c>
      <c r="B14" s="319">
        <f>SUM(B9:B13)</f>
        <v>463641.14999999997</v>
      </c>
    </row>
    <row r="16" spans="1:9" ht="18" x14ac:dyDescent="0.25">
      <c r="A16" s="317" t="s">
        <v>786</v>
      </c>
      <c r="F16" s="324" t="s">
        <v>1595</v>
      </c>
    </row>
    <row r="17" spans="1:6" ht="15" x14ac:dyDescent="0.2">
      <c r="A17" s="315" t="s">
        <v>1582</v>
      </c>
      <c r="B17" s="318">
        <f>'DOE25'!L363-'DOE25'!L362</f>
        <v>709516.3899999999</v>
      </c>
      <c r="F17" s="315" t="s">
        <v>1596</v>
      </c>
    </row>
    <row r="18" spans="1:6" ht="15" x14ac:dyDescent="0.2">
      <c r="A18" s="315" t="s">
        <v>1583</v>
      </c>
      <c r="B18" s="328"/>
      <c r="F18" s="324" t="s">
        <v>1620</v>
      </c>
    </row>
    <row r="19" spans="1:6" ht="18" x14ac:dyDescent="0.25">
      <c r="A19" s="317" t="s">
        <v>725</v>
      </c>
      <c r="B19" s="319">
        <f>SUM(B17:B18)</f>
        <v>709516.3899999999</v>
      </c>
    </row>
    <row r="21" spans="1:6" ht="18.75" thickBot="1" x14ac:dyDescent="0.3">
      <c r="A21" s="317" t="s">
        <v>1584</v>
      </c>
    </row>
    <row r="22" spans="1:6" ht="18.75" thickTop="1" x14ac:dyDescent="0.25">
      <c r="A22" s="317" t="s">
        <v>1585</v>
      </c>
      <c r="B22" s="323">
        <f>B14-B19</f>
        <v>-245875.23999999993</v>
      </c>
      <c r="F22" s="315" t="s">
        <v>1597</v>
      </c>
    </row>
    <row r="26" spans="1:6" ht="18" x14ac:dyDescent="0.25">
      <c r="A26" s="317" t="s">
        <v>186</v>
      </c>
    </row>
    <row r="27" spans="1:6" ht="15" x14ac:dyDescent="0.2">
      <c r="A27" s="315" t="s">
        <v>1586</v>
      </c>
      <c r="B27" s="318">
        <f>'DOE25'!G180</f>
        <v>246360</v>
      </c>
      <c r="F27" s="315" t="s">
        <v>1598</v>
      </c>
    </row>
    <row r="28" spans="1:6" ht="15" x14ac:dyDescent="0.2">
      <c r="A28" s="315" t="s">
        <v>1588</v>
      </c>
      <c r="B28" s="318">
        <f>'DOE25'!L362</f>
        <v>0</v>
      </c>
      <c r="F28" s="315" t="s">
        <v>1599</v>
      </c>
    </row>
    <row r="31" spans="1:6" ht="15" x14ac:dyDescent="0.2">
      <c r="A31" s="315" t="s">
        <v>1628</v>
      </c>
      <c r="B31" s="318">
        <f>'DOE25'!G466</f>
        <v>1986.47</v>
      </c>
      <c r="F31" s="315" t="s">
        <v>1600</v>
      </c>
    </row>
    <row r="33" spans="1:6" ht="15" x14ac:dyDescent="0.2">
      <c r="A33" s="315" t="s">
        <v>1629</v>
      </c>
      <c r="B33" s="318">
        <f>'DOE25'!G477</f>
        <v>2471.2299999999814</v>
      </c>
      <c r="F33" s="315" t="s">
        <v>1601</v>
      </c>
    </row>
    <row r="36" spans="1:6" ht="15" x14ac:dyDescent="0.2">
      <c r="A36" s="315" t="s">
        <v>1587</v>
      </c>
      <c r="B36" s="329">
        <v>26721.919999999998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28" sqref="F2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Portsmouth School Department (SAU 52)</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14357940.829999998</v>
      </c>
      <c r="C9" s="229">
        <f>'DOE25'!G198+'DOE25'!G216+'DOE25'!G234+'DOE25'!G277+'DOE25'!G296+'DOE25'!G315</f>
        <v>8266426.04</v>
      </c>
    </row>
    <row r="10" spans="1:3" x14ac:dyDescent="0.2">
      <c r="A10" t="s">
        <v>775</v>
      </c>
      <c r="B10" s="240">
        <v>13977562.84</v>
      </c>
      <c r="C10" s="240">
        <v>8221712.1100000003</v>
      </c>
    </row>
    <row r="11" spans="1:3" x14ac:dyDescent="0.2">
      <c r="A11" t="s">
        <v>776</v>
      </c>
      <c r="B11" s="240">
        <v>25417.45</v>
      </c>
      <c r="C11" s="240">
        <v>1944.43</v>
      </c>
    </row>
    <row r="12" spans="1:3" x14ac:dyDescent="0.2">
      <c r="A12" t="s">
        <v>777</v>
      </c>
      <c r="B12" s="240">
        <v>354960.54</v>
      </c>
      <c r="C12" s="240">
        <v>42769.5</v>
      </c>
    </row>
    <row r="13" spans="1:3" x14ac:dyDescent="0.2">
      <c r="A13" t="str">
        <f>IF(B9=B13,IF(C9=C13,"Check Total OK","Check Total Error"),"Check Total Error")</f>
        <v>Check Total OK</v>
      </c>
      <c r="B13" s="231">
        <f>SUM(B10:B12)</f>
        <v>14357940.829999998</v>
      </c>
      <c r="C13" s="231">
        <f>SUM(C10:C12)</f>
        <v>8266426.04</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5505947.6900000013</v>
      </c>
      <c r="C18" s="229">
        <f>'DOE25'!G199+'DOE25'!G217+'DOE25'!G235+'DOE25'!G278+'DOE25'!G297+'DOE25'!G316</f>
        <v>2177728.35</v>
      </c>
    </row>
    <row r="19" spans="1:3" x14ac:dyDescent="0.2">
      <c r="A19" t="s">
        <v>775</v>
      </c>
      <c r="B19" s="240">
        <v>3548387.2199999997</v>
      </c>
      <c r="C19" s="240">
        <v>1411092.56</v>
      </c>
    </row>
    <row r="20" spans="1:3" x14ac:dyDescent="0.2">
      <c r="A20" t="s">
        <v>776</v>
      </c>
      <c r="B20" s="240">
        <v>1901653</v>
      </c>
      <c r="C20" s="240">
        <v>755889.96</v>
      </c>
    </row>
    <row r="21" spans="1:3" x14ac:dyDescent="0.2">
      <c r="A21" t="s">
        <v>777</v>
      </c>
      <c r="B21" s="240">
        <v>55907.47</v>
      </c>
      <c r="C21" s="240">
        <v>10745.83</v>
      </c>
    </row>
    <row r="22" spans="1:3" x14ac:dyDescent="0.2">
      <c r="A22" t="str">
        <f>IF(B18=B22,IF(C18=C22,"Check Total OK","Check Total Error"),"Check Total Error")</f>
        <v>Check Total OK</v>
      </c>
      <c r="B22" s="231">
        <f>SUM(B19:B21)</f>
        <v>5505947.6899999995</v>
      </c>
      <c r="C22" s="231">
        <f>SUM(C19:C21)</f>
        <v>2177728.35</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1035003.7699999999</v>
      </c>
      <c r="C27" s="234">
        <f>'DOE25'!G200+'DOE25'!G218+'DOE25'!G236+'DOE25'!G279+'DOE25'!G298+'DOE25'!G317</f>
        <v>598309.17000000004</v>
      </c>
    </row>
    <row r="28" spans="1:3" x14ac:dyDescent="0.2">
      <c r="A28" t="s">
        <v>775</v>
      </c>
      <c r="B28" s="240">
        <v>988652.3</v>
      </c>
      <c r="C28" s="240">
        <v>568285.44999999995</v>
      </c>
    </row>
    <row r="29" spans="1:3" x14ac:dyDescent="0.2">
      <c r="A29" t="s">
        <v>776</v>
      </c>
      <c r="B29" s="240">
        <v>0</v>
      </c>
      <c r="C29" s="240">
        <v>0</v>
      </c>
    </row>
    <row r="30" spans="1:3" x14ac:dyDescent="0.2">
      <c r="A30" t="s">
        <v>777</v>
      </c>
      <c r="B30" s="240">
        <v>46351.47</v>
      </c>
      <c r="C30" s="240">
        <v>30023.72</v>
      </c>
    </row>
    <row r="31" spans="1:3" x14ac:dyDescent="0.2">
      <c r="A31" t="str">
        <f>IF(B27=B31,IF(C27=C31,"Check Total OK","Check Total Error"),"Check Total Error")</f>
        <v>Check Total OK</v>
      </c>
      <c r="B31" s="231">
        <f>SUM(B28:B30)</f>
        <v>1035003.77</v>
      </c>
      <c r="C31" s="231">
        <f>SUM(C28:C30)</f>
        <v>598309.16999999993</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455657.48000000004</v>
      </c>
      <c r="C36" s="235">
        <f>'DOE25'!G201+'DOE25'!G219+'DOE25'!G237+'DOE25'!G280+'DOE25'!G299+'DOE25'!G318</f>
        <v>217257.69</v>
      </c>
    </row>
    <row r="37" spans="1:3" x14ac:dyDescent="0.2">
      <c r="A37" t="s">
        <v>775</v>
      </c>
      <c r="B37" s="240">
        <v>39438.32</v>
      </c>
      <c r="C37" s="240">
        <v>10037.049999999999</v>
      </c>
    </row>
    <row r="38" spans="1:3" x14ac:dyDescent="0.2">
      <c r="A38" t="s">
        <v>776</v>
      </c>
      <c r="B38" s="240">
        <v>3846.79</v>
      </c>
      <c r="C38" s="240">
        <v>294.27999999999997</v>
      </c>
    </row>
    <row r="39" spans="1:3" x14ac:dyDescent="0.2">
      <c r="A39" t="s">
        <v>777</v>
      </c>
      <c r="B39" s="240">
        <v>412372.37</v>
      </c>
      <c r="C39" s="240">
        <v>206926.36</v>
      </c>
    </row>
    <row r="40" spans="1:3" x14ac:dyDescent="0.2">
      <c r="A40" t="str">
        <f>IF(B36=B40,IF(C36=C40,"Check Total OK","Check Total Error"),"Check Total Error")</f>
        <v>Check Total OK</v>
      </c>
      <c r="B40" s="231">
        <f>SUM(B37:B39)</f>
        <v>455657.48</v>
      </c>
      <c r="C40" s="231">
        <f>SUM(C37:C39)</f>
        <v>217257.68999999997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H40" sqref="H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Portsmouth School Department (SAU 52)</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31713062.68</v>
      </c>
      <c r="D5" s="20">
        <f>SUM('DOE25'!L198:L201)+SUM('DOE25'!L216:L219)+SUM('DOE25'!L234:L237)-F5-G5-H5</f>
        <v>31601840.899999999</v>
      </c>
      <c r="E5" s="243"/>
      <c r="F5" s="244">
        <v>0</v>
      </c>
      <c r="G5" s="53">
        <f>SUM('DOE25'!J198:J201)+SUM('DOE25'!J216:J219)+SUM('DOE25'!J234:J237)</f>
        <v>110771.78</v>
      </c>
      <c r="H5" s="53">
        <f>SUM('DOE25'!K198:K201)+SUM('DOE25'!K216:K219)+SUM('DOE25'!K234:K237)</f>
        <v>450</v>
      </c>
      <c r="I5" s="254"/>
    </row>
    <row r="6" spans="1:9" x14ac:dyDescent="0.2">
      <c r="A6" s="32">
        <v>2100</v>
      </c>
      <c r="B6" t="s">
        <v>796</v>
      </c>
      <c r="C6" s="273">
        <f t="shared" si="0"/>
        <v>6046833.71</v>
      </c>
      <c r="D6" s="20">
        <f>'DOE25'!L203+'DOE25'!L221+'DOE25'!L239-F6-G6-H6</f>
        <v>6022356.1100000003</v>
      </c>
      <c r="E6" s="243"/>
      <c r="F6" s="244">
        <v>0</v>
      </c>
      <c r="G6" s="53">
        <f>'DOE25'!J203+'DOE25'!J221+'DOE25'!J239</f>
        <v>2454.7200000000003</v>
      </c>
      <c r="H6" s="53">
        <f>'DOE25'!K203+'DOE25'!K221+'DOE25'!K239</f>
        <v>22022.880000000001</v>
      </c>
      <c r="I6" s="254"/>
    </row>
    <row r="7" spans="1:9" x14ac:dyDescent="0.2">
      <c r="A7" s="32">
        <v>2200</v>
      </c>
      <c r="B7" t="s">
        <v>821</v>
      </c>
      <c r="C7" s="273">
        <f t="shared" si="0"/>
        <v>794878.98</v>
      </c>
      <c r="D7" s="20">
        <f>'DOE25'!L204+'DOE25'!L222+'DOE25'!L240-F7-G7-H7</f>
        <v>619814.87</v>
      </c>
      <c r="E7" s="243"/>
      <c r="F7" s="244">
        <v>0</v>
      </c>
      <c r="G7" s="53">
        <f>'DOE25'!J204+'DOE25'!J222+'DOE25'!J240</f>
        <v>175064.11</v>
      </c>
      <c r="H7" s="53">
        <f>'DOE25'!K204+'DOE25'!K222+'DOE25'!K240</f>
        <v>0</v>
      </c>
      <c r="I7" s="254"/>
    </row>
    <row r="8" spans="1:9" x14ac:dyDescent="0.2">
      <c r="A8" s="32">
        <v>2300</v>
      </c>
      <c r="B8" t="s">
        <v>797</v>
      </c>
      <c r="C8" s="273">
        <f t="shared" si="0"/>
        <v>971272.53</v>
      </c>
      <c r="D8" s="243"/>
      <c r="E8" s="20">
        <f>'DOE25'!L205+'DOE25'!L223+'DOE25'!L241-F8-G8-H8-D9-D11</f>
        <v>931609.89</v>
      </c>
      <c r="F8" s="244">
        <v>0</v>
      </c>
      <c r="G8" s="53">
        <f>'DOE25'!J205+'DOE25'!J223+'DOE25'!J241</f>
        <v>0</v>
      </c>
      <c r="H8" s="53">
        <f>'DOE25'!K205+'DOE25'!K223+'DOE25'!K241</f>
        <v>39662.639999999999</v>
      </c>
      <c r="I8" s="254"/>
    </row>
    <row r="9" spans="1:9" ht="14.25" x14ac:dyDescent="0.2">
      <c r="A9" s="32">
        <v>2310</v>
      </c>
      <c r="B9" s="185" t="s">
        <v>888</v>
      </c>
      <c r="C9" s="273">
        <f t="shared" si="0"/>
        <v>24734.54</v>
      </c>
      <c r="D9" s="244">
        <v>24734.54</v>
      </c>
      <c r="E9" s="243"/>
      <c r="F9" s="251"/>
      <c r="G9" s="251"/>
      <c r="H9" s="251"/>
      <c r="I9" s="254"/>
    </row>
    <row r="10" spans="1:9" ht="14.25" x14ac:dyDescent="0.2">
      <c r="A10" s="32">
        <v>2317</v>
      </c>
      <c r="B10" s="185" t="s">
        <v>889</v>
      </c>
      <c r="C10" s="273">
        <f t="shared" si="0"/>
        <v>0</v>
      </c>
      <c r="D10" s="243"/>
      <c r="E10" s="244">
        <v>0</v>
      </c>
      <c r="F10" s="251"/>
      <c r="G10" s="251"/>
      <c r="H10" s="251"/>
      <c r="I10" s="254"/>
    </row>
    <row r="11" spans="1:9" ht="14.25" x14ac:dyDescent="0.2">
      <c r="A11" s="32">
        <v>2321</v>
      </c>
      <c r="B11" s="185" t="s">
        <v>890</v>
      </c>
      <c r="C11" s="273">
        <f t="shared" si="0"/>
        <v>510133.36</v>
      </c>
      <c r="D11" s="244">
        <f>510098.25+35.11</f>
        <v>510133.36</v>
      </c>
      <c r="E11" s="243"/>
      <c r="F11" s="251"/>
      <c r="G11" s="251"/>
      <c r="H11" s="251"/>
      <c r="I11" s="254"/>
    </row>
    <row r="12" spans="1:9" x14ac:dyDescent="0.2">
      <c r="A12" s="32">
        <v>2400</v>
      </c>
      <c r="B12" t="s">
        <v>711</v>
      </c>
      <c r="C12" s="273">
        <f t="shared" si="0"/>
        <v>2685997.53</v>
      </c>
      <c r="D12" s="20">
        <f>'DOE25'!L206+'DOE25'!L224+'DOE25'!L242-F12-G12-H12</f>
        <v>2681677.5299999998</v>
      </c>
      <c r="E12" s="243"/>
      <c r="F12" s="244">
        <v>0</v>
      </c>
      <c r="G12" s="53">
        <f>'DOE25'!J206+'DOE25'!J224+'DOE25'!J242</f>
        <v>0</v>
      </c>
      <c r="H12" s="53">
        <f>'DOE25'!K206+'DOE25'!K224+'DOE25'!K242</f>
        <v>4320</v>
      </c>
      <c r="I12" s="254"/>
    </row>
    <row r="13" spans="1:9" x14ac:dyDescent="0.2">
      <c r="A13" s="32">
        <v>2500</v>
      </c>
      <c r="B13" t="s">
        <v>798</v>
      </c>
      <c r="C13" s="273">
        <f t="shared" si="0"/>
        <v>659308.81000000006</v>
      </c>
      <c r="D13" s="243"/>
      <c r="E13" s="20">
        <f>'DOE25'!L207+'DOE25'!L225+'DOE25'!L243-F13-G13-H13</f>
        <v>657680.96000000008</v>
      </c>
      <c r="F13" s="244">
        <v>0</v>
      </c>
      <c r="G13" s="53">
        <f>'DOE25'!J207+'DOE25'!J225+'DOE25'!J243</f>
        <v>360</v>
      </c>
      <c r="H13" s="53">
        <f>'DOE25'!K207+'DOE25'!K225+'DOE25'!K243</f>
        <v>1267.8499999999999</v>
      </c>
      <c r="I13" s="254"/>
    </row>
    <row r="14" spans="1:9" x14ac:dyDescent="0.2">
      <c r="A14" s="32">
        <v>2600</v>
      </c>
      <c r="B14" t="s">
        <v>819</v>
      </c>
      <c r="C14" s="273">
        <f t="shared" si="0"/>
        <v>4595831.79</v>
      </c>
      <c r="D14" s="20">
        <f>'DOE25'!L208+'DOE25'!L226+'DOE25'!L244-F14-G14-H14</f>
        <v>4460246.2699999996</v>
      </c>
      <c r="E14" s="243"/>
      <c r="F14" s="244">
        <f>38970</f>
        <v>38970</v>
      </c>
      <c r="G14" s="53">
        <f>'DOE25'!J208+'DOE25'!J226+'DOE25'!J244</f>
        <v>77985.69</v>
      </c>
      <c r="H14" s="53">
        <f>'DOE25'!K208+'DOE25'!K226+'DOE25'!K244</f>
        <v>18629.829999999998</v>
      </c>
      <c r="I14" s="254"/>
    </row>
    <row r="15" spans="1:9" x14ac:dyDescent="0.2">
      <c r="A15" s="32">
        <v>2700</v>
      </c>
      <c r="B15" t="s">
        <v>799</v>
      </c>
      <c r="C15" s="273">
        <f t="shared" si="0"/>
        <v>1454392.21</v>
      </c>
      <c r="D15" s="20">
        <f>'DOE25'!L209+'DOE25'!L227+'DOE25'!L245-F15-G15-H15</f>
        <v>358703.33999999985</v>
      </c>
      <c r="E15" s="243"/>
      <c r="F15" s="244">
        <f>979588.87+116100</f>
        <v>1095688.8700000001</v>
      </c>
      <c r="G15" s="53">
        <f>'DOE25'!J209+'DOE25'!J227+'DOE25'!J245</f>
        <v>0</v>
      </c>
      <c r="H15" s="53">
        <f>'DOE25'!K209+'DOE25'!K227+'DOE25'!K245</f>
        <v>0</v>
      </c>
      <c r="I15" s="254"/>
    </row>
    <row r="16" spans="1:9" x14ac:dyDescent="0.2">
      <c r="A16" s="32">
        <v>2800</v>
      </c>
      <c r="B16" t="s">
        <v>800</v>
      </c>
      <c r="C16" s="273">
        <f t="shared" si="0"/>
        <v>1214624.6400000001</v>
      </c>
      <c r="D16" s="243"/>
      <c r="E16" s="20">
        <f>'DOE25'!L210+'DOE25'!L228+'DOE25'!L246-F16-G16-H16</f>
        <v>1036303.7400000001</v>
      </c>
      <c r="F16" s="244">
        <v>176320.9</v>
      </c>
      <c r="G16" s="53">
        <f>'DOE25'!J210+'DOE25'!J228+'DOE25'!J246</f>
        <v>0</v>
      </c>
      <c r="H16" s="53">
        <f>'DOE25'!K210+'DOE25'!K228+'DOE25'!K246</f>
        <v>2000</v>
      </c>
      <c r="I16" s="254"/>
    </row>
    <row r="17" spans="1:9" x14ac:dyDescent="0.2">
      <c r="A17" s="32">
        <v>1600</v>
      </c>
      <c r="B17" t="s">
        <v>801</v>
      </c>
      <c r="C17" s="273">
        <f t="shared" si="0"/>
        <v>0</v>
      </c>
      <c r="D17" s="20">
        <f>'DOE25'!L252-F17-G17-H17</f>
        <v>0</v>
      </c>
      <c r="E17" s="243"/>
      <c r="F17" s="244">
        <v>0</v>
      </c>
      <c r="G17" s="53">
        <f>'DOE25'!J252</f>
        <v>0</v>
      </c>
      <c r="H17" s="53">
        <f>'DOE25'!K252</f>
        <v>0</v>
      </c>
      <c r="I17" s="254"/>
    </row>
    <row r="18" spans="1:9" x14ac:dyDescent="0.2">
      <c r="A18" s="32">
        <v>1700</v>
      </c>
      <c r="B18" t="s">
        <v>802</v>
      </c>
      <c r="C18" s="273">
        <f t="shared" si="0"/>
        <v>0</v>
      </c>
      <c r="D18" s="20">
        <f>'DOE25'!L253-F18-G18-H18</f>
        <v>0</v>
      </c>
      <c r="E18" s="243"/>
      <c r="F18" s="244">
        <v>0</v>
      </c>
      <c r="G18" s="53">
        <f>'DOE25'!J253</f>
        <v>0</v>
      </c>
      <c r="H18" s="53">
        <f>'DOE25'!K253</f>
        <v>0</v>
      </c>
      <c r="I18" s="254"/>
    </row>
    <row r="19" spans="1:9" x14ac:dyDescent="0.2">
      <c r="A19" s="32">
        <v>1800</v>
      </c>
      <c r="B19" t="s">
        <v>803</v>
      </c>
      <c r="C19" s="273">
        <f t="shared" si="0"/>
        <v>0</v>
      </c>
      <c r="D19" s="20">
        <f>'DOE25'!L254-F19-G19-H19</f>
        <v>0</v>
      </c>
      <c r="E19" s="243"/>
      <c r="F19" s="244">
        <v>0</v>
      </c>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121126.49</v>
      </c>
      <c r="D22" s="243"/>
      <c r="E22" s="243"/>
      <c r="F22" s="243"/>
      <c r="G22" s="53">
        <f>'DOE25'!L256+'DOE25'!L337</f>
        <v>121126.49</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532021.04999999981</v>
      </c>
      <c r="D29" s="281">
        <f>'DOE25'!L359+'DOE25'!L360+'DOE25'!L361-'DOE25'!I368-F29-G29-H29</f>
        <v>531034.81999999983</v>
      </c>
      <c r="E29" s="243"/>
      <c r="F29" s="244">
        <v>0</v>
      </c>
      <c r="G29" s="53">
        <f>'DOE25'!J359+'DOE25'!J360+'DOE25'!J361</f>
        <v>43.39</v>
      </c>
      <c r="H29" s="53">
        <f>'DOE25'!K359+'DOE25'!K360+'DOE25'!K361</f>
        <v>942.83999999999992</v>
      </c>
      <c r="I29" s="254"/>
    </row>
    <row r="30" spans="1:9" x14ac:dyDescent="0.2">
      <c r="A30" s="32"/>
      <c r="C30" s="274"/>
      <c r="D30" s="20"/>
      <c r="E30" s="278"/>
      <c r="F30" s="268"/>
      <c r="G30" s="53"/>
      <c r="H30" s="53"/>
      <c r="I30" s="254"/>
    </row>
    <row r="31" spans="1:9" x14ac:dyDescent="0.2">
      <c r="A31" s="32" t="s">
        <v>818</v>
      </c>
      <c r="B31" t="s">
        <v>817</v>
      </c>
      <c r="C31" s="273">
        <f>SUM(D31:I31)</f>
        <v>4619215.9399999995</v>
      </c>
      <c r="D31" s="20">
        <f>'DOE25'!L291+'DOE25'!L310+'DOE25'!L329+'DOE25'!L334+'DOE25'!L335+'DOE25'!L336-F31-G31-H31</f>
        <v>4346947.0499999989</v>
      </c>
      <c r="E31" s="243"/>
      <c r="F31" s="244">
        <v>0</v>
      </c>
      <c r="G31" s="53">
        <f>'DOE25'!J291+'DOE25'!J310+'DOE25'!J329+'DOE25'!J334+'DOE25'!J335+'DOE25'!J336</f>
        <v>263202.2</v>
      </c>
      <c r="H31" s="53">
        <f>'DOE25'!K291+'DOE25'!K310+'DOE25'!K329+'DOE25'!K334+'DOE25'!K335+'DOE25'!K336</f>
        <v>9066.69</v>
      </c>
      <c r="I31" s="254"/>
    </row>
    <row r="32" spans="1:9" ht="12" thickBot="1" x14ac:dyDescent="0.25">
      <c r="C32" s="274"/>
      <c r="G32" s="249"/>
      <c r="H32" s="249"/>
      <c r="I32" s="256"/>
    </row>
    <row r="33" spans="1:9" ht="12" thickTop="1" x14ac:dyDescent="0.2">
      <c r="B33" t="s">
        <v>809</v>
      </c>
      <c r="D33" s="245">
        <f t="shared" ref="D33:I33" si="1">SUM(D5:D31)</f>
        <v>51157488.789999999</v>
      </c>
      <c r="E33" s="245">
        <f t="shared" si="1"/>
        <v>2625594.5900000003</v>
      </c>
      <c r="F33" s="245">
        <f t="shared" si="1"/>
        <v>1310979.77</v>
      </c>
      <c r="G33" s="245">
        <f t="shared" si="1"/>
        <v>751008.38</v>
      </c>
      <c r="H33" s="245">
        <f t="shared" si="1"/>
        <v>98362.73000000001</v>
      </c>
      <c r="I33" s="245">
        <f t="shared" si="1"/>
        <v>0</v>
      </c>
    </row>
    <row r="35" spans="1:9" ht="12" thickBot="1" x14ac:dyDescent="0.25">
      <c r="B35" s="249" t="s">
        <v>831</v>
      </c>
      <c r="D35" s="250">
        <f>E33</f>
        <v>2625594.5900000003</v>
      </c>
      <c r="E35" s="246"/>
      <c r="F35" s="333" t="s">
        <v>1632</v>
      </c>
      <c r="G35" s="334"/>
      <c r="H35" s="334"/>
      <c r="I35" s="334"/>
    </row>
    <row r="36" spans="1:9" ht="12" thickTop="1" x14ac:dyDescent="0.2">
      <c r="B36" t="s">
        <v>810</v>
      </c>
      <c r="D36" s="20">
        <f>D33</f>
        <v>51157488.789999999</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7" sqref="D37: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Portsmouth School Department (SAU 52)</v>
      </c>
      <c r="B2" s="126">
        <f>'DOE25'!B2</f>
        <v>449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21204843.460000001</v>
      </c>
      <c r="G4" s="300">
        <f>'DOE25'!L212+'DOE25'!L291</f>
        <v>21204843.460000005</v>
      </c>
      <c r="H4" s="353">
        <f>F4-G4</f>
        <v>0</v>
      </c>
      <c r="I4" s="371" t="str">
        <f>IF(H4=0,"","ISSUES!! Please review page 7 and 11 totals in comparison with total on this page")</f>
        <v/>
      </c>
      <c r="N4"/>
    </row>
    <row r="5" spans="1:18" x14ac:dyDescent="0.2">
      <c r="A5" s="21" t="s">
        <v>1370</v>
      </c>
      <c r="B5" s="301">
        <f>IFERROR(VLOOKUP(A5,'School Tables'!$C$3:$D$365,2,FALSE),"")</f>
        <v>22545</v>
      </c>
      <c r="C5" s="294" t="str">
        <f>IFERROR(INDEX('School Tables'!$B$3:$B$365,MATCH('School Level Expenditures'!B5,'School Tables'!$D$3:$D$365,0)),"")</f>
        <v>Portsmouth</v>
      </c>
      <c r="D5" s="291">
        <v>6323526.6499999994</v>
      </c>
      <c r="E5" s="291">
        <v>431076.89</v>
      </c>
      <c r="F5" s="304">
        <f>D5+E5</f>
        <v>6754603.5399999991</v>
      </c>
      <c r="G5" s="294"/>
      <c r="H5" s="294"/>
      <c r="I5" s="372"/>
      <c r="N5"/>
    </row>
    <row r="6" spans="1:18" x14ac:dyDescent="0.2">
      <c r="A6" s="21" t="s">
        <v>1368</v>
      </c>
      <c r="B6" s="301">
        <f>IFERROR(VLOOKUP(A6,'School Tables'!$C$3:$D$365,2,FALSE),"")</f>
        <v>22515</v>
      </c>
      <c r="C6" s="294" t="str">
        <f>IFERROR(INDEX('School Tables'!$B$3:$B$365,MATCH('School Level Expenditures'!B6,'School Tables'!$D$3:$D$365,0)),"")</f>
        <v>Portsmouth</v>
      </c>
      <c r="D6" s="291">
        <v>7805190.6099999994</v>
      </c>
      <c r="E6" s="291">
        <v>263622.07999999996</v>
      </c>
      <c r="F6" s="304">
        <f t="shared" ref="F6:F20" si="0">D6+E6</f>
        <v>8068812.6899999995</v>
      </c>
      <c r="G6" s="294"/>
      <c r="H6" s="294"/>
      <c r="I6" s="372"/>
      <c r="N6"/>
    </row>
    <row r="7" spans="1:18" x14ac:dyDescent="0.2">
      <c r="A7" s="21" t="s">
        <v>1369</v>
      </c>
      <c r="B7" s="301">
        <f>IFERROR(VLOOKUP(A7,'School Tables'!$C$3:$D$365,2,FALSE),"")</f>
        <v>22525</v>
      </c>
      <c r="C7" s="294" t="str">
        <f>IFERROR(INDEX('School Tables'!$B$3:$B$365,MATCH('School Level Expenditures'!B7,'School Tables'!$D$3:$D$365,0)),"")</f>
        <v>Portsmouth</v>
      </c>
      <c r="D7" s="291">
        <v>5371090.9200000009</v>
      </c>
      <c r="E7" s="291">
        <v>619308.74</v>
      </c>
      <c r="F7" s="304">
        <f t="shared" si="0"/>
        <v>5990399.6600000011</v>
      </c>
      <c r="G7" s="294"/>
      <c r="H7" s="294"/>
      <c r="I7" s="354"/>
      <c r="N7"/>
    </row>
    <row r="8" spans="1:18" x14ac:dyDescent="0.2">
      <c r="A8" s="21" t="s">
        <v>1555</v>
      </c>
      <c r="B8" s="301">
        <f>IFERROR(VLOOKUP(A8,'School Tables'!$C$3:$D$365,2,FALSE),"")</f>
        <v>99999</v>
      </c>
      <c r="C8" s="294" t="str">
        <f>IFERROR(INDEX('School Tables'!$B$3:$B$365,MATCH('School Level Expenditures'!B8,'School Tables'!$D$3:$D$365,0)),"")</f>
        <v>Other District Expenditures</v>
      </c>
      <c r="D8" s="291">
        <v>391027.57</v>
      </c>
      <c r="E8" s="291"/>
      <c r="F8" s="304">
        <f t="shared" si="0"/>
        <v>391027.57</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19890835.75</v>
      </c>
      <c r="E21" s="351">
        <f>SUM(E5:E20)</f>
        <v>1314007.71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11454483.289999999</v>
      </c>
      <c r="G24" s="300">
        <f>'DOE25'!L230+'DOE25'!L310</f>
        <v>11454483.290000003</v>
      </c>
      <c r="H24" s="353">
        <f>F24-G24</f>
        <v>0</v>
      </c>
      <c r="I24" s="371" t="str">
        <f>IF(H24=0,"","ISSUES!! Please review page 8 and 12 totals in comparison with total on this page")</f>
        <v/>
      </c>
      <c r="N24"/>
    </row>
    <row r="25" spans="1:14" x14ac:dyDescent="0.2">
      <c r="A25" s="21" t="s">
        <v>1367</v>
      </c>
      <c r="B25" s="301">
        <f>IFERROR(VLOOKUP(A25,'School Tables'!$I$3:$J$80,2,FALSE),"")</f>
        <v>22510</v>
      </c>
      <c r="C25" s="294" t="str">
        <f t="array" ref="C25">IFERROR(INDEX('School Tables'!$H$3:$H$80,MATCH('School Level Expenditures'!B25,'School Tables'!$J$3:$J$80,0)),"")</f>
        <v>Portsmouth</v>
      </c>
      <c r="D25" s="291">
        <v>10321549.869999999</v>
      </c>
      <c r="E25" s="291">
        <v>698099.17999999982</v>
      </c>
      <c r="F25" s="304">
        <f>D25+E25</f>
        <v>11019649.049999999</v>
      </c>
      <c r="G25" s="294"/>
      <c r="H25" s="294"/>
      <c r="I25" s="372"/>
      <c r="N25"/>
    </row>
    <row r="26" spans="1:14" x14ac:dyDescent="0.2">
      <c r="A26" s="21" t="s">
        <v>1555</v>
      </c>
      <c r="B26" s="301">
        <f>IFERROR(VLOOKUP(A26,'School Tables'!$I$3:$J$80,2,FALSE),"")</f>
        <v>99999</v>
      </c>
      <c r="C26" s="294" t="str">
        <f t="array" ref="C26">IFERROR(INDEX('School Tables'!$H$3:$H$80,MATCH('School Level Expenditures'!B26,'School Tables'!$J$3:$J$80,0)),"")</f>
        <v>Other District Expenditures</v>
      </c>
      <c r="D26" s="291">
        <v>434834.24</v>
      </c>
      <c r="E26" s="291"/>
      <c r="F26" s="304">
        <f t="shared" ref="F26:F32" si="1">D26+E26</f>
        <v>434834.24</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10756384.109999999</v>
      </c>
      <c r="E33" s="351">
        <f>SUM(E25:E32)</f>
        <v>698099.17999999982</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22630959.970000003</v>
      </c>
      <c r="G36" s="300">
        <f>'DOE25'!L248+'DOE25'!L329</f>
        <v>22630959.969999999</v>
      </c>
      <c r="H36" s="353">
        <f>F36-G36</f>
        <v>0</v>
      </c>
      <c r="I36" s="371" t="str">
        <f>IF(H36=0,"","ISSUES!! Please review page 9 and 13 totals in comparison with total on this page")</f>
        <v/>
      </c>
      <c r="N36"/>
    </row>
    <row r="37" spans="1:14" x14ac:dyDescent="0.2">
      <c r="A37" s="21" t="s">
        <v>1371</v>
      </c>
      <c r="B37" s="301">
        <f>IFERROR(VLOOKUP(A37,'School Tables'!$O$3:$P$118,2,FALSE),"")</f>
        <v>22565</v>
      </c>
      <c r="C37" s="294" t="str">
        <f t="array" ref="C37">IFERROR(INDEX('School Tables'!$N$3:$N$118,MATCH('School Level Expenditures'!B37,'School Tables'!$P$3:$P$118,0)),"")</f>
        <v>Portsmouth</v>
      </c>
      <c r="D37" s="291">
        <v>19574881.860000003</v>
      </c>
      <c r="E37" s="291">
        <v>2607109.0499999993</v>
      </c>
      <c r="F37" s="304">
        <f t="shared" ref="F37:F42" si="2">D37+E37</f>
        <v>22181990.910000004</v>
      </c>
      <c r="G37" s="294"/>
      <c r="H37" s="294"/>
      <c r="I37" s="372"/>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v>448969.06</v>
      </c>
      <c r="E38" s="291"/>
      <c r="F38" s="304">
        <f t="shared" si="2"/>
        <v>448969.06</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20023850.920000002</v>
      </c>
      <c r="E43" s="352">
        <f>SUM(E37:E42)</f>
        <v>2607109.0499999993</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4"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Portsmouth School Department (SAU 52)</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1336.39</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530344.5</v>
      </c>
      <c r="F11" s="95">
        <f>'DOE25'!I12</f>
        <v>0</v>
      </c>
      <c r="G11" s="95">
        <f>'DOE25'!J12</f>
        <v>0</v>
      </c>
      <c r="H11" s="124"/>
      <c r="I11" s="124"/>
    </row>
    <row r="12" spans="1:9" x14ac:dyDescent="0.2">
      <c r="A12" s="1" t="s">
        <v>143</v>
      </c>
      <c r="B12" s="6">
        <v>140</v>
      </c>
      <c r="C12" s="95">
        <f>'DOE25'!F13</f>
        <v>0</v>
      </c>
      <c r="D12" s="95">
        <f>'DOE25'!G13</f>
        <v>48354.97</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39641.619999999995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89332.98</v>
      </c>
      <c r="E18" s="41">
        <f>SUM(E8:E17)</f>
        <v>530344.5</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59771.4</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1115.4100000000001</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25974.94</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86861.75</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2471.23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530344.5</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2471.23</v>
      </c>
      <c r="E50" s="41">
        <f>SUM(E34:E49)</f>
        <v>530344.5</v>
      </c>
      <c r="F50" s="41">
        <f>SUM(F34:F49)</f>
        <v>0</v>
      </c>
      <c r="G50" s="41">
        <f>SUM(G34:G49)</f>
        <v>0</v>
      </c>
      <c r="H50" s="124"/>
      <c r="I50" s="124"/>
    </row>
    <row r="51" spans="1:9" ht="12" thickTop="1" x14ac:dyDescent="0.2">
      <c r="A51" s="38" t="s">
        <v>885</v>
      </c>
      <c r="B51" s="2"/>
      <c r="C51" s="41">
        <f>C50+C31</f>
        <v>0</v>
      </c>
      <c r="D51" s="41">
        <f>D50+D31</f>
        <v>89332.98</v>
      </c>
      <c r="E51" s="41">
        <f>E50+E31</f>
        <v>530344.5</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31792499.109999999</v>
      </c>
      <c r="D56" s="95">
        <f>'DOE25'!G60</f>
        <v>0</v>
      </c>
      <c r="E56" s="95">
        <f>'DOE25'!H60</f>
        <v>206811.36</v>
      </c>
      <c r="F56" s="95">
        <f>'DOE25'!I60</f>
        <v>0</v>
      </c>
      <c r="G56" s="95">
        <f>'DOE25'!J60</f>
        <v>0</v>
      </c>
      <c r="H56"/>
      <c r="I56"/>
    </row>
    <row r="57" spans="1:9" x14ac:dyDescent="0.2">
      <c r="A57" s="1" t="s">
        <v>164</v>
      </c>
      <c r="B57" s="6" t="s">
        <v>165</v>
      </c>
      <c r="C57" s="95">
        <f>'DOE25'!F79</f>
        <v>6613787.0499999998</v>
      </c>
      <c r="D57" s="24" t="s">
        <v>288</v>
      </c>
      <c r="E57" s="95">
        <f>'DOE25'!H79</f>
        <v>937818.14999999991</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62435.48</v>
      </c>
      <c r="E60" s="24" t="s">
        <v>288</v>
      </c>
      <c r="F60" s="24" t="s">
        <v>288</v>
      </c>
      <c r="G60" s="24" t="s">
        <v>288</v>
      </c>
      <c r="H60"/>
      <c r="I60"/>
    </row>
    <row r="61" spans="1:9" ht="12" thickBot="1" x14ac:dyDescent="0.25">
      <c r="A61" s="1" t="s">
        <v>172</v>
      </c>
      <c r="B61" s="118" t="s">
        <v>173</v>
      </c>
      <c r="C61" s="95">
        <f>SUM('DOE25'!F98:F110)</f>
        <v>41379.81</v>
      </c>
      <c r="D61" s="95">
        <f>SUM('DOE25'!G98:G110)</f>
        <v>8479.83</v>
      </c>
      <c r="E61" s="95">
        <f>SUM('DOE25'!H98:H110)</f>
        <v>248647.76</v>
      </c>
      <c r="F61" s="95">
        <f>SUM('DOE25'!I98:I110)</f>
        <v>0</v>
      </c>
      <c r="G61" s="95">
        <f>SUM('DOE25'!J98:J110)</f>
        <v>0</v>
      </c>
      <c r="H61"/>
      <c r="I61"/>
    </row>
    <row r="62" spans="1:9" ht="12.75" thickTop="1" thickBot="1" x14ac:dyDescent="0.25">
      <c r="A62" s="29" t="s">
        <v>174</v>
      </c>
      <c r="B62" s="6"/>
      <c r="C62" s="130">
        <f>SUM(C57:C61)</f>
        <v>6655166.8599999994</v>
      </c>
      <c r="D62" s="130">
        <f>SUM(D57:D61)</f>
        <v>70915.31</v>
      </c>
      <c r="E62" s="130">
        <f>SUM(E57:E61)</f>
        <v>1186465.9099999999</v>
      </c>
      <c r="F62" s="130">
        <f>SUM(F57:F61)</f>
        <v>0</v>
      </c>
      <c r="G62" s="130">
        <f>SUM(G57:G61)</f>
        <v>0</v>
      </c>
      <c r="H62"/>
      <c r="I62"/>
    </row>
    <row r="63" spans="1:9" ht="12" thickTop="1" x14ac:dyDescent="0.2">
      <c r="A63" s="29" t="s">
        <v>175</v>
      </c>
      <c r="B63" s="6"/>
      <c r="C63" s="22">
        <f>C56+C62</f>
        <v>38447665.969999999</v>
      </c>
      <c r="D63" s="22">
        <f>D56+D62</f>
        <v>70915.31</v>
      </c>
      <c r="E63" s="22">
        <f>E56+E62</f>
        <v>1393277.27</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11597138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2283.3200000000002</v>
      </c>
      <c r="D69" s="95">
        <f>'DOE25'!G120</f>
        <v>0</v>
      </c>
      <c r="E69" s="95">
        <f>'DOE25'!H120</f>
        <v>0</v>
      </c>
      <c r="F69" s="95">
        <f>'DOE25'!I120</f>
        <v>0</v>
      </c>
      <c r="G69" s="95">
        <f>'DOE25'!J120</f>
        <v>0</v>
      </c>
      <c r="H69"/>
      <c r="I69"/>
    </row>
    <row r="70" spans="1:9" ht="12" thickTop="1" x14ac:dyDescent="0.2">
      <c r="A70" s="29" t="s">
        <v>252</v>
      </c>
      <c r="B70" s="2"/>
      <c r="C70" s="139">
        <f>SUM(C66:C69)</f>
        <v>11599421.32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1757196.45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204528.04</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9031.67</v>
      </c>
      <c r="E77" s="95">
        <f>SUM('DOE25'!H131:H135)</f>
        <v>79426.38</v>
      </c>
      <c r="F77" s="95">
        <f>SUM('DOE25'!I131:I135)</f>
        <v>0</v>
      </c>
      <c r="G77" s="95">
        <f>SUM('DOE25'!J131:J135)</f>
        <v>0</v>
      </c>
      <c r="H77"/>
      <c r="I77"/>
    </row>
    <row r="78" spans="1:9" ht="12.75" thickTop="1" thickBot="1" x14ac:dyDescent="0.25">
      <c r="A78" s="29" t="s">
        <v>259</v>
      </c>
      <c r="B78" s="6"/>
      <c r="C78" s="130">
        <f>SUM(C72:C77)</f>
        <v>1961724.49</v>
      </c>
      <c r="D78" s="130">
        <f>SUM(D72:D77)</f>
        <v>9031.67</v>
      </c>
      <c r="E78" s="130">
        <f>SUM(E72:E77)</f>
        <v>79426.38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13561145.810000001</v>
      </c>
      <c r="D81" s="130">
        <f>SUM(D79:D80)+D78+D70</f>
        <v>9031.67</v>
      </c>
      <c r="E81" s="130">
        <f>SUM(E79:E80)+E78+E70</f>
        <v>79426.38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0</v>
      </c>
      <c r="D88" s="331">
        <f>SUM('DOE25'!G153:G162)</f>
        <v>383694.17</v>
      </c>
      <c r="E88" s="331">
        <f>SUM('DOE25'!H153:H162)</f>
        <v>2311832.85</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383694.17</v>
      </c>
      <c r="E91" s="131">
        <f>SUM(E85:E90)</f>
        <v>2311832.85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246360</v>
      </c>
      <c r="E96" s="95">
        <f>'DOE25'!H180</f>
        <v>1091381</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246360</v>
      </c>
      <c r="E103" s="86">
        <f>SUM(E93:E102)</f>
        <v>1091381</v>
      </c>
      <c r="F103" s="86">
        <f>SUM(F93:F102)</f>
        <v>0</v>
      </c>
      <c r="G103" s="86">
        <f>SUM(G93:G102)</f>
        <v>0</v>
      </c>
    </row>
    <row r="104" spans="1:7" ht="12.75" thickTop="1" thickBot="1" x14ac:dyDescent="0.25">
      <c r="A104" s="33" t="s">
        <v>761</v>
      </c>
      <c r="C104" s="86">
        <f>C63+C81+C91+C103</f>
        <v>52008811.780000001</v>
      </c>
      <c r="D104" s="86">
        <f>D63+D81+D91+D103</f>
        <v>710001.14999999991</v>
      </c>
      <c r="E104" s="86">
        <f>E63+E81+E91+E103</f>
        <v>4875917.5</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22799442.450000003</v>
      </c>
      <c r="D109" s="24" t="s">
        <v>288</v>
      </c>
      <c r="E109" s="95">
        <f>('DOE25'!L277)+('DOE25'!L296)+('DOE25'!L315)</f>
        <v>627599.32000000007</v>
      </c>
      <c r="F109" s="24" t="s">
        <v>288</v>
      </c>
      <c r="G109" s="24" t="s">
        <v>288</v>
      </c>
    </row>
    <row r="110" spans="1:7" x14ac:dyDescent="0.2">
      <c r="A110" t="s">
        <v>198</v>
      </c>
      <c r="B110" s="32" t="s">
        <v>199</v>
      </c>
      <c r="C110" s="95">
        <f>('DOE25'!L199)+('DOE25'!L217)+('DOE25'!L235)</f>
        <v>6468579.8200000003</v>
      </c>
      <c r="D110" s="24" t="s">
        <v>288</v>
      </c>
      <c r="E110" s="95">
        <f>('DOE25'!L278)+('DOE25'!L297)+('DOE25'!L316)</f>
        <v>2733284.44</v>
      </c>
      <c r="F110" s="24" t="s">
        <v>288</v>
      </c>
      <c r="G110" s="24" t="s">
        <v>288</v>
      </c>
    </row>
    <row r="111" spans="1:7" x14ac:dyDescent="0.2">
      <c r="A111" t="s">
        <v>200</v>
      </c>
      <c r="B111" s="32" t="s">
        <v>165</v>
      </c>
      <c r="C111" s="95">
        <f>('DOE25'!L200)+('DOE25'!L218)+('DOE25'!L236)</f>
        <v>1642227.83</v>
      </c>
      <c r="D111" s="24" t="s">
        <v>288</v>
      </c>
      <c r="E111" s="95">
        <f>('DOE25'!L279)+('DOE25'!L298)+('DOE25'!L317)</f>
        <v>148868.46</v>
      </c>
      <c r="F111" s="24" t="s">
        <v>288</v>
      </c>
      <c r="G111" s="24" t="s">
        <v>288</v>
      </c>
    </row>
    <row r="112" spans="1:7" x14ac:dyDescent="0.2">
      <c r="A112" t="s">
        <v>201</v>
      </c>
      <c r="B112" s="32" t="s">
        <v>167</v>
      </c>
      <c r="C112" s="95">
        <f>('DOE25'!L201)+('DOE25'!L219)+('DOE25'!L237)</f>
        <v>802812.58000000007</v>
      </c>
      <c r="D112" s="24" t="s">
        <v>288</v>
      </c>
      <c r="E112" s="95">
        <f>+('DOE25'!L280)+('DOE25'!L299)+('DOE25'!L318)</f>
        <v>130298.74</v>
      </c>
      <c r="F112" s="24" t="s">
        <v>288</v>
      </c>
      <c r="G112" s="24" t="s">
        <v>288</v>
      </c>
    </row>
    <row r="113" spans="1:7" x14ac:dyDescent="0.2">
      <c r="A113" t="s">
        <v>202</v>
      </c>
      <c r="B113" s="32" t="s">
        <v>169</v>
      </c>
      <c r="C113" s="95">
        <f>'DOE25'!L251</f>
        <v>0</v>
      </c>
      <c r="D113" s="24" t="s">
        <v>288</v>
      </c>
      <c r="E113" s="95">
        <f>+'DOE25'!L333</f>
        <v>96587.520000000004</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31713062.68</v>
      </c>
      <c r="D115" s="86">
        <f>SUM(D109:D114)</f>
        <v>0</v>
      </c>
      <c r="E115" s="86">
        <f>SUM(E109:E114)</f>
        <v>3736638.48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6046833.71</v>
      </c>
      <c r="D118" s="24" t="s">
        <v>288</v>
      </c>
      <c r="E118" s="95">
        <f>+('DOE25'!L282)+('DOE25'!L301)+('DOE25'!L320)</f>
        <v>85725.299999999988</v>
      </c>
      <c r="F118" s="24" t="s">
        <v>288</v>
      </c>
      <c r="G118" s="24" t="s">
        <v>288</v>
      </c>
    </row>
    <row r="119" spans="1:7" x14ac:dyDescent="0.2">
      <c r="A119" t="s">
        <v>208</v>
      </c>
      <c r="B119" s="32" t="s">
        <v>209</v>
      </c>
      <c r="C119" s="95">
        <f>('DOE25'!L204)+('DOE25'!L222)+('DOE25'!L240)</f>
        <v>794878.98</v>
      </c>
      <c r="D119" s="24" t="s">
        <v>288</v>
      </c>
      <c r="E119" s="95">
        <f>+('DOE25'!L283)+('DOE25'!L302)+('DOE25'!L321)</f>
        <v>105106.36</v>
      </c>
      <c r="F119" s="24" t="s">
        <v>288</v>
      </c>
      <c r="G119" s="24" t="s">
        <v>288</v>
      </c>
    </row>
    <row r="120" spans="1:7" x14ac:dyDescent="0.2">
      <c r="A120" t="s">
        <v>210</v>
      </c>
      <c r="B120" s="32" t="s">
        <v>211</v>
      </c>
      <c r="C120" s="95">
        <f>('DOE25'!L205)+('DOE25'!L223)+('DOE25'!L241)</f>
        <v>1506140.43</v>
      </c>
      <c r="D120" s="24" t="s">
        <v>288</v>
      </c>
      <c r="E120" s="95">
        <f>+('DOE25'!L284)+('DOE25'!L303)+('DOE25'!L322)</f>
        <v>145807.22</v>
      </c>
      <c r="F120" s="24" t="s">
        <v>288</v>
      </c>
      <c r="G120" s="24" t="s">
        <v>288</v>
      </c>
    </row>
    <row r="121" spans="1:7" x14ac:dyDescent="0.2">
      <c r="A121" t="s">
        <v>212</v>
      </c>
      <c r="B121" s="32" t="s">
        <v>213</v>
      </c>
      <c r="C121" s="95">
        <f>('DOE25'!L206)+('DOE25'!L224)+('DOE25'!L242)</f>
        <v>2685997.53</v>
      </c>
      <c r="D121" s="24" t="s">
        <v>288</v>
      </c>
      <c r="E121" s="95">
        <f>+('DOE25'!L285)+('DOE25'!L304)+('DOE25'!L323)</f>
        <v>139503.38999999998</v>
      </c>
      <c r="F121" s="24" t="s">
        <v>288</v>
      </c>
      <c r="G121" s="24" t="s">
        <v>288</v>
      </c>
    </row>
    <row r="122" spans="1:7" x14ac:dyDescent="0.2">
      <c r="A122" t="s">
        <v>214</v>
      </c>
      <c r="B122" s="32" t="s">
        <v>215</v>
      </c>
      <c r="C122" s="95">
        <f>('DOE25'!L207)+('DOE25'!L225)+('DOE25'!L243)</f>
        <v>659308.81000000006</v>
      </c>
      <c r="D122" s="24" t="s">
        <v>288</v>
      </c>
      <c r="E122" s="95">
        <f>+('DOE25'!L286)+('DOE25'!L305)+('DOE25'!L324)</f>
        <v>893.57</v>
      </c>
      <c r="F122" s="24" t="s">
        <v>288</v>
      </c>
      <c r="G122" s="24" t="s">
        <v>288</v>
      </c>
    </row>
    <row r="123" spans="1:7" x14ac:dyDescent="0.2">
      <c r="A123" t="s">
        <v>216</v>
      </c>
      <c r="B123" s="32" t="s">
        <v>217</v>
      </c>
      <c r="C123" s="95">
        <f>('DOE25'!L208)+('DOE25'!L226)+('DOE25'!L244)</f>
        <v>4595831.79</v>
      </c>
      <c r="D123" s="24" t="s">
        <v>288</v>
      </c>
      <c r="E123" s="95">
        <f>+('DOE25'!L287)+('DOE25'!L306)+('DOE25'!L325)</f>
        <v>498458.99000000005</v>
      </c>
      <c r="F123" s="24" t="s">
        <v>288</v>
      </c>
      <c r="G123" s="24" t="s">
        <v>288</v>
      </c>
    </row>
    <row r="124" spans="1:7" x14ac:dyDescent="0.2">
      <c r="A124" t="s">
        <v>218</v>
      </c>
      <c r="B124" s="32" t="s">
        <v>219</v>
      </c>
      <c r="C124" s="95">
        <f>('DOE25'!L209)+('DOE25'!L227)+('DOE25'!L245+'DOE25'!L255)</f>
        <v>1454392.21</v>
      </c>
      <c r="D124" s="24" t="s">
        <v>288</v>
      </c>
      <c r="E124" s="95">
        <f>+('DOE25'!L288)+('DOE25'!L307)+('DOE25'!L326)</f>
        <v>1771.6</v>
      </c>
      <c r="F124" s="24" t="s">
        <v>288</v>
      </c>
      <c r="G124" s="24" t="s">
        <v>288</v>
      </c>
    </row>
    <row r="125" spans="1:7" x14ac:dyDescent="0.2">
      <c r="A125" t="s">
        <v>220</v>
      </c>
      <c r="B125" s="32" t="s">
        <v>221</v>
      </c>
      <c r="C125" s="95">
        <f>('DOE25'!L210)+('DOE25'!L228)+('DOE25'!L246)</f>
        <v>1214624.6400000001</v>
      </c>
      <c r="D125" s="24" t="s">
        <v>288</v>
      </c>
      <c r="E125" s="95">
        <f>+('DOE25'!L289)+('DOE25'!L308)+('DOE25'!L327)</f>
        <v>1898.55</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709516.3899999999</v>
      </c>
      <c r="E127" s="24" t="s">
        <v>288</v>
      </c>
      <c r="F127" s="24" t="s">
        <v>288</v>
      </c>
      <c r="G127" s="24" t="s">
        <v>288</v>
      </c>
    </row>
    <row r="128" spans="1:7" ht="12.75" thickTop="1" thickBot="1" x14ac:dyDescent="0.25">
      <c r="A128" s="33" t="s">
        <v>226</v>
      </c>
      <c r="C128" s="86">
        <f>SUM(C118:C127)</f>
        <v>18958008.100000001</v>
      </c>
      <c r="D128" s="86">
        <f>SUM(D118:D127)</f>
        <v>709516.3899999999</v>
      </c>
      <c r="E128" s="86">
        <f>SUM(E118:E127)</f>
        <v>979164.9800000001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121126.49</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246360</v>
      </c>
      <c r="D135" s="24" t="s">
        <v>288</v>
      </c>
      <c r="E135" s="129">
        <f>'DOE25'!L346</f>
        <v>0</v>
      </c>
      <c r="F135" s="24" t="s">
        <v>288</v>
      </c>
      <c r="G135" s="24" t="s">
        <v>288</v>
      </c>
    </row>
    <row r="136" spans="1:7" x14ac:dyDescent="0.2">
      <c r="A136" t="s">
        <v>235</v>
      </c>
      <c r="B136" s="32" t="s">
        <v>236</v>
      </c>
      <c r="C136" s="95">
        <f>'DOE25'!L265</f>
        <v>1091381</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1337741</v>
      </c>
      <c r="D144" s="141">
        <f>SUM(D130:D143)</f>
        <v>0</v>
      </c>
      <c r="E144" s="141">
        <f>SUM(E130:E143)</f>
        <v>121126.49</v>
      </c>
      <c r="F144" s="141">
        <f>SUM(F130:F143)</f>
        <v>0</v>
      </c>
      <c r="G144" s="141">
        <f>SUM(G130:G143)</f>
        <v>0</v>
      </c>
    </row>
    <row r="145" spans="1:9" ht="12.75" thickTop="1" thickBot="1" x14ac:dyDescent="0.25">
      <c r="A145" s="33" t="s">
        <v>244</v>
      </c>
      <c r="C145" s="86">
        <f>(C115+C128+C144)</f>
        <v>52008811.780000001</v>
      </c>
      <c r="D145" s="86">
        <f>(D115+D128+D144)</f>
        <v>709516.3899999999</v>
      </c>
      <c r="E145" s="86">
        <f>(E115+E128+E144)</f>
        <v>4836929.95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Portsmouth School Department (SAU 52)</v>
      </c>
    </row>
    <row r="3" spans="1:4" x14ac:dyDescent="0.2">
      <c r="B3" s="188" t="s">
        <v>1666</v>
      </c>
    </row>
    <row r="4" spans="1:4" x14ac:dyDescent="0.2">
      <c r="B4" t="s">
        <v>61</v>
      </c>
      <c r="C4" s="179">
        <f>IF('DOE25'!F666+'DOE25'!F671=0,0,ROUND('DOE25'!F673,0))</f>
        <v>22589</v>
      </c>
    </row>
    <row r="5" spans="1:4" x14ac:dyDescent="0.2">
      <c r="B5" t="s">
        <v>700</v>
      </c>
      <c r="C5" s="179">
        <f>IF('DOE25'!G666+'DOE25'!G671=0,0,ROUND('DOE25'!G673,0))</f>
        <v>20539</v>
      </c>
    </row>
    <row r="6" spans="1:4" x14ac:dyDescent="0.2">
      <c r="B6" t="s">
        <v>62</v>
      </c>
      <c r="C6" s="179">
        <f>IF('DOE25'!H666+'DOE25'!H671=0,0,ROUND('DOE25'!H673,0))</f>
        <v>19945</v>
      </c>
    </row>
    <row r="7" spans="1:4" x14ac:dyDescent="0.2">
      <c r="B7" t="s">
        <v>701</v>
      </c>
      <c r="C7" s="179">
        <f>IF('DOE25'!I666+'DOE25'!I671=0,0,ROUND('DOE25'!I673,0))</f>
        <v>21020</v>
      </c>
    </row>
    <row r="9" spans="1:4" x14ac:dyDescent="0.2">
      <c r="A9" s="187" t="s">
        <v>94</v>
      </c>
      <c r="B9" s="188" t="s">
        <v>1671</v>
      </c>
      <c r="C9" s="181" t="s">
        <v>720</v>
      </c>
      <c r="D9" s="181" t="s">
        <v>721</v>
      </c>
    </row>
    <row r="10" spans="1:4" x14ac:dyDescent="0.2">
      <c r="A10">
        <v>1100</v>
      </c>
      <c r="B10" t="s">
        <v>702</v>
      </c>
      <c r="C10" s="179">
        <f>ROUND('DOE25'!L198+'DOE25'!L216+'DOE25'!L234+'DOE25'!L277+'DOE25'!L296+'DOE25'!L315,0)</f>
        <v>23427042</v>
      </c>
      <c r="D10" s="182">
        <f>ROUND((C10/$C$28)*100,1)</f>
        <v>41.8</v>
      </c>
    </row>
    <row r="11" spans="1:4" x14ac:dyDescent="0.2">
      <c r="A11">
        <v>1200</v>
      </c>
      <c r="B11" t="s">
        <v>703</v>
      </c>
      <c r="C11" s="179">
        <f>ROUND('DOE25'!L199+'DOE25'!L217+'DOE25'!L235+'DOE25'!L278+'DOE25'!L297+'DOE25'!L316,0)</f>
        <v>9201864</v>
      </c>
      <c r="D11" s="182">
        <f>ROUND((C11/$C$28)*100,1)</f>
        <v>16.399999999999999</v>
      </c>
    </row>
    <row r="12" spans="1:4" x14ac:dyDescent="0.2">
      <c r="A12">
        <v>1300</v>
      </c>
      <c r="B12" t="s">
        <v>704</v>
      </c>
      <c r="C12" s="179">
        <f>ROUND('DOE25'!L200+'DOE25'!L218+'DOE25'!L236+'DOE25'!L279+'DOE25'!L298+'DOE25'!L317,0)</f>
        <v>1791096</v>
      </c>
      <c r="D12" s="182">
        <f>ROUND((C12/$C$28)*100,1)</f>
        <v>3.2</v>
      </c>
    </row>
    <row r="13" spans="1:4" x14ac:dyDescent="0.2">
      <c r="A13">
        <v>1400</v>
      </c>
      <c r="B13" t="s">
        <v>705</v>
      </c>
      <c r="C13" s="179">
        <f>ROUND('DOE25'!L201+'DOE25'!L219+'DOE25'!L237+'DOE25'!L280+'DOE25'!L299+'DOE25'!L318,0)</f>
        <v>933111</v>
      </c>
      <c r="D13" s="182">
        <f>ROUND((C13/$C$28)*100,1)</f>
        <v>1.7</v>
      </c>
    </row>
    <row r="14" spans="1:4" x14ac:dyDescent="0.2">
      <c r="D14" s="182"/>
    </row>
    <row r="15" spans="1:4" x14ac:dyDescent="0.2">
      <c r="A15">
        <v>2100</v>
      </c>
      <c r="B15" t="s">
        <v>706</v>
      </c>
      <c r="C15" s="179">
        <f>ROUND('DOE25'!L203+'DOE25'!L221+'DOE25'!L239+'DOE25'!L282+'DOE25'!L301+'DOE25'!L320,0)</f>
        <v>6132559</v>
      </c>
      <c r="D15" s="182">
        <f t="shared" ref="D15:D27" si="0">ROUND((C15/$C$28)*100,1)</f>
        <v>10.9</v>
      </c>
    </row>
    <row r="16" spans="1:4" x14ac:dyDescent="0.2">
      <c r="A16">
        <v>2200</v>
      </c>
      <c r="B16" t="s">
        <v>707</v>
      </c>
      <c r="C16" s="179">
        <f>ROUND('DOE25'!L204+'DOE25'!L222+'DOE25'!L240+'DOE25'!L283+'DOE25'!L302+'DOE25'!L321,0)</f>
        <v>899985</v>
      </c>
      <c r="D16" s="182">
        <f t="shared" si="0"/>
        <v>1.6</v>
      </c>
    </row>
    <row r="17" spans="1:4" x14ac:dyDescent="0.2">
      <c r="A17" s="183" t="s">
        <v>723</v>
      </c>
      <c r="B17" t="s">
        <v>738</v>
      </c>
      <c r="C17" s="179">
        <f>ROUND('DOE25'!L205+'DOE25'!L210+'DOE25'!L223+'DOE25'!L228+'DOE25'!L241+'DOE25'!L246+'DOE25'!L284+'DOE25'!L289+'DOE25'!L303+'DOE25'!L308+'DOE25'!L322+'DOE25'!L327,0)</f>
        <v>2868471</v>
      </c>
      <c r="D17" s="182">
        <f t="shared" si="0"/>
        <v>5.0999999999999996</v>
      </c>
    </row>
    <row r="18" spans="1:4" x14ac:dyDescent="0.2">
      <c r="A18">
        <v>2400</v>
      </c>
      <c r="B18" t="s">
        <v>711</v>
      </c>
      <c r="C18" s="179">
        <f>ROUND('DOE25'!L206+'DOE25'!L224+'DOE25'!L242+'DOE25'!L285+'DOE25'!L304+'DOE25'!L323,0)</f>
        <v>2825501</v>
      </c>
      <c r="D18" s="182">
        <f t="shared" si="0"/>
        <v>5</v>
      </c>
    </row>
    <row r="19" spans="1:4" x14ac:dyDescent="0.2">
      <c r="A19">
        <v>2500</v>
      </c>
      <c r="B19" t="s">
        <v>708</v>
      </c>
      <c r="C19" s="179">
        <f>ROUND('DOE25'!L207+'DOE25'!L225+'DOE25'!L243+'DOE25'!L286+'DOE25'!L305+'DOE25'!L324,0)</f>
        <v>660202</v>
      </c>
      <c r="D19" s="182">
        <f t="shared" si="0"/>
        <v>1.2</v>
      </c>
    </row>
    <row r="20" spans="1:4" x14ac:dyDescent="0.2">
      <c r="A20">
        <v>2600</v>
      </c>
      <c r="B20" t="s">
        <v>709</v>
      </c>
      <c r="C20" s="179">
        <f>ROUND('DOE25'!L208+'DOE25'!L226+'DOE25'!L244+'DOE25'!L287+'DOE25'!L306+'DOE25'!L325,0)</f>
        <v>5094291</v>
      </c>
      <c r="D20" s="182">
        <f t="shared" si="0"/>
        <v>9.1</v>
      </c>
    </row>
    <row r="21" spans="1:4" x14ac:dyDescent="0.2">
      <c r="A21">
        <v>2700</v>
      </c>
      <c r="B21" t="s">
        <v>710</v>
      </c>
      <c r="C21" s="179">
        <f>ROUND('DOE25'!L209+'DOE25'!L227+'DOE25'!L245+'DOE25'!L288+'DOE25'!L307+'DOE25'!L326,0)</f>
        <v>1456164</v>
      </c>
      <c r="D21" s="182">
        <f t="shared" si="0"/>
        <v>2.6</v>
      </c>
    </row>
    <row r="22" spans="1:4" x14ac:dyDescent="0.2">
      <c r="A22">
        <v>2900</v>
      </c>
      <c r="B22" t="s">
        <v>712</v>
      </c>
      <c r="C22" s="179">
        <v>0</v>
      </c>
      <c r="D22" s="182">
        <f t="shared" si="0"/>
        <v>0</v>
      </c>
    </row>
    <row r="23" spans="1:4" x14ac:dyDescent="0.2">
      <c r="A23">
        <v>1500</v>
      </c>
      <c r="B23" t="s">
        <v>714</v>
      </c>
      <c r="C23" s="179">
        <f>ROUND('DOE25'!L251+'DOE25'!L333,0)</f>
        <v>96588</v>
      </c>
      <c r="D23" s="182">
        <f t="shared" si="0"/>
        <v>0.2</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638600.68999999994</v>
      </c>
      <c r="D27" s="182">
        <f t="shared" si="0"/>
        <v>1.1000000000000001</v>
      </c>
    </row>
    <row r="28" spans="1:4" x14ac:dyDescent="0.2">
      <c r="B28" s="187" t="s">
        <v>719</v>
      </c>
      <c r="C28" s="180">
        <f>SUM(C10:C27)</f>
        <v>56025474.689999998</v>
      </c>
      <c r="D28" s="184">
        <f>ROUND(SUM(D10:D27),0)</f>
        <v>100</v>
      </c>
    </row>
    <row r="29" spans="1:4" x14ac:dyDescent="0.2">
      <c r="A29">
        <v>4000</v>
      </c>
      <c r="B29" t="s">
        <v>724</v>
      </c>
      <c r="C29" s="179">
        <f>ROUND('DOE25'!L256+'DOE25'!L337+'DOE25'!L375+'DOE25'!L376+'DOE25'!L377+'DOE25'!L378+'DOE25'!L379+'DOE25'!L380+'DOE25'!L381,0)</f>
        <v>121126</v>
      </c>
    </row>
    <row r="30" spans="1:4" x14ac:dyDescent="0.2">
      <c r="B30" s="187" t="s">
        <v>725</v>
      </c>
      <c r="C30" s="180">
        <f>SUM(C28:C29)</f>
        <v>56146600.689999998</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31999310</v>
      </c>
      <c r="D35" s="182">
        <f t="shared" ref="D35:D40" si="1">ROUND((C35/$C$41)*100,1)</f>
        <v>57</v>
      </c>
    </row>
    <row r="36" spans="1:4" x14ac:dyDescent="0.2">
      <c r="B36" s="185" t="s">
        <v>739</v>
      </c>
      <c r="C36" s="179">
        <f>SUM('DOE25'!F112:J112)-SUM('DOE25'!G97:G110)+('DOE25'!F175+'DOE25'!F176+'DOE25'!I175+'DOE25'!I176)-C35</f>
        <v>7841633.2400000021</v>
      </c>
      <c r="D36" s="182">
        <f t="shared" si="1"/>
        <v>14</v>
      </c>
    </row>
    <row r="37" spans="1:4" x14ac:dyDescent="0.2">
      <c r="A37" s="183" t="s">
        <v>835</v>
      </c>
      <c r="B37" s="185" t="s">
        <v>728</v>
      </c>
      <c r="C37" s="179">
        <f>ROUND('DOE25'!F117+'DOE25'!F118,0)</f>
        <v>11597138</v>
      </c>
      <c r="D37" s="182">
        <f t="shared" si="1"/>
        <v>20.6</v>
      </c>
    </row>
    <row r="38" spans="1:4" x14ac:dyDescent="0.2">
      <c r="A38" s="183" t="s">
        <v>734</v>
      </c>
      <c r="B38" s="185" t="s">
        <v>729</v>
      </c>
      <c r="C38" s="179">
        <f>ROUND(SUM('DOE25'!F140:J140)-SUM('DOE25'!F117:F119),0)</f>
        <v>2052466</v>
      </c>
      <c r="D38" s="182">
        <f t="shared" si="1"/>
        <v>3.7</v>
      </c>
    </row>
    <row r="39" spans="1:4" x14ac:dyDescent="0.2">
      <c r="A39">
        <v>4000</v>
      </c>
      <c r="B39" s="185" t="s">
        <v>730</v>
      </c>
      <c r="C39" s="179">
        <f>ROUND('DOE25'!F170+'DOE25'!G170+'DOE25'!H170+'DOE25'!I170,0)</f>
        <v>2695527</v>
      </c>
      <c r="D39" s="182">
        <f t="shared" si="1"/>
        <v>4.8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56186074.240000002</v>
      </c>
      <c r="D41" s="184">
        <f>SUM(D35:D40)</f>
        <v>100.1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Portsmouth School Department (SAU 52)</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2021-12-14T19:29:47Z</dcterms:modified>
</cp:coreProperties>
</file>