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173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0" i="1" l="1"/>
  <c r="F441" i="1"/>
  <c r="F50" i="1"/>
  <c r="F23" i="1"/>
  <c r="J469" i="1"/>
  <c r="F473" i="1"/>
  <c r="G397" i="1"/>
  <c r="K267" i="1"/>
  <c r="J180" i="1"/>
  <c r="F24" i="1" l="1"/>
  <c r="F29" i="1"/>
  <c r="G97" i="1" l="1"/>
  <c r="G180" i="1"/>
  <c r="K264" i="1" l="1"/>
  <c r="F9" i="1"/>
  <c r="F31" i="13" l="1"/>
  <c r="F15" i="13"/>
  <c r="F6" i="13"/>
  <c r="D37" i="14" l="1"/>
  <c r="D38" i="14"/>
  <c r="D25" i="14"/>
  <c r="D26" i="14"/>
  <c r="D5" i="14"/>
  <c r="D6" i="14"/>
  <c r="J592" i="1"/>
  <c r="F110" i="1" l="1"/>
  <c r="H368" i="1"/>
  <c r="F13" i="1" l="1"/>
  <c r="F469" i="1" l="1"/>
  <c r="C39" i="12" l="1"/>
  <c r="C38" i="12"/>
  <c r="B39" i="12"/>
  <c r="B38" i="12"/>
  <c r="C19" i="12"/>
  <c r="B19" i="12"/>
  <c r="C12" i="12" l="1"/>
  <c r="C10" i="12"/>
  <c r="B10" i="12"/>
  <c r="B12" i="12"/>
  <c r="H583" i="1" l="1"/>
  <c r="G583" i="1"/>
  <c r="J605" i="1" l="1"/>
  <c r="I605" i="1"/>
  <c r="H605" i="1"/>
  <c r="I592" i="1"/>
  <c r="H592" i="1"/>
  <c r="H235" i="1"/>
  <c r="H217" i="1"/>
  <c r="H199" i="1"/>
  <c r="K269" i="1"/>
  <c r="J522" i="1" l="1"/>
  <c r="I524" i="1"/>
  <c r="I523" i="1"/>
  <c r="I522" i="1"/>
  <c r="H524" i="1"/>
  <c r="H523" i="1"/>
  <c r="H522" i="1"/>
  <c r="G503" i="1" l="1"/>
  <c r="G500" i="1"/>
  <c r="G499" i="1"/>
  <c r="F503" i="1"/>
  <c r="F502" i="1"/>
  <c r="F500" i="1"/>
  <c r="F498" i="1"/>
  <c r="F499" i="1" s="1"/>
  <c r="I244" i="1"/>
  <c r="H216" i="1" l="1"/>
  <c r="H234" i="1"/>
  <c r="H198" i="1"/>
  <c r="H245" i="1" l="1"/>
  <c r="I226" i="1"/>
  <c r="I208" i="1"/>
  <c r="K241" i="1"/>
  <c r="I239" i="1"/>
  <c r="J199" i="1"/>
  <c r="J198" i="1"/>
  <c r="H320" i="1" l="1"/>
  <c r="J302" i="1" l="1"/>
  <c r="I301" i="1"/>
  <c r="H301" i="1"/>
  <c r="H161" i="1" l="1"/>
  <c r="H162" i="1"/>
  <c r="H159" i="1"/>
  <c r="H155" i="1"/>
  <c r="H154" i="1"/>
  <c r="G30" i="1" l="1"/>
  <c r="H369" i="1"/>
  <c r="G369" i="1"/>
  <c r="F369" i="1"/>
  <c r="G368" i="1"/>
  <c r="F368" i="1"/>
  <c r="K359"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3" i="1"/>
  <c r="H653" i="1"/>
  <c r="G654" i="1"/>
  <c r="H654" i="1"/>
  <c r="G655" i="1"/>
  <c r="H655" i="1"/>
  <c r="H656" i="1"/>
  <c r="J656" i="1" s="1"/>
  <c r="G62" i="2"/>
  <c r="I170" i="1"/>
  <c r="H409" i="1" l="1"/>
  <c r="H645" i="1" s="1"/>
  <c r="J645" i="1" s="1"/>
  <c r="G409" i="1"/>
  <c r="H646" i="1" s="1"/>
  <c r="J646" i="1" s="1"/>
  <c r="J652" i="1"/>
  <c r="J572" i="1"/>
  <c r="G553" i="1"/>
  <c r="C32" i="10"/>
  <c r="H663" i="1"/>
  <c r="G663" i="1"/>
  <c r="D15" i="13"/>
  <c r="C15" i="13" s="1"/>
  <c r="E13" i="13"/>
  <c r="C13" i="13" s="1"/>
  <c r="C121" i="2"/>
  <c r="C120" i="2"/>
  <c r="C119" i="2"/>
  <c r="D6" i="13"/>
  <c r="C6" i="13" s="1"/>
  <c r="C112" i="2"/>
  <c r="C110" i="2"/>
  <c r="J258" i="1"/>
  <c r="J272" i="1" s="1"/>
  <c r="E124" i="2"/>
  <c r="C12" i="10"/>
  <c r="K339" i="1"/>
  <c r="K353" i="1" s="1"/>
  <c r="E123" i="2"/>
  <c r="E121" i="2"/>
  <c r="E112" i="2"/>
  <c r="G339" i="1"/>
  <c r="G353" i="1" s="1"/>
  <c r="C13" i="10"/>
  <c r="E110" i="2"/>
  <c r="E119" i="2"/>
  <c r="A40" i="12"/>
  <c r="H477" i="1"/>
  <c r="H625" i="1" s="1"/>
  <c r="J625" i="1" s="1"/>
  <c r="G662" i="1"/>
  <c r="G477" i="1"/>
  <c r="H624" i="1" s="1"/>
  <c r="J624" i="1"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L572" i="1"/>
  <c r="I663" i="1"/>
  <c r="H661" i="1"/>
  <c r="H665" i="1" s="1"/>
  <c r="H668" i="1" s="1"/>
  <c r="C81" i="2"/>
  <c r="F194" i="1"/>
  <c r="G628" i="1" s="1"/>
  <c r="J628" i="1" s="1"/>
  <c r="B33" i="16"/>
  <c r="E115" i="2"/>
  <c r="H649" i="1"/>
  <c r="J649" i="1" s="1"/>
  <c r="E128" i="2"/>
  <c r="G24" i="14"/>
  <c r="H24" i="14" s="1"/>
  <c r="I24" i="14" s="1"/>
  <c r="F661" i="1"/>
  <c r="F665" i="1" s="1"/>
  <c r="F668" i="1" s="1"/>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<sst xmlns="http://schemas.openxmlformats.org/spreadsheetml/2006/main" count="5588" uniqueCount="1684">
  <si>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</si>
  <si>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</si>
  <si>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</si>
  <si>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</si>
  <si>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</si>
  <si>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</si>
  <si>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</si>
  <si>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</si>
  <si>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</si>
  <si>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</si>
  <si>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</si>
  <si>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</si>
  <si>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</si>
  <si>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</si>
  <si>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</si>
  <si>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</si>
  <si>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</si>
  <si>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</si>
  <si>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</si>
  <si>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</si>
  <si>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</si>
  <si>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</si>
  <si>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</si>
  <si>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</si>
  <si>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</si>
  <si>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</si>
  <si>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</si>
  <si>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</si>
  <si>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</si>
  <si>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</si>
  <si>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</si>
  <si>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</si>
  <si>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</si>
  <si>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</si>
  <si>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</si>
  <si>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</si>
  <si>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</si>
  <si>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</si>
  <si>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</si>
  <si>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</si>
  <si>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</si>
  <si>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</si>
  <si>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</si>
  <si>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</si>
  <si>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</si>
  <si>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</si>
  <si>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</si>
  <si>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</si>
  <si>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</si>
  <si>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</si>
  <si>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</si>
  <si>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</si>
  <si>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</si>
  <si>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</si>
  <si>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</si>
  <si>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</si>
  <si>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</si>
  <si>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</si>
  <si>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</si>
  <si>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</si>
  <si>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</si>
  <si>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</si>
  <si>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</si>
  <si>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</si>
  <si>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</si>
  <si>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</si>
  <si>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</si>
  <si>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</si>
  <si>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</si>
  <si>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</si>
  <si>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</si>
  <si>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</si>
  <si>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</si>
  <si>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</si>
  <si>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</si>
  <si>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</si>
  <si>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</si>
  <si>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</si>
  <si>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</si>
  <si>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</si>
  <si>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</si>
  <si>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</si>
  <si>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</si>
  <si>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</si>
  <si>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</si>
  <si>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</si>
  <si>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</si>
  <si>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</si>
  <si>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</si>
  <si>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</si>
  <si>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</si>
  <si>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</si>
  <si>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</si>
  <si>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</si>
  <si>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</si>
  <si>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</si>
  <si>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</si>
  <si>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</si>
  <si>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</si>
  <si>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</si>
  <si>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</si>
  <si>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</si>
  <si>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</si>
  <si>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</si>
  <si>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</si>
  <si>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</si>
  <si>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</si>
  <si>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</si>
  <si>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</si>
  <si>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</si>
  <si>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</si>
  <si>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</si>
  <si>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</si>
  <si>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</si>
  <si>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</si>
  <si>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</si>
  <si>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</si>
  <si>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</si>
  <si>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</si>
  <si>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</si>
  <si>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</si>
  <si>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</si>
  <si>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</si>
  <si>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</si>
  <si>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</si>
  <si>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</si>
  <si>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</si>
  <si>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</si>
  <si>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</si>
  <si>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</si>
  <si>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</si>
  <si>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</si>
  <si>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</si>
  <si>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</si>
  <si>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</si>
  <si>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</si>
  <si>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</si>
  <si>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</si>
  <si>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</si>
  <si>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</si>
  <si>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</si>
  <si>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</si>
  <si>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</si>
  <si>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</si>
  <si>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</si>
  <si>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</si>
  <si>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</si>
  <si>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</si>
  <si>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</si>
  <si>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</si>
  <si>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</si>
  <si>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</si>
  <si>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</si>
  <si>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</si>
  <si>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</si>
  <si>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</si>
  <si>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</si>
  <si>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</si>
  <si>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</si>
  <si>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</si>
  <si>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</si>
  <si>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</si>
  <si>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</si>
  <si>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</si>
  <si>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</si>
  <si>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</si>
  <si>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</si>
  <si>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</si>
  <si>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</si>
  <si>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</si>
  <si>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</si>
  <si>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</si>
  <si>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</si>
  <si>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</si>
  <si>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</si>
  <si>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</si>
  <si>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</si>
  <si>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</si>
  <si>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</si>
  <si>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</si>
  <si>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</si>
  <si>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</si>
  <si>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</si>
  <si>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</si>
  <si>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</si>
  <si>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</si>
  <si>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</si>
  <si>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</si>
  <si>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</si>
  <si>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</si>
  <si>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</si>
  <si>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</si>
  <si>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</si>
  <si>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</si>
  <si>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</si>
  <si>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</si>
  <si>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</si>
  <si>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</si>
  <si>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</si>
  <si>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</si>
  <si>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</si>
  <si>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</si>
  <si>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</si>
  <si>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</si>
  <si>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</si>
  <si>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</si>
  <si>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</si>
  <si>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</si>
  <si>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</si>
  <si>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</si>
  <si>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</si>
  <si>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</si>
  <si>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</si>
  <si>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</si>
  <si>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</si>
  <si>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</si>
  <si>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</si>
  <si>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</si>
  <si>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</si>
  <si>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</si>
  <si>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</si>
  <si>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</si>
  <si>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</si>
  <si>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</si>
  <si>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</si>
  <si>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</si>
  <si>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</si>
  <si>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</si>
  <si>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</si>
  <si>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</si>
  <si>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</si>
  <si>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</si>
  <si>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</si>
  <si>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</si>
  <si>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</si>
  <si>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</si>
  <si>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</si>
  <si>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</si>
  <si>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</si>
  <si>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</si>
  <si>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</si>
  <si>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</si>
  <si>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</si>
  <si>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</si>
  <si>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</si>
  <si>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</si>
  <si>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</si>
  <si>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</si>
  <si>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</si>
  <si>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</si>
  <si>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</si>
  <si>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</si>
  <si>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</si>
  <si>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</si>
  <si>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</si>
  <si>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</si>
  <si>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</si>
  <si>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</si>
  <si>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</si>
  <si>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</si>
  <si>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</si>
  <si>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</si>
  <si>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</si>
  <si>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</si>
  <si>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</si>
  <si>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</si>
  <si>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</si>
  <si>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</si>
  <si>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</si>
  <si>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</si>
  <si>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</si>
  <si>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</si>
  <si>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</si>
  <si>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</si>
  <si>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</si>
  <si>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</si>
  <si>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</si>
  <si>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</si>
  <si>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</si>
  <si>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</si>
  <si>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</si>
  <si>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</si>
  <si>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</si>
  <si>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</si>
  <si>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</si>
  <si>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</si>
  <si>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</si>
  <si>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</si>
  <si>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</si>
  <si>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</si>
  <si>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</si>
  <si>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</si>
  <si>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</si>
  <si>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</si>
  <si>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</si>
  <si>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</si>
  <si>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</si>
  <si>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</si>
  <si>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</si>
  <si>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</si>
  <si>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</si>
  <si>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</si>
  <si>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</si>
  <si>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</si>
  <si>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</si>
  <si>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</si>
  <si>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</si>
  <si>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</si>
  <si>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</si>
  <si>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</si>
  <si>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</si>
  <si>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</si>
  <si>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</si>
  <si>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</si>
  <si>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</si>
  <si>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</si>
  <si>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</si>
  <si>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</si>
  <si>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</si>
  <si>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</si>
  <si>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</si>
  <si>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</si>
  <si>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</si>
  <si>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</si>
  <si>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</si>
  <si>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</si>
  <si>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</si>
  <si>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</si>
  <si>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</si>
  <si>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</si>
  <si>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</si>
  <si>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</si>
  <si>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</si>
  <si>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</si>
  <si>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</si>
  <si>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</si>
  <si>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</si>
  <si>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</si>
  <si>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</si>
  <si>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</si>
  <si>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</si>
  <si>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</si>
  <si>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</si>
  <si>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</si>
  <si>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</si>
  <si>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</si>
  <si>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</si>
  <si>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</si>
  <si>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</si>
  <si>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</si>
  <si>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</si>
  <si>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</si>
  <si>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</si>
  <si>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</si>
  <si>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</si>
  <si>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</si>
  <si>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</si>
  <si>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</si>
  <si>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</si>
  <si>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</si>
  <si>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</si>
  <si>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</si>
  <si>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</si>
  <si>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</si>
  <si>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</si>
  <si>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</si>
  <si>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</si>
  <si>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</si>
  <si>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</si>
  <si>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</si>
  <si>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</si>
  <si>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</si>
  <si>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</si>
  <si>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</si>
  <si>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</si>
  <si>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</si>
  <si>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</si>
  <si>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</si>
  <si>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</si>
  <si>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</si>
  <si>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</si>
  <si>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</si>
  <si>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</si>
  <si>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</si>
  <si>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</si>
  <si>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</si>
  <si>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</si>
  <si>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</si>
  <si>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</si>
  <si>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</si>
  <si>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</si>
  <si>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</si>
  <si>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</si>
  <si>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</si>
  <si>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</si>
  <si>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</si>
  <si>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</si>
  <si>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</si>
  <si>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</si>
  <si>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</si>
  <si>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</si>
  <si>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</si>
  <si>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</si>
  <si>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</si>
  <si>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</si>
  <si>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</si>
  <si>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</si>
  <si>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</si>
  <si>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</si>
  <si>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</si>
  <si>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</si>
  <si>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</si>
  <si>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</si>
  <si>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</si>
  <si>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</si>
  <si>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</si>
  <si>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</si>
  <si>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</si>
  <si>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</si>
  <si>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</si>
  <si>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</si>
  <si>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</si>
  <si>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</si>
  <si>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</si>
  <si>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</si>
  <si>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</si>
  <si>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</si>
  <si>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</si>
  <si>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</si>
  <si>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</si>
  <si>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</si>
  <si>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</si>
  <si>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</si>
  <si>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</si>
  <si>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</si>
  <si>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</si>
  <si>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</si>
  <si>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</si>
  <si>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</si>
  <si>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</si>
  <si>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</si>
  <si>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</si>
  <si>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</si>
  <si>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</si>
  <si>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</si>
  <si>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</si>
  <si>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</si>
  <si>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</si>
  <si>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</si>
  <si>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</si>
  <si>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</si>
  <si>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</si>
  <si>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</si>
  <si>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</si>
  <si>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</si>
  <si>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</si>
  <si>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</si>
  <si>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</si>
  <si>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</si>
  <si>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</si>
  <si>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</si>
  <si>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</si>
  <si>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</si>
  <si>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</si>
  <si>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</si>
  <si>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</si>
  <si>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</si>
  <si>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</si>
  <si>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</si>
  <si>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</si>
  <si>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</si>
  <si>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</si>
  <si>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</si>
  <si>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</si>
  <si>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</si>
  <si>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</si>
  <si>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</si>
  <si>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</si>
  <si>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</si>
  <si>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</si>
  <si>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</si>
  <si>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</si>
  <si>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</si>
  <si>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</si>
  <si>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</si>
  <si>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</si>
  <si>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</si>
  <si>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</si>
  <si>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</si>
  <si>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</si>
  <si>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</si>
  <si>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</si>
  <si>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</si>
  <si>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</si>
  <si>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</si>
  <si>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</si>
  <si>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</si>
  <si>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</si>
  <si>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</si>
  <si>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</si>
  <si>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</si>
  <si>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</si>
  <si>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</si>
  <si>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</si>
  <si>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</si>
  <si>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</si>
  <si>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</si>
  <si>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</si>
  <si>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</si>
  <si>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</si>
  <si>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</si>
  <si>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</si>
  <si>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</si>
  <si>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</si>
  <si>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</si>
  <si>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</si>
  <si>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</si>
  <si>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</si>
  <si>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</si>
  <si>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</si>
  <si>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</si>
  <si>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</si>
  <si>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</si>
  <si>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</si>
  <si>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</si>
  <si>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</si>
  <si>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</si>
  <si>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</si>
  <si>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</si>
  <si>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</si>
  <si>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</si>
  <si>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</si>
  <si>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</si>
  <si>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</si>
  <si>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</si>
  <si>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</si>
  <si>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</si>
  <si>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</si>
  <si>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</si>
  <si>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</si>
  <si>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</si>
  <si>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</si>
  <si>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</si>
  <si>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</si>
  <si>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</si>
  <si>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</si>
  <si>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</si>
  <si>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</si>
  <si>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</si>
  <si>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</si>
  <si>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</si>
  <si>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</si>
  <si>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</si>
  <si>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</si>
  <si>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</si>
  <si>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</si>
  <si>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</si>
  <si>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</si>
  <si>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</si>
  <si>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</si>
  <si>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</si>
  <si>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</si>
  <si>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</si>
  <si>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</si>
  <si>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</si>
  <si>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</si>
  <si>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</si>
  <si>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</si>
  <si>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</si>
  <si>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</si>
  <si>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</si>
  <si>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</si>
  <si>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</si>
  <si>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</si>
  <si>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</si>
  <si>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</si>
  <si>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</si>
  <si>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</si>
  <si>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</si>
  <si>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</si>
  <si>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</si>
  <si>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</si>
  <si>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</si>
  <si>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</si>
  <si>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</si>
  <si>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</si>
  <si>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</si>
  <si>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</si>
  <si>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</si>
  <si>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</si>
  <si>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</si>
  <si>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</si>
  <si>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</si>
  <si>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</si>
  <si>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</si>
  <si>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</si>
  <si>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</si>
  <si>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</si>
  <si>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</si>
  <si>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</si>
  <si>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</si>
  <si>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</si>
  <si>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</si>
  <si>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</si>
  <si>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</si>
  <si>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</si>
  <si>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</si>
  <si>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</si>
  <si>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</si>
  <si>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</si>
  <si>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</si>
  <si>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</si>
  <si>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</si>
  <si>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</si>
  <si>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</si>
  <si>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</si>
  <si>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</si>
  <si>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</si>
  <si>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</si>
  <si>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</si>
  <si>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</si>
  <si>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</si>
  <si>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</si>
  <si>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</si>
  <si>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</si>
  <si>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</si>
  <si>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</si>
  <si>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</si>
  <si>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</si>
  <si>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</si>
  <si>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</si>
  <si>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</si>
  <si>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</si>
  <si>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</si>
  <si>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</si>
  <si>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</si>
  <si>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</si>
  <si>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</si>
  <si>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</si>
  <si>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</si>
  <si>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</si>
  <si>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</si>
  <si>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</si>
  <si>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</si>
  <si>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</si>
  <si>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</si>
  <si>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</si>
  <si>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</si>
  <si>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</si>
  <si>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</si>
  <si>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</si>
  <si>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</si>
  <si>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</si>
  <si>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</si>
  <si>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</si>
  <si>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</si>
  <si>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</si>
  <si>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</si>
  <si>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</si>
  <si>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</si>
  <si>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</si>
  <si>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</si>
  <si>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</si>
  <si>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</si>
  <si>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</si>
  <si>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</si>
  <si>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</si>
  <si>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</si>
  <si>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</si>
  <si>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</si>
  <si>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</si>
  <si>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</si>
  <si>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</si>
  <si>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</si>
  <si>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</si>
  <si>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</si>
  <si>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</si>
  <si>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</si>
  <si>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</si>
  <si>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</si>
  <si>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</si>
  <si>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</si>
  <si>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</si>
  <si>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</si>
  <si>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</si>
  <si>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</si>
  <si>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</si>
  <si>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</si>
  <si>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</si>
  <si>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</si>
  <si>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</si>
  <si>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</si>
  <si>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</si>
  <si>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</si>
  <si>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</si>
  <si>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</si>
  <si>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</si>
  <si>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</si>
  <si>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</si>
  <si>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</si>
  <si>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</si>
  <si>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</si>
  <si>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</si>
  <si>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</si>
  <si>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</si>
  <si>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</si>
  <si>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</si>
  <si>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</si>
  <si>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</si>
  <si>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</si>
  <si>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</si>
  <si>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</si>
  <si>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</si>
  <si>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</si>
  <si>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</si>
  <si>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</si>
  <si>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</si>
  <si>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</si>
  <si>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</si>
  <si>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</si>
  <si>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</si>
  <si>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</si>
  <si>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</si>
  <si>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</si>
  <si>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</si>
  <si>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</si>
  <si>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</si>
  <si>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</si>
  <si>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</si>
  <si>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</si>
  <si>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</si>
  <si>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</si>
  <si>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</si>
  <si>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</si>
  <si>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</si>
  <si>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</si>
  <si>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</si>
  <si>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</si>
  <si>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</si>
  <si>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</si>
  <si>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</si>
  <si>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</si>
  <si>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</si>
  <si>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</si>
  <si>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</si>
  <si>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</si>
  <si>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</si>
  <si>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</si>
  <si>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</si>
  <si>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</si>
  <si>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</si>
  <si>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</si>
  <si>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</si>
  <si>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</si>
  <si>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</si>
  <si>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</si>
  <si>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</si>
  <si>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</si>
  <si>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</si>
  <si>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</si>
  <si>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</si>
  <si>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</si>
  <si>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</si>
  <si>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</si>
  <si>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</si>
  <si>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</si>
  <si>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</si>
  <si>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</si>
  <si>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</si>
  <si>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</si>
  <si>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</si>
  <si>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</si>
  <si>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</si>
  <si>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</si>
  <si>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</si>
  <si>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</si>
  <si>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</si>
  <si>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</si>
  <si>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</si>
  <si>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</si>
  <si>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</si>
  <si>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</si>
  <si>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</si>
  <si>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</si>
  <si>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</si>
  <si>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</si>
  <si>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</si>
  <si>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</si>
  <si>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</si>
  <si>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</si>
  <si>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</si>
  <si>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</si>
  <si>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</si>
  <si>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</si>
  <si>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</si>
  <si>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</si>
  <si>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</si>
  <si>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</si>
  <si>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</si>
  <si>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</si>
  <si>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</si>
  <si>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</si>
  <si>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</si>
  <si>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</si>
  <si>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</si>
  <si>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</si>
  <si>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</si>
  <si>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</si>
  <si>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</si>
  <si>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</si>
  <si>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</si>
  <si>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</si>
  <si>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</si>
  <si>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</si>
  <si>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</si>
  <si>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</si>
  <si>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</si>
  <si>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</si>
  <si>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</si>
  <si>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</si>
  <si>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</si>
  <si>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</si>
  <si>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</si>
  <si>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</si>
  <si>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</si>
  <si>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</si>
  <si>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</si>
  <si>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</si>
  <si>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</si>
  <si>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</si>
  <si>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</si>
  <si>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</si>
  <si>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</si>
  <si>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</si>
  <si>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</si>
  <si>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</si>
  <si>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</si>
  <si>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</si>
  <si>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</si>
  <si>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</si>
  <si>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</si>
  <si>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</si>
  <si>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</si>
  <si>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</si>
  <si>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</si>
  <si>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</si>
  <si>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</si>
  <si>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</si>
  <si>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</si>
  <si>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</si>
  <si>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</si>
  <si>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</si>
  <si>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</si>
  <si>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</si>
  <si>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</si>
  <si>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</si>
  <si>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</si>
  <si>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</si>
  <si>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</si>
  <si>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</si>
  <si>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</si>
  <si>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</si>
  <si>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</si>
  <si>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</si>
  <si>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</si>
  <si>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</si>
  <si>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</si>
  <si>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</si>
  <si>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</si>
  <si>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</si>
  <si>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</si>
  <si>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</si>
  <si>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</si>
  <si>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</si>
  <si>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</si>
  <si>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</si>
  <si>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</si>
  <si>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</si>
  <si>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</si>
  <si>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</si>
  <si>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</si>
  <si>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</si>
  <si>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</si>
  <si>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</si>
  <si>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</si>
  <si>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</si>
  <si>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</si>
  <si>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</si>
  <si>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</si>
  <si>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</si>
  <si>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</si>
  <si>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</si>
  <si>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</si>
  <si>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</si>
  <si>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</si>
  <si>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</si>
  <si>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</si>
  <si>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</si>
  <si>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</si>
  <si>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</si>
  <si>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</si>
  <si>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</si>
  <si>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</si>
  <si>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</si>
  <si>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</si>
  <si>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</si>
  <si>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</si>
  <si>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</si>
  <si>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</si>
  <si>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</si>
  <si>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</si>
  <si>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</si>
  <si>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</si>
  <si>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</si>
  <si>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</si>
  <si>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</si>
  <si>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</si>
  <si>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</si>
  <si>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</si>
  <si>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</si>
  <si>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</si>
  <si>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</si>
  <si>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</si>
  <si>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</si>
  <si>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</si>
  <si>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</si>
  <si>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</si>
  <si>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</si>
  <si>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</si>
  <si>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</si>
  <si>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</si>
  <si>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</si>
  <si>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</si>
  <si>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</si>
  <si>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</si>
  <si>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</si>
  <si>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</si>
  <si>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</si>
  <si>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</si>
  <si>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</si>
  <si>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</si>
  <si>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</si>
  <si>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</si>
  <si>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</si>
  <si>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</si>
  <si>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</si>
  <si>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</si>
  <si>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</si>
  <si>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</si>
  <si>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</si>
  <si>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</si>
  <si>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</si>
  <si>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</si>
  <si>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</si>
  <si>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</si>
  <si>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</si>
  <si>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</si>
  <si>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</si>
  <si>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</si>
  <si>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</si>
  <si>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</si>
  <si>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</si>
  <si>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</si>
  <si>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</si>
  <si>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</si>
  <si>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</si>
  <si>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</si>
  <si>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</si>
  <si>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</si>
  <si>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</si>
  <si>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</si>
  <si>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</si>
  <si>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</si>
  <si>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</si>
  <si>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</si>
  <si>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</si>
  <si>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</si>
  <si>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</si>
  <si>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</si>
  <si>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</si>
  <si>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</si>
  <si>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</si>
  <si>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</si>
  <si>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</si>
  <si>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</si>
  <si>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</si>
  <si>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</si>
  <si>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</si>
  <si>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</si>
  <si>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</si>
  <si>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</si>
  <si>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</si>
  <si>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</si>
  <si>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</si>
  <si>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</si>
  <si>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</si>
  <si>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</si>
  <si>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</si>
  <si>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</si>
  <si>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</si>
  <si>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</si>
  <si>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</si>
  <si>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</si>
  <si>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</si>
  <si>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</si>
  <si>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</si>
  <si>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</si>
  <si>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</si>
  <si>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</si>
  <si>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</si>
  <si>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</si>
  <si>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</si>
  <si>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</si>
  <si>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</si>
  <si>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</si>
  <si>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</si>
  <si>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</si>
  <si>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</si>
  <si>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</si>
  <si>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</si>
  <si>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</si>
  <si>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</si>
  <si>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</si>
  <si>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</si>
  <si>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</si>
  <si>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</si>
  <si>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</si>
  <si>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</si>
  <si>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</si>
  <si>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</si>
  <si>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</si>
  <si>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</si>
  <si>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</si>
  <si>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</si>
  <si>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</si>
  <si>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</si>
  <si>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</si>
  <si>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</si>
  <si>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</si>
  <si>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</si>
  <si>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</si>
  <si>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</si>
  <si>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</si>
  <si>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</si>
  <si>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</si>
  <si>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</si>
  <si>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</si>
  <si>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</si>
  <si>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</si>
  <si>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</si>
  <si>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</si>
  <si>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</si>
  <si>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</si>
  <si>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</si>
  <si>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</si>
  <si>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</si>
  <si>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</si>
  <si>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</si>
  <si>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</si>
  <si>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</si>
  <si>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</si>
  <si>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</si>
  <si>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</si>
  <si>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</si>
  <si>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</si>
  <si>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</si>
  <si>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</si>
  <si>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</si>
  <si>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</si>
  <si>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</si>
  <si>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</si>
  <si>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</si>
  <si>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</si>
  <si>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</si>
  <si>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</si>
  <si>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</si>
  <si>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</si>
  <si>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</si>
  <si>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</si>
  <si>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</si>
  <si>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</si>
  <si>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</si>
  <si>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</si>
  <si>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</si>
  <si>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</si>
  <si>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</si>
  <si>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</si>
  <si>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</si>
  <si>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</si>
  <si>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</si>
  <si>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</si>
  <si>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</si>
  <si>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</si>
  <si>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</si>
  <si>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</si>
  <si>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</si>
  <si>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</si>
  <si>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</si>
  <si>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</si>
  <si>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</si>
  <si>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</si>
  <si>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</si>
  <si>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</si>
  <si>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</si>
  <si>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</si>
  <si>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</si>
  <si>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</si>
  <si>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</si>
  <si>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</si>
  <si>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</si>
  <si>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</si>
  <si>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</si>
  <si>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</si>
  <si>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</si>
  <si>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</si>
  <si>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</si>
  <si>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</si>
  <si>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</si>
  <si>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</si>
  <si>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</si>
  <si>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</si>
  <si>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</si>
  <si>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</si>
  <si>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</si>
  <si>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</si>
  <si>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</si>
  <si>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</si>
  <si>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</si>
  <si>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</si>
  <si>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</si>
  <si>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</si>
  <si>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</si>
  <si>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</si>
  <si>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</si>
  <si>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</si>
  <si>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</si>
  <si>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</si>
  <si>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</si>
  <si>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</si>
  <si>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</si>
  <si>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</si>
  <si>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</si>
  <si>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</si>
  <si>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</si>
  <si>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</si>
  <si>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</si>
  <si>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</si>
  <si>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</si>
  <si>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</si>
  <si>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</si>
  <si>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</si>
  <si>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</si>
  <si>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</si>
  <si>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</si>
  <si>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</si>
  <si>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</si>
  <si>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</si>
  <si>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</si>
  <si>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</si>
  <si>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</si>
  <si>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</si>
  <si>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</si>
  <si>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</si>
  <si>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</si>
  <si>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</si>
  <si>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</si>
  <si>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</si>
  <si>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</si>
  <si>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</si>
  <si>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</si>
  <si>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</si>
  <si>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</si>
  <si>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</si>
  <si>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</si>
  <si>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</si>
  <si>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</si>
  <si>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</si>
  <si>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</si>
  <si>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</si>
  <si>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</si>
  <si>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</si>
  <si>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</si>
  <si>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</si>
  <si>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</si>
  <si>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</si>
  <si>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</si>
  <si>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</si>
  <si>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</si>
  <si>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</si>
  <si>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</si>
  <si>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</si>
  <si>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</si>
  <si>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</si>
  <si>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</si>
  <si>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</si>
  <si>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</si>
  <si>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</si>
  <si>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</si>
  <si>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</si>
  <si>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</si>
  <si>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</si>
  <si>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</si>
  <si>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</si>
  <si>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</si>
  <si>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</si>
  <si>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</si>
  <si>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</si>
  <si>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</si>
  <si>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</si>
  <si>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</si>
  <si>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</si>
  <si>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</si>
  <si>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</si>
  <si>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</si>
  <si>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</si>
  <si>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</si>
  <si>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</si>
  <si>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</si>
  <si>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</si>
  <si>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</si>
  <si>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</si>
  <si>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</si>
  <si>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</si>
  <si>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</si>
  <si>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</si>
  <si>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</si>
  <si>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</si>
  <si>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</si>
  <si>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</si>
  <si>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</si>
  <si>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</si>
  <si>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</si>
  <si>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</si>
  <si>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</si>
  <si>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</si>
  <si>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</si>
  <si>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</si>
  <si>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</si>
  <si>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</si>
  <si>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</si>
  <si>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</si>
  <si>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</si>
  <si>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</si>
  <si>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</si>
  <si>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</si>
  <si>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</si>
  <si>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</si>
  <si>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</si>
  <si>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</si>
  <si>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</si>
  <si>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</si>
  <si>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</si>
  <si>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</si>
  <si>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</si>
  <si>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</si>
  <si>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</si>
  <si>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</si>
  <si>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</si>
  <si>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</si>
  <si>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</si>
  <si>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</si>
  <si>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</si>
  <si>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</si>
  <si>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</si>
  <si>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</si>
  <si>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</si>
  <si>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</si>
  <si>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</si>
  <si>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</si>
  <si>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</si>
  <si>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</si>
  <si>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</si>
  <si>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</si>
  <si>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</si>
  <si>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</si>
  <si>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</si>
  <si>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</si>
  <si>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</si>
  <si>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</si>
  <si>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</si>
  <si>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</si>
  <si>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</si>
  <si>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</si>
  <si>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</si>
  <si>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</si>
  <si>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</si>
  <si>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</si>
  <si>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</si>
  <si>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</si>
  <si>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</si>
  <si>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</si>
  <si>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</si>
  <si>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</si>
  <si>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</si>
  <si>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</si>
  <si>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</si>
  <si>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</si>
  <si>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</si>
  <si>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</si>
  <si>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</si>
  <si>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</si>
  <si>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</si>
  <si>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</si>
  <si>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</si>
  <si>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</si>
  <si>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</si>
  <si>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</si>
  <si>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</si>
  <si>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</si>
  <si>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</si>
  <si>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</si>
  <si>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</si>
  <si>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</si>
  <si>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</si>
  <si>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</si>
  <si>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</si>
  <si>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</si>
  <si>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</si>
  <si>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</si>
  <si>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</si>
  <si>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</si>
  <si>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</si>
  <si>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</si>
  <si>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</si>
  <si>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</si>
  <si>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</si>
  <si>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</si>
  <si>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</si>
  <si>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</si>
  <si>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</si>
  <si>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</si>
  <si>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</si>
  <si>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</si>
  <si>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</si>
  <si>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</si>
  <si>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</si>
  <si>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</si>
  <si>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</si>
  <si>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</si>
  <si>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</si>
  <si>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</si>
  <si>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</si>
  <si>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</si>
  <si>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</si>
  <si>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</si>
  <si>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</si>
  <si>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</si>
  <si>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</si>
  <si>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</si>
  <si>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</si>
  <si>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</si>
  <si>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</si>
  <si>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</si>
  <si>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</si>
  <si>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</si>
  <si>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</si>
  <si>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</si>
  <si>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</si>
  <si>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</si>
  <si>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</si>
  <si>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</si>
  <si>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</si>
  <si>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</si>
  <si>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</si>
  <si>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</si>
  <si>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</si>
  <si>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</si>
  <si>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</si>
  <si>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</si>
  <si>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</si>
  <si>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</si>
  <si>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</si>
  <si>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</si>
  <si>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</si>
  <si>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</si>
  <si>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</si>
  <si>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</si>
  <si>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</si>
  <si>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</si>
  <si>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</si>
  <si>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</si>
  <si>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</si>
  <si>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</si>
  <si>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</si>
  <si>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</si>
  <si>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</si>
  <si>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</si>
  <si>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</si>
  <si>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</si>
  <si>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</si>
  <si>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</si>
  <si>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</si>
  <si>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</si>
  <si>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</si>
  <si>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</si>
  <si>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</si>
  <si>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</si>
  <si>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</si>
  <si>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</si>
  <si>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</si>
  <si>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</si>
  <si>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</si>
  <si>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</si>
  <si>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</si>
  <si>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</si>
  <si>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</si>
  <si>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</si>
  <si>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</si>
  <si>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</si>
  <si>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</si>
  <si>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</si>
  <si>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</si>
  <si>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</si>
  <si>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</si>
  <si>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</si>
  <si>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</si>
  <si>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</si>
  <si>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</si>
  <si>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</si>
  <si>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</si>
  <si>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</si>
  <si>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</si>
  <si>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</si>
  <si>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</si>
  <si>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</si>
  <si>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</si>
  <si>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</si>
  <si>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</si>
  <si>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</si>
  <si>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</si>
  <si>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</si>
  <si>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</si>
  <si>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</si>
  <si>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</si>
  <si>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</si>
  <si>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</si>
  <si>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</si>
  <si>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</si>
  <si>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</si>
  <si>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</si>
  <si>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</si>
  <si>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</si>
  <si>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</si>
  <si>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</si>
  <si>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</si>
  <si>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</si>
  <si>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</si>
  <si>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</si>
  <si>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</si>
  <si>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</si>
  <si>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</si>
  <si>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</si>
  <si>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</si>
  <si>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</si>
  <si>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</si>
  <si>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</si>
  <si>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</si>
  <si>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</si>
  <si>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</si>
  <si>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</si>
  <si>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</si>
  <si>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</si>
  <si>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</si>
  <si>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</si>
  <si>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</si>
  <si>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</si>
  <si>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</si>
  <si>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</si>
  <si>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</si>
  <si>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</si>
  <si>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</si>
  <si>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</si>
  <si>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</si>
  <si>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</si>
  <si>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</si>
  <si>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</si>
  <si>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</si>
  <si>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</si>
  <si>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</si>
  <si>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</si>
  <si>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</si>
  <si>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</si>
  <si>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</si>
  <si>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</si>
  <si>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</si>
  <si>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</si>
  <si>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</si>
  <si>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</si>
  <si>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</si>
  <si>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</si>
  <si>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</si>
  <si>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</si>
  <si>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</si>
  <si>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</si>
  <si>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</si>
  <si>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</si>
  <si>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</si>
  <si>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</si>
  <si>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</si>
  <si>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</si>
  <si>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</si>
  <si>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</si>
  <si>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</si>
  <si>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</si>
  <si>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</si>
  <si>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</si>
  <si>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</si>
  <si>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</si>
  <si>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</si>
  <si>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</si>
  <si>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</si>
  <si>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</si>
  <si>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</si>
  <si>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</si>
  <si>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</si>
  <si>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</si>
  <si>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</si>
  <si>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</si>
  <si>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</si>
  <si>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</si>
  <si>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</si>
  <si>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</si>
  <si>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</si>
  <si>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</si>
  <si>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</si>
  <si>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</si>
  <si>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</si>
  <si>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</si>
  <si>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</si>
  <si>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</si>
  <si>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</si>
  <si>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</si>
  <si>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</si>
  <si>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</si>
  <si>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</si>
  <si>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</si>
  <si>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</si>
  <si>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</si>
  <si>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</si>
  <si>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</si>
  <si>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</si>
  <si>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</si>
  <si>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</si>
  <si>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</si>
  <si>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</si>
  <si>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</si>
  <si>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</si>
  <si>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</si>
  <si>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</si>
  <si>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</si>
  <si>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</si>
  <si>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</si>
  <si>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</si>
  <si>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</si>
  <si>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</si>
  <si>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</si>
  <si>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</si>
  <si>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</si>
  <si>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</si>
  <si>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</si>
  <si>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</si>
  <si>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</si>
  <si>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</si>
  <si>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</si>
  <si>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</si>
  <si>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</si>
  <si>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</si>
  <si>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</si>
  <si>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</si>
  <si>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</si>
  <si>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</si>
  <si>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</si>
  <si>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</si>
  <si>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</si>
  <si>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</si>
  <si>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</si>
  <si>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</si>
  <si>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</si>
  <si>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</si>
  <si>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</si>
  <si>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</si>
  <si>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</si>
  <si>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</si>
  <si>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</si>
  <si>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</si>
  <si>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</si>
  <si>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</si>
  <si>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</si>
  <si>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</si>
  <si>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</si>
  <si>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</si>
  <si>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</si>
  <si>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</si>
  <si>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</si>
  <si>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</si>
  <si>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</si>
  <si>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</si>
  <si>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</si>
  <si>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</si>
  <si>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</si>
  <si>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</si>
  <si>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</si>
  <si>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</si>
  <si>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</si>
  <si>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</si>
  <si>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</si>
  <si>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</si>
  <si>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</si>
  <si>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</si>
  <si>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</si>
  <si>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</si>
  <si>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</si>
  <si>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</si>
  <si>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</si>
  <si>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</si>
  <si>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</si>
  <si>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</si>
  <si>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</si>
  <si>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</si>
  <si>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</si>
  <si>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</si>
  <si>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</si>
  <si>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</si>
  <si>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</si>
  <si>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</si>
  <si>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</si>
  <si>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</si>
  <si>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</si>
  <si>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</si>
  <si>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</si>
  <si>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</si>
  <si>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</si>
  <si>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</si>
  <si>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</si>
  <si>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</si>
  <si>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</si>
  <si>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</si>
  <si>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</si>
  <si>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</si>
  <si>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</si>
  <si>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</si>
  <si>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</si>
  <si>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</si>
  <si>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</si>
  <si>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</si>
  <si>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</si>
  <si>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</si>
  <si>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</si>
  <si>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</si>
  <si>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</si>
  <si>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</si>
  <si>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</si>
  <si>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</si>
  <si>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</si>
  <si>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</si>
  <si>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</si>
  <si>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</si>
  <si>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</si>
  <si>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</si>
  <si>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</si>
  <si>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</si>
  <si>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</si>
  <si>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</si>
  <si>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</si>
  <si>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</si>
  <si>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</si>
  <si>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</si>
  <si>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</si>
  <si>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</si>
  <si>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</si>
  <si>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</si>
  <si>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</si>
  <si>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Raymond School District</t>
  </si>
  <si>
    <t>8/05</t>
  </si>
  <si>
    <t>8/14</t>
  </si>
  <si>
    <t>8/25</t>
  </si>
  <si>
    <t>8/24</t>
  </si>
  <si>
    <t>Scholarship Funds</t>
  </si>
  <si>
    <t>Other Additional Revnues - $428,771.52 - the majority of this money is from NH School Care Health Incentives $252,227.50,</t>
  </si>
  <si>
    <t xml:space="preserve">  and Other Revenue from Local Services $119,841.60 - these are Impact Fees received from the Town of Raymond</t>
  </si>
  <si>
    <t>Transfers from All Other Special Revenue Funds - $24,748.22 - this is Indirect Costs Revenue Charges to Grants</t>
  </si>
  <si>
    <t>Fund Transfers to General Fund - $24,748.22 - this is Indirect Costs Revenue Charges to Grants.</t>
  </si>
  <si>
    <t>School Level Expenditures Page - I did not realize in year's past that we could break out the "Out of District Tuition" costs. I</t>
  </si>
  <si>
    <t xml:space="preserve">    have broken them out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</si>
</sst>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90" zoomScaleNormal="90"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453</v>
      </c>
      <c r="C2" s="21">
        <v>453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1278788.73-11435.91</f>
        <v>1267352.82</v>
      </c>
      <c r="G9" s="18">
        <v>100</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1586869.97</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546766.24</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31652+80715.86</f>
        <v>112367.86</v>
      </c>
      <c r="G13" s="18">
        <v>80715.86</v>
      </c>
      <c r="H13" s="18">
        <v>480636.92</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135539.01</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2062025.9300000002</v>
      </c>
      <c r="G19" s="41">
        <f>SUM(G9:G18)</f>
        <v>80815.86</v>
      </c>
      <c r="H19" s="41">
        <f>SUM(H9:H18)</f>
        <v>480636.92</v>
      </c>
      <c r="I19" s="41">
        <f>SUM(I9:I18)</f>
        <v>0</v>
      </c>
      <c r="J19" s="41">
        <f>SUM(J9:J18)</f>
        <v>1586869.97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421.65</v>
      </c>
      <c r="G22" s="18"/>
      <c r="H22" s="18">
        <v>480115.353</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f>75000+55997</f>
        <v>130997</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173885.82-421.65</f>
        <v>173464.17</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147231.79999999999</v>
      </c>
      <c r="G28" s="18"/>
      <c r="H28" s="18">
        <v>521.57000000000005</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434589.55-77997.11+2000</f>
        <v>358592.44</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77997.11</v>
      </c>
      <c r="G30" s="18">
        <f>14164.97+66650.89</f>
        <v>80815.86</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888704.17</v>
      </c>
      <c r="G32" s="41">
        <f>SUM(G22:G31)</f>
        <v>80815.86</v>
      </c>
      <c r="H32" s="41">
        <f>SUM(H22:H31)</f>
        <v>480636.92300000001</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448143</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1586869.97</v>
      </c>
      <c r="K48" s="24" t="s">
        <v>288</v>
      </c>
      <c r="L48" s="24" t="s">
        <v>288</v>
      </c>
      <c r="M48" s="8"/>
      <c r="N48" s="264"/>
    </row>
    <row r="49" spans="1:14" s="3" customFormat="1" ht="12.2" customHeight="1" x14ac:dyDescent="0.15">
      <c r="A49" s="1" t="s">
        <v>859</v>
      </c>
      <c r="B49" s="2" t="s">
        <v>289</v>
      </c>
      <c r="C49" s="6">
        <v>34</v>
      </c>
      <c r="D49" s="2"/>
      <c r="E49" s="6">
        <v>753</v>
      </c>
      <c r="F49" s="18">
        <v>55722.65</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2073461.84-833704.28-75000-448143-55722.65+77997.11-2000-11435.91-75000-55997</f>
        <v>594456.11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1173321.76</v>
      </c>
      <c r="G51" s="41">
        <f>SUM(G35:G50)</f>
        <v>0</v>
      </c>
      <c r="H51" s="41">
        <f>SUM(H35:H50)</f>
        <v>0</v>
      </c>
      <c r="I51" s="41">
        <f>SUM(I35:I50)</f>
        <v>0</v>
      </c>
      <c r="J51" s="41">
        <f>SUM(J35:J50)</f>
        <v>1586869.97</v>
      </c>
      <c r="K51" s="45" t="s">
        <v>288</v>
      </c>
      <c r="L51" s="45" t="s">
        <v>288</v>
      </c>
      <c r="N51" s="262"/>
    </row>
    <row r="52" spans="1:14" s="3" customFormat="1" ht="12.2" customHeight="1" thickTop="1" x14ac:dyDescent="0.15">
      <c r="A52" s="38" t="s">
        <v>455</v>
      </c>
      <c r="B52" s="39" t="s">
        <v>289</v>
      </c>
      <c r="C52" s="6">
        <v>37</v>
      </c>
      <c r="D52" s="39" t="s">
        <v>653</v>
      </c>
      <c r="E52" s="39"/>
      <c r="F52" s="41">
        <f>F51+F32</f>
        <v>2062025.9300000002</v>
      </c>
      <c r="G52" s="41">
        <f>G51+G32</f>
        <v>80815.86</v>
      </c>
      <c r="H52" s="41">
        <f>H51+H32</f>
        <v>480636.92300000001</v>
      </c>
      <c r="I52" s="41">
        <f>I51+I32</f>
        <v>0</v>
      </c>
      <c r="J52" s="41">
        <f>J51+J32</f>
        <v>1586869.97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15912322</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15912322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12675</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46348.15</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59023.15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223.73</v>
      </c>
      <c r="G96" s="18"/>
      <c r="H96" s="18"/>
      <c r="I96" s="18"/>
      <c r="J96" s="18">
        <v>86884.39</v>
      </c>
      <c r="K96" s="24" t="s">
        <v>288</v>
      </c>
      <c r="L96" s="24" t="s">
        <v>288</v>
      </c>
      <c r="M96" s="8"/>
      <c r="N96" s="264"/>
    </row>
    <row r="97" spans="1:14" s="3" customFormat="1" ht="12.2" customHeight="1" x14ac:dyDescent="0.15">
      <c r="A97" s="1" t="s">
        <v>503</v>
      </c>
      <c r="B97" s="2" t="s">
        <v>315</v>
      </c>
      <c r="C97" s="6">
        <v>12</v>
      </c>
      <c r="D97" s="2" t="s">
        <v>430</v>
      </c>
      <c r="E97" s="6">
        <v>1600</v>
      </c>
      <c r="F97" s="24" t="s">
        <v>288</v>
      </c>
      <c r="G97" s="18">
        <f>506335.04-5944.17-208884.62-259362-11435.91</f>
        <v>20708.34</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24887</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1685.68</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119841.6+252227.5+56702.42</f>
        <v>428771.51999999996</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455567.92999999993</v>
      </c>
      <c r="G111" s="41">
        <f>SUM(G96:G110)</f>
        <v>20708.34</v>
      </c>
      <c r="H111" s="41">
        <f>SUM(H96:H110)</f>
        <v>0</v>
      </c>
      <c r="I111" s="41">
        <f>SUM(I96:I110)</f>
        <v>0</v>
      </c>
      <c r="J111" s="41">
        <f>SUM(J96:J110)</f>
        <v>86884.39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16426913.08</v>
      </c>
      <c r="G112" s="41">
        <f>G60+G111</f>
        <v>20708.34</v>
      </c>
      <c r="H112" s="41">
        <f>H60+H79+H94+H111</f>
        <v>0</v>
      </c>
      <c r="I112" s="41">
        <f>I60+I111</f>
        <v>0</v>
      </c>
      <c r="J112" s="41">
        <f>J60+J111</f>
        <v>86884.39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5407574.1699999999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2117702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10674.77</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7535950.9399999995</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297455.44</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231292.17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15736.06</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5944.17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544483.67000000004</v>
      </c>
      <c r="G136" s="41">
        <f>SUM(G123:G135)</f>
        <v>5944.17</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8080434.6099999994</v>
      </c>
      <c r="G140" s="41">
        <f>G121+SUM(G136:G137)</f>
        <v>5944.17</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30.33+142014.9</f>
        <v>142045.22999999998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31397.68+32680.63+135703.37+16349.44+1634.55</f>
        <v>217765.66999999998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208884.62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311709.63+0+4752.12+12129.7+6508.72</f>
        <v>335100.17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125900.99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c r="H161" s="18">
        <f>149608.58+2576.85+275610.73+237800+92591.74+4342.13</f>
        <v>762530.02999999991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273440.82+212343.42</f>
        <v>485784.24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125900.99</v>
      </c>
      <c r="G163" s="41">
        <f>SUM(G150:G162)</f>
        <v>208884.62</v>
      </c>
      <c r="H163" s="41">
        <f>SUM(H150:H162)</f>
        <v>1943225.3399999999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125900.99</v>
      </c>
      <c r="G170" s="41">
        <f>G147+G163+SUM(G164:G169)</f>
        <v>208884.62</v>
      </c>
      <c r="H170" s="41">
        <f>H147+H163+SUM(H164:H169)</f>
        <v>1943225.3399999999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f>259362+11435.91</f>
        <v>270797.90999999997</v>
      </c>
      <c r="H180" s="18"/>
      <c r="I180" s="18"/>
      <c r="J180" s="18">
        <f>333076+75000+55997</f>
        <v>464073</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24748.22</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24748.22</v>
      </c>
      <c r="G184" s="41">
        <f>SUM(G180:G183)</f>
        <v>270797.90999999997</v>
      </c>
      <c r="H184" s="41">
        <f>SUM(H180:H183)</f>
        <v>0</v>
      </c>
      <c r="I184" s="41">
        <f>SUM(I180:I183)</f>
        <v>0</v>
      </c>
      <c r="J184" s="41">
        <f>SUM(J180:J183)</f>
        <v>464073</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24748.22</v>
      </c>
      <c r="G193" s="41">
        <f>G184+SUM(G189:G192)</f>
        <v>270797.90999999997</v>
      </c>
      <c r="H193" s="41">
        <f>+H184+SUM(H189:H192)</f>
        <v>0</v>
      </c>
      <c r="I193" s="41">
        <f>I178+I184+SUM(I189:I192)</f>
        <v>0</v>
      </c>
      <c r="J193" s="41">
        <f>J184</f>
        <v>464073</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24657996.899999995</v>
      </c>
      <c r="G194" s="47">
        <f>G112+G140+G170+G193</f>
        <v>506335.04</v>
      </c>
      <c r="H194" s="47">
        <f>H112+H140+H170+H193</f>
        <v>1943225.3399999999</v>
      </c>
      <c r="I194" s="47">
        <f>I112+I140+I170+I193</f>
        <v>0</v>
      </c>
      <c r="J194" s="47">
        <f>J112+J140+J193</f>
        <v>550957.39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1820929.64</v>
      </c>
      <c r="G198" s="18">
        <v>843459.28</v>
      </c>
      <c r="H198" s="18">
        <f>15620.16-1315.64</f>
        <v>14304.52</v>
      </c>
      <c r="I198" s="18">
        <v>70782.100000000006</v>
      </c>
      <c r="J198" s="18">
        <f>3051.13-0.01</f>
        <v>3051.12</v>
      </c>
      <c r="K198" s="18">
        <v>0</v>
      </c>
      <c r="L198" s="19">
        <f>SUM(F198:K198)</f>
        <v>2752526.66</v>
      </c>
      <c r="M198" s="8"/>
      <c r="N198" s="264"/>
    </row>
    <row r="199" spans="1:14" s="3" customFormat="1" ht="12.2" customHeight="1" x14ac:dyDescent="0.15">
      <c r="A199" s="1" t="s">
        <v>439</v>
      </c>
      <c r="B199" s="2" t="s">
        <v>341</v>
      </c>
      <c r="C199" s="2" t="s">
        <v>291</v>
      </c>
      <c r="D199" s="2" t="s">
        <v>431</v>
      </c>
      <c r="E199" s="6">
        <v>1200</v>
      </c>
      <c r="F199" s="18">
        <v>663379.6</v>
      </c>
      <c r="G199" s="18">
        <v>442498.74</v>
      </c>
      <c r="H199" s="18">
        <f>1025970.12-5941.25</f>
        <v>1020028.87</v>
      </c>
      <c r="I199" s="18">
        <v>3396.43</v>
      </c>
      <c r="J199" s="18">
        <f>6662.23-0.01</f>
        <v>6662.2199999999993</v>
      </c>
      <c r="K199" s="18">
        <v>2822.6</v>
      </c>
      <c r="L199" s="19">
        <f>SUM(F199:K199)</f>
        <v>2138788.4600000004</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6698.87</v>
      </c>
      <c r="G201" s="18">
        <v>1011.04</v>
      </c>
      <c r="H201" s="18">
        <v>14404.83</v>
      </c>
      <c r="I201" s="18">
        <v>1762.95</v>
      </c>
      <c r="J201" s="18">
        <v>0</v>
      </c>
      <c r="K201" s="18">
        <v>0</v>
      </c>
      <c r="L201" s="19">
        <f>SUM(F201:K201)</f>
        <v>23877.69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197185.03</v>
      </c>
      <c r="G203" s="18">
        <v>77047.72</v>
      </c>
      <c r="H203" s="18">
        <v>2510.77</v>
      </c>
      <c r="I203" s="18">
        <v>5446.14</v>
      </c>
      <c r="J203" s="18">
        <v>635.48</v>
      </c>
      <c r="K203" s="18">
        <v>0</v>
      </c>
      <c r="L203" s="19">
        <f t="shared" ref="L203:L209" si="0">SUM(F203:K203)</f>
        <v>282825.14</v>
      </c>
      <c r="M203" s="8"/>
      <c r="N203" s="264"/>
    </row>
    <row r="204" spans="1:14" s="3" customFormat="1" ht="12.2" customHeight="1" x14ac:dyDescent="0.15">
      <c r="A204" s="1" t="s">
        <v>443</v>
      </c>
      <c r="B204" s="2" t="s">
        <v>341</v>
      </c>
      <c r="C204" s="2" t="s">
        <v>295</v>
      </c>
      <c r="D204" s="2" t="s">
        <v>431</v>
      </c>
      <c r="E204" s="6">
        <v>2200</v>
      </c>
      <c r="F204" s="18">
        <v>137927.34</v>
      </c>
      <c r="G204" s="18">
        <v>60966.07</v>
      </c>
      <c r="H204" s="18">
        <v>11787.56</v>
      </c>
      <c r="I204" s="18">
        <v>31771.91</v>
      </c>
      <c r="J204" s="18">
        <v>57414.11</v>
      </c>
      <c r="K204" s="18">
        <v>0</v>
      </c>
      <c r="L204" s="19">
        <f t="shared" si="0"/>
        <v>299866.99</v>
      </c>
      <c r="M204" s="8"/>
      <c r="N204" s="264"/>
    </row>
    <row r="205" spans="1:14" s="3" customFormat="1" ht="12.2" customHeight="1" x14ac:dyDescent="0.15">
      <c r="A205" s="1" t="s">
        <v>444</v>
      </c>
      <c r="B205" s="2" t="s">
        <v>341</v>
      </c>
      <c r="C205" s="2" t="s">
        <v>296</v>
      </c>
      <c r="D205" s="2" t="s">
        <v>431</v>
      </c>
      <c r="E205" s="6">
        <v>2300</v>
      </c>
      <c r="F205" s="18">
        <v>169404.37</v>
      </c>
      <c r="G205" s="18">
        <v>71000.05</v>
      </c>
      <c r="H205" s="18">
        <v>51964.26</v>
      </c>
      <c r="I205" s="18">
        <v>14038.78</v>
      </c>
      <c r="J205" s="18">
        <v>0</v>
      </c>
      <c r="K205" s="18">
        <v>5262.63</v>
      </c>
      <c r="L205" s="19">
        <f t="shared" si="0"/>
        <v>311670.09000000003</v>
      </c>
      <c r="M205" s="8"/>
      <c r="N205" s="264"/>
    </row>
    <row r="206" spans="1:14" s="3" customFormat="1" ht="12.2" customHeight="1" x14ac:dyDescent="0.15">
      <c r="A206" s="1" t="s">
        <v>445</v>
      </c>
      <c r="B206" s="2" t="s">
        <v>341</v>
      </c>
      <c r="C206" s="2" t="s">
        <v>297</v>
      </c>
      <c r="D206" s="2" t="s">
        <v>431</v>
      </c>
      <c r="E206" s="6">
        <v>2400</v>
      </c>
      <c r="F206" s="18">
        <v>274136.94</v>
      </c>
      <c r="G206" s="18">
        <v>148038.65</v>
      </c>
      <c r="H206" s="18">
        <v>26438.98</v>
      </c>
      <c r="I206" s="18">
        <v>1153.6500000000001</v>
      </c>
      <c r="J206" s="18">
        <v>0</v>
      </c>
      <c r="K206" s="18">
        <v>1550</v>
      </c>
      <c r="L206" s="19">
        <f t="shared" si="0"/>
        <v>451318.22</v>
      </c>
      <c r="M206" s="8"/>
      <c r="N206" s="264"/>
    </row>
    <row r="207" spans="1:14" s="3" customFormat="1" ht="12.2" customHeight="1" x14ac:dyDescent="0.15">
      <c r="A207" s="1" t="s">
        <v>446</v>
      </c>
      <c r="B207" s="2" t="s">
        <v>341</v>
      </c>
      <c r="C207" s="2" t="s">
        <v>298</v>
      </c>
      <c r="D207" s="2" t="s">
        <v>431</v>
      </c>
      <c r="E207" s="6">
        <v>2500</v>
      </c>
      <c r="F207" s="18">
        <v>64731.09</v>
      </c>
      <c r="G207" s="18">
        <v>35626.980000000003</v>
      </c>
      <c r="H207" s="18">
        <v>1320</v>
      </c>
      <c r="I207" s="18">
        <v>0</v>
      </c>
      <c r="J207" s="18">
        <v>0</v>
      </c>
      <c r="K207" s="18">
        <v>66</v>
      </c>
      <c r="L207" s="19">
        <f t="shared" si="0"/>
        <v>101744.07</v>
      </c>
      <c r="M207" s="8"/>
      <c r="N207" s="264"/>
    </row>
    <row r="208" spans="1:14" s="3" customFormat="1" ht="12.2" customHeight="1" x14ac:dyDescent="0.15">
      <c r="A208" s="1" t="s">
        <v>447</v>
      </c>
      <c r="B208" s="2" t="s">
        <v>341</v>
      </c>
      <c r="C208" s="2" t="s">
        <v>299</v>
      </c>
      <c r="D208" s="2" t="s">
        <v>431</v>
      </c>
      <c r="E208" s="6">
        <v>2600</v>
      </c>
      <c r="F208" s="18">
        <v>206471.02</v>
      </c>
      <c r="G208" s="18">
        <v>126673.51</v>
      </c>
      <c r="H208" s="18">
        <v>121017.35</v>
      </c>
      <c r="I208" s="18">
        <f>99490.69+0.01</f>
        <v>99490.7</v>
      </c>
      <c r="J208" s="18">
        <v>9254.17</v>
      </c>
      <c r="K208" s="18">
        <v>0</v>
      </c>
      <c r="L208" s="19">
        <f t="shared" si="0"/>
        <v>562906.75</v>
      </c>
      <c r="M208" s="8"/>
      <c r="N208" s="264"/>
    </row>
    <row r="209" spans="1:14" s="3" customFormat="1" ht="12.2" customHeight="1" x14ac:dyDescent="0.15">
      <c r="A209" s="1" t="s">
        <v>448</v>
      </c>
      <c r="B209" s="2" t="s">
        <v>341</v>
      </c>
      <c r="C209" s="2" t="s">
        <v>300</v>
      </c>
      <c r="D209" s="2" t="s">
        <v>431</v>
      </c>
      <c r="E209" s="6">
        <v>2700</v>
      </c>
      <c r="F209" s="18">
        <v>0</v>
      </c>
      <c r="G209" s="18">
        <v>0</v>
      </c>
      <c r="H209" s="18">
        <v>321865.71999999997</v>
      </c>
      <c r="I209" s="18">
        <v>0</v>
      </c>
      <c r="J209" s="18">
        <v>0</v>
      </c>
      <c r="K209" s="18">
        <v>0</v>
      </c>
      <c r="L209" s="19">
        <f t="shared" si="0"/>
        <v>321865.71999999997</v>
      </c>
      <c r="M209" s="8"/>
      <c r="N209" s="264"/>
    </row>
    <row r="210" spans="1:14" s="3" customFormat="1" ht="12.2" customHeight="1" x14ac:dyDescent="0.15">
      <c r="A210" s="1" t="s">
        <v>449</v>
      </c>
      <c r="B210" s="2" t="s">
        <v>341</v>
      </c>
      <c r="C210" s="2" t="s">
        <v>343</v>
      </c>
      <c r="D210" s="2" t="s">
        <v>431</v>
      </c>
      <c r="E210" s="6">
        <v>2800</v>
      </c>
      <c r="F210" s="18">
        <v>0</v>
      </c>
      <c r="G210" s="18">
        <v>0</v>
      </c>
      <c r="H210" s="18">
        <v>892.57</v>
      </c>
      <c r="I210" s="18">
        <v>0</v>
      </c>
      <c r="J210" s="18">
        <v>0</v>
      </c>
      <c r="K210" s="18">
        <v>0</v>
      </c>
      <c r="L210" s="19">
        <f>SUM(F210:K210)</f>
        <v>892.57</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3540863.8999999994</v>
      </c>
      <c r="G212" s="41">
        <f t="shared" si="1"/>
        <v>1806322.04</v>
      </c>
      <c r="H212" s="41">
        <f t="shared" si="1"/>
        <v>1586535.4300000002</v>
      </c>
      <c r="I212" s="41">
        <f t="shared" si="1"/>
        <v>227842.65999999997</v>
      </c>
      <c r="J212" s="41">
        <f t="shared" si="1"/>
        <v>77017.099999999991</v>
      </c>
      <c r="K212" s="41">
        <f t="shared" si="1"/>
        <v>9701.23</v>
      </c>
      <c r="L212" s="41">
        <f t="shared" si="1"/>
        <v>7248282.3600000013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1975312.27</v>
      </c>
      <c r="G216" s="18">
        <v>984103.84</v>
      </c>
      <c r="H216" s="18">
        <f>18084.51-1475.12</f>
        <v>16609.39</v>
      </c>
      <c r="I216" s="18">
        <v>35267.18</v>
      </c>
      <c r="J216" s="18">
        <v>14962.38</v>
      </c>
      <c r="K216" s="18">
        <v>0</v>
      </c>
      <c r="L216" s="19">
        <f>SUM(F216:K216)</f>
        <v>3026255.06</v>
      </c>
      <c r="M216" s="8"/>
      <c r="N216" s="264"/>
    </row>
    <row r="217" spans="1:14" s="3" customFormat="1" ht="12.2" customHeight="1" x14ac:dyDescent="0.15">
      <c r="A217" s="1" t="s">
        <v>439</v>
      </c>
      <c r="B217" s="2" t="s">
        <v>346</v>
      </c>
      <c r="C217" s="2" t="s">
        <v>291</v>
      </c>
      <c r="D217" s="2" t="s">
        <v>431</v>
      </c>
      <c r="E217" s="6">
        <v>1200</v>
      </c>
      <c r="F217" s="18">
        <v>687240.57</v>
      </c>
      <c r="G217" s="18">
        <v>490888.99</v>
      </c>
      <c r="H217" s="18">
        <f>971697.85-2401</f>
        <v>969296.85</v>
      </c>
      <c r="I217" s="18">
        <v>2679.03</v>
      </c>
      <c r="J217" s="18">
        <v>1217.3</v>
      </c>
      <c r="K217" s="18">
        <v>3164.73</v>
      </c>
      <c r="L217" s="19">
        <f>SUM(F217:K217)</f>
        <v>2154487.4699999997</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38892.35</v>
      </c>
      <c r="G219" s="18">
        <v>7601.09</v>
      </c>
      <c r="H219" s="18">
        <v>23689.43</v>
      </c>
      <c r="I219" s="18">
        <v>2595.5</v>
      </c>
      <c r="J219" s="18">
        <v>1003.7</v>
      </c>
      <c r="K219" s="18">
        <v>159.43</v>
      </c>
      <c r="L219" s="19">
        <f>SUM(F219:K219)</f>
        <v>73941.499999999985</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256958.81</v>
      </c>
      <c r="G221" s="18">
        <v>125437.11</v>
      </c>
      <c r="H221" s="18">
        <v>75315.11</v>
      </c>
      <c r="I221" s="18">
        <v>3712.44</v>
      </c>
      <c r="J221" s="18">
        <v>0</v>
      </c>
      <c r="K221" s="18">
        <v>0</v>
      </c>
      <c r="L221" s="19">
        <f t="shared" ref="L221:L227" si="2">SUM(F221:K221)</f>
        <v>461423.47</v>
      </c>
      <c r="M221" s="8"/>
      <c r="N221" s="264"/>
    </row>
    <row r="222" spans="1:14" s="3" customFormat="1" ht="12.2" customHeight="1" x14ac:dyDescent="0.15">
      <c r="A222" s="1" t="s">
        <v>443</v>
      </c>
      <c r="B222" s="2" t="s">
        <v>346</v>
      </c>
      <c r="C222" s="2" t="s">
        <v>295</v>
      </c>
      <c r="D222" s="2" t="s">
        <v>431</v>
      </c>
      <c r="E222" s="6">
        <v>2200</v>
      </c>
      <c r="F222" s="18">
        <v>140357.75</v>
      </c>
      <c r="G222" s="18">
        <v>74044.710000000006</v>
      </c>
      <c r="H222" s="18">
        <v>13216.35</v>
      </c>
      <c r="I222" s="18">
        <v>33080</v>
      </c>
      <c r="J222" s="18">
        <v>62744.160000000003</v>
      </c>
      <c r="K222" s="18">
        <v>0</v>
      </c>
      <c r="L222" s="19">
        <f t="shared" si="2"/>
        <v>323442.97000000003</v>
      </c>
      <c r="M222" s="8"/>
      <c r="N222" s="264"/>
    </row>
    <row r="223" spans="1:14" s="3" customFormat="1" ht="12.2" customHeight="1" x14ac:dyDescent="0.15">
      <c r="A223" s="1" t="s">
        <v>444</v>
      </c>
      <c r="B223" s="2" t="s">
        <v>346</v>
      </c>
      <c r="C223" s="2" t="s">
        <v>296</v>
      </c>
      <c r="D223" s="2" t="s">
        <v>431</v>
      </c>
      <c r="E223" s="6">
        <v>2300</v>
      </c>
      <c r="F223" s="18">
        <v>189938.23</v>
      </c>
      <c r="G223" s="18">
        <v>79606.12</v>
      </c>
      <c r="H223" s="18">
        <v>58262.96</v>
      </c>
      <c r="I223" s="18">
        <v>15740.45</v>
      </c>
      <c r="J223" s="18">
        <v>0</v>
      </c>
      <c r="K223" s="18">
        <v>5900.52</v>
      </c>
      <c r="L223" s="19">
        <f t="shared" si="2"/>
        <v>349448.28</v>
      </c>
      <c r="M223" s="8"/>
      <c r="N223" s="264"/>
    </row>
    <row r="224" spans="1:14" s="3" customFormat="1" ht="12.2" customHeight="1" x14ac:dyDescent="0.15">
      <c r="A224" s="1" t="s">
        <v>445</v>
      </c>
      <c r="B224" s="2" t="s">
        <v>346</v>
      </c>
      <c r="C224" s="2" t="s">
        <v>297</v>
      </c>
      <c r="D224" s="2" t="s">
        <v>431</v>
      </c>
      <c r="E224" s="6">
        <v>2400</v>
      </c>
      <c r="F224" s="18">
        <v>269031.28000000003</v>
      </c>
      <c r="G224" s="18">
        <v>157936.25</v>
      </c>
      <c r="H224" s="18">
        <v>33513.67</v>
      </c>
      <c r="I224" s="18">
        <v>2195.36</v>
      </c>
      <c r="J224" s="18">
        <v>4099</v>
      </c>
      <c r="K224" s="18">
        <v>1360</v>
      </c>
      <c r="L224" s="19">
        <f t="shared" si="2"/>
        <v>468135.56</v>
      </c>
      <c r="M224" s="8"/>
      <c r="N224" s="264"/>
    </row>
    <row r="225" spans="1:14" s="3" customFormat="1" ht="12.2" customHeight="1" x14ac:dyDescent="0.15">
      <c r="A225" s="1" t="s">
        <v>446</v>
      </c>
      <c r="B225" s="2" t="s">
        <v>346</v>
      </c>
      <c r="C225" s="2" t="s">
        <v>298</v>
      </c>
      <c r="D225" s="2" t="s">
        <v>431</v>
      </c>
      <c r="E225" s="6">
        <v>2500</v>
      </c>
      <c r="F225" s="18">
        <v>72577.279999999999</v>
      </c>
      <c r="G225" s="18">
        <v>39945.4</v>
      </c>
      <c r="H225" s="18">
        <v>1480</v>
      </c>
      <c r="I225" s="18">
        <v>0</v>
      </c>
      <c r="J225" s="18">
        <v>0</v>
      </c>
      <c r="K225" s="18">
        <v>74</v>
      </c>
      <c r="L225" s="19">
        <f t="shared" si="2"/>
        <v>114076.68</v>
      </c>
      <c r="M225" s="8"/>
      <c r="N225" s="264"/>
    </row>
    <row r="226" spans="1:14" s="3" customFormat="1" ht="12.2" customHeight="1" x14ac:dyDescent="0.15">
      <c r="A226" s="1" t="s">
        <v>447</v>
      </c>
      <c r="B226" s="2" t="s">
        <v>346</v>
      </c>
      <c r="C226" s="2" t="s">
        <v>299</v>
      </c>
      <c r="D226" s="2" t="s">
        <v>431</v>
      </c>
      <c r="E226" s="6">
        <v>2600</v>
      </c>
      <c r="F226" s="18">
        <v>233220.28</v>
      </c>
      <c r="G226" s="18">
        <v>134414.94</v>
      </c>
      <c r="H226" s="18">
        <v>120504.67</v>
      </c>
      <c r="I226" s="18">
        <f>165646.19+0.01</f>
        <v>165646.20000000001</v>
      </c>
      <c r="J226" s="18">
        <v>10375.89</v>
      </c>
      <c r="K226" s="18">
        <v>0</v>
      </c>
      <c r="L226" s="19">
        <f t="shared" si="2"/>
        <v>664161.98</v>
      </c>
      <c r="M226" s="8"/>
      <c r="N226" s="264"/>
    </row>
    <row r="227" spans="1:14" s="3" customFormat="1" ht="12.2" customHeight="1" x14ac:dyDescent="0.15">
      <c r="A227" s="1" t="s">
        <v>448</v>
      </c>
      <c r="B227" s="2" t="s">
        <v>346</v>
      </c>
      <c r="C227" s="2" t="s">
        <v>300</v>
      </c>
      <c r="D227" s="2" t="s">
        <v>431</v>
      </c>
      <c r="E227" s="6">
        <v>2700</v>
      </c>
      <c r="F227" s="18">
        <v>0</v>
      </c>
      <c r="G227" s="18">
        <v>0</v>
      </c>
      <c r="H227" s="18">
        <v>370931.69</v>
      </c>
      <c r="I227" s="18">
        <v>0</v>
      </c>
      <c r="J227" s="18">
        <v>0</v>
      </c>
      <c r="K227" s="18">
        <v>0</v>
      </c>
      <c r="L227" s="19">
        <f t="shared" si="2"/>
        <v>370931.69</v>
      </c>
      <c r="M227" s="8"/>
      <c r="N227" s="264"/>
    </row>
    <row r="228" spans="1:14" s="3" customFormat="1" ht="12.2" customHeight="1" x14ac:dyDescent="0.15">
      <c r="A228" s="1" t="s">
        <v>449</v>
      </c>
      <c r="B228" s="2" t="s">
        <v>346</v>
      </c>
      <c r="C228" s="2" t="s">
        <v>343</v>
      </c>
      <c r="D228" s="2" t="s">
        <v>431</v>
      </c>
      <c r="E228" s="6">
        <v>2800</v>
      </c>
      <c r="F228" s="18">
        <v>0</v>
      </c>
      <c r="G228" s="18">
        <v>0</v>
      </c>
      <c r="H228" s="18">
        <v>1000.76</v>
      </c>
      <c r="I228" s="18">
        <v>0</v>
      </c>
      <c r="J228" s="18">
        <v>0</v>
      </c>
      <c r="K228" s="18">
        <v>0</v>
      </c>
      <c r="L228" s="19">
        <f>SUM(F228:K228)</f>
        <v>1000.76</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3863528.8199999994</v>
      </c>
      <c r="G230" s="41">
        <f>SUM(G216:G229)</f>
        <v>2093978.4500000002</v>
      </c>
      <c r="H230" s="41">
        <f>SUM(H216:H229)</f>
        <v>1683820.88</v>
      </c>
      <c r="I230" s="41">
        <f>SUM(I216:I229)</f>
        <v>260916.16</v>
      </c>
      <c r="J230" s="41">
        <f>SUM(J216:J229)</f>
        <v>94402.430000000008</v>
      </c>
      <c r="K230" s="41">
        <f t="shared" si="3"/>
        <v>10658.68</v>
      </c>
      <c r="L230" s="41">
        <f t="shared" si="3"/>
        <v>8007305.419999999</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1619766.07</v>
      </c>
      <c r="G234" s="18">
        <v>809719.6</v>
      </c>
      <c r="H234" s="18">
        <f>24431.63-1196.04</f>
        <v>23235.59</v>
      </c>
      <c r="I234" s="18">
        <v>81861.740000000005</v>
      </c>
      <c r="J234" s="18">
        <v>33055.279999999999</v>
      </c>
      <c r="K234" s="18">
        <v>315</v>
      </c>
      <c r="L234" s="19">
        <f>SUM(F234:K234)</f>
        <v>2567953.2799999998</v>
      </c>
      <c r="M234" s="8"/>
      <c r="N234" s="264"/>
    </row>
    <row r="235" spans="1:14" s="3" customFormat="1" ht="12.2" customHeight="1" x14ac:dyDescent="0.15">
      <c r="A235" s="1" t="s">
        <v>439</v>
      </c>
      <c r="B235" s="2" t="s">
        <v>350</v>
      </c>
      <c r="C235" s="2" t="s">
        <v>291</v>
      </c>
      <c r="D235" s="2" t="s">
        <v>431</v>
      </c>
      <c r="E235" s="6">
        <v>1200</v>
      </c>
      <c r="F235" s="18">
        <v>465667.58</v>
      </c>
      <c r="G235" s="18">
        <v>336088.9</v>
      </c>
      <c r="H235" s="18">
        <f>1189118.34-14053.8</f>
        <v>1175064.54</v>
      </c>
      <c r="I235" s="18">
        <v>1492.14</v>
      </c>
      <c r="J235" s="18">
        <v>987</v>
      </c>
      <c r="K235" s="18">
        <v>2566</v>
      </c>
      <c r="L235" s="19">
        <f>SUM(F235:K235)</f>
        <v>1981866.16</v>
      </c>
      <c r="M235" s="8"/>
      <c r="N235" s="264"/>
    </row>
    <row r="236" spans="1:14" s="3" customFormat="1" ht="12.2" customHeight="1" x14ac:dyDescent="0.15">
      <c r="A236" s="1" t="s">
        <v>440</v>
      </c>
      <c r="B236" s="2" t="s">
        <v>350</v>
      </c>
      <c r="C236" s="2" t="s">
        <v>292</v>
      </c>
      <c r="D236" s="2" t="s">
        <v>431</v>
      </c>
      <c r="E236" s="6">
        <v>1300</v>
      </c>
      <c r="F236" s="18">
        <v>0</v>
      </c>
      <c r="G236" s="18">
        <v>0</v>
      </c>
      <c r="H236" s="18">
        <v>182224</v>
      </c>
      <c r="I236" s="18">
        <v>0</v>
      </c>
      <c r="J236" s="18">
        <v>0</v>
      </c>
      <c r="K236" s="18">
        <v>0</v>
      </c>
      <c r="L236" s="19">
        <f>SUM(F236:K236)</f>
        <v>182224</v>
      </c>
      <c r="M236" s="8"/>
      <c r="N236" s="264"/>
    </row>
    <row r="237" spans="1:14" s="3" customFormat="1" ht="12.2" customHeight="1" x14ac:dyDescent="0.15">
      <c r="A237" s="1" t="s">
        <v>441</v>
      </c>
      <c r="B237" s="2" t="s">
        <v>350</v>
      </c>
      <c r="C237" s="2" t="s">
        <v>293</v>
      </c>
      <c r="D237" s="2" t="s">
        <v>431</v>
      </c>
      <c r="E237" s="6">
        <v>1400</v>
      </c>
      <c r="F237" s="18">
        <v>119971.18</v>
      </c>
      <c r="G237" s="18">
        <v>20680.41</v>
      </c>
      <c r="H237" s="18">
        <v>44476.5</v>
      </c>
      <c r="I237" s="18">
        <v>10293.48</v>
      </c>
      <c r="J237" s="18">
        <v>8900</v>
      </c>
      <c r="K237" s="18">
        <v>5810</v>
      </c>
      <c r="L237" s="19">
        <f>SUM(F237:K237)</f>
        <v>210131.57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339617.42</v>
      </c>
      <c r="G239" s="18">
        <v>162501.60999999999</v>
      </c>
      <c r="H239" s="18">
        <v>75300.08</v>
      </c>
      <c r="I239" s="18">
        <f>7611.72-0.01</f>
        <v>7611.71</v>
      </c>
      <c r="J239" s="18">
        <v>0</v>
      </c>
      <c r="K239" s="18">
        <v>50</v>
      </c>
      <c r="L239" s="19">
        <f t="shared" ref="L239:L245" si="4">SUM(F239:K239)</f>
        <v>585080.81999999995</v>
      </c>
      <c r="M239" s="8"/>
      <c r="N239" s="264"/>
    </row>
    <row r="240" spans="1:14" s="3" customFormat="1" ht="12.2" customHeight="1" x14ac:dyDescent="0.15">
      <c r="A240" s="1" t="s">
        <v>443</v>
      </c>
      <c r="B240" s="2" t="s">
        <v>350</v>
      </c>
      <c r="C240" s="2" t="s">
        <v>295</v>
      </c>
      <c r="D240" s="2" t="s">
        <v>431</v>
      </c>
      <c r="E240" s="6">
        <v>2200</v>
      </c>
      <c r="F240" s="18">
        <v>140021.04</v>
      </c>
      <c r="G240" s="18">
        <v>68510.84</v>
      </c>
      <c r="H240" s="18">
        <v>11127.4</v>
      </c>
      <c r="I240" s="18">
        <v>32083.040000000001</v>
      </c>
      <c r="J240" s="18">
        <v>69800.86</v>
      </c>
      <c r="K240" s="18">
        <v>0</v>
      </c>
      <c r="L240" s="19">
        <f t="shared" si="4"/>
        <v>321543.18</v>
      </c>
      <c r="M240" s="8"/>
      <c r="N240" s="264"/>
    </row>
    <row r="241" spans="1:14" s="3" customFormat="1" ht="12.2" customHeight="1" x14ac:dyDescent="0.15">
      <c r="A241" s="1" t="s">
        <v>444</v>
      </c>
      <c r="B241" s="2" t="s">
        <v>350</v>
      </c>
      <c r="C241" s="2" t="s">
        <v>296</v>
      </c>
      <c r="D241" s="2" t="s">
        <v>431</v>
      </c>
      <c r="E241" s="6">
        <v>2300</v>
      </c>
      <c r="F241" s="18">
        <v>154003.97</v>
      </c>
      <c r="G241" s="18">
        <v>64545.5</v>
      </c>
      <c r="H241" s="18">
        <v>47240.24</v>
      </c>
      <c r="I241" s="18">
        <v>12762.53</v>
      </c>
      <c r="J241" s="18">
        <v>0</v>
      </c>
      <c r="K241" s="18">
        <f>4784.21-0.01</f>
        <v>4784.2</v>
      </c>
      <c r="L241" s="19">
        <f t="shared" si="4"/>
        <v>283336.44000000006</v>
      </c>
      <c r="M241" s="8"/>
      <c r="N241" s="264"/>
    </row>
    <row r="242" spans="1:14" s="3" customFormat="1" ht="12.2" customHeight="1" x14ac:dyDescent="0.15">
      <c r="A242" s="1" t="s">
        <v>445</v>
      </c>
      <c r="B242" s="2" t="s">
        <v>350</v>
      </c>
      <c r="C242" s="2" t="s">
        <v>297</v>
      </c>
      <c r="D242" s="2" t="s">
        <v>431</v>
      </c>
      <c r="E242" s="6">
        <v>2400</v>
      </c>
      <c r="F242" s="18">
        <v>276568.05</v>
      </c>
      <c r="G242" s="18">
        <v>152918.26999999999</v>
      </c>
      <c r="H242" s="18">
        <v>39610.92</v>
      </c>
      <c r="I242" s="18">
        <v>914.86</v>
      </c>
      <c r="J242" s="18">
        <v>0</v>
      </c>
      <c r="K242" s="18">
        <v>6460</v>
      </c>
      <c r="L242" s="19">
        <f t="shared" si="4"/>
        <v>476472.09999999992</v>
      </c>
      <c r="M242" s="8"/>
      <c r="N242" s="264"/>
    </row>
    <row r="243" spans="1:14" s="3" customFormat="1" ht="12.2" customHeight="1" x14ac:dyDescent="0.15">
      <c r="A243" s="1" t="s">
        <v>446</v>
      </c>
      <c r="B243" s="2" t="s">
        <v>350</v>
      </c>
      <c r="C243" s="2" t="s">
        <v>298</v>
      </c>
      <c r="D243" s="2" t="s">
        <v>431</v>
      </c>
      <c r="E243" s="6">
        <v>2500</v>
      </c>
      <c r="F243" s="18">
        <v>58846.44</v>
      </c>
      <c r="G243" s="18">
        <v>32388.17</v>
      </c>
      <c r="H243" s="18">
        <v>1200</v>
      </c>
      <c r="I243" s="18">
        <v>0</v>
      </c>
      <c r="J243" s="18">
        <v>0</v>
      </c>
      <c r="K243" s="18">
        <v>60</v>
      </c>
      <c r="L243" s="19">
        <f t="shared" si="4"/>
        <v>92494.61</v>
      </c>
      <c r="M243" s="8"/>
      <c r="N243" s="264"/>
    </row>
    <row r="244" spans="1:14" s="3" customFormat="1" ht="12.2" customHeight="1" x14ac:dyDescent="0.15">
      <c r="A244" s="1" t="s">
        <v>447</v>
      </c>
      <c r="B244" s="2" t="s">
        <v>350</v>
      </c>
      <c r="C244" s="2" t="s">
        <v>299</v>
      </c>
      <c r="D244" s="2" t="s">
        <v>431</v>
      </c>
      <c r="E244" s="6">
        <v>2600</v>
      </c>
      <c r="F244" s="18">
        <v>211729</v>
      </c>
      <c r="G244" s="18">
        <v>135654.39999999999</v>
      </c>
      <c r="H244" s="18">
        <v>251083.7</v>
      </c>
      <c r="I244" s="18">
        <f>126547.92</f>
        <v>126547.92</v>
      </c>
      <c r="J244" s="18">
        <v>9570.89</v>
      </c>
      <c r="K244" s="18">
        <v>0</v>
      </c>
      <c r="L244" s="19">
        <f t="shared" si="4"/>
        <v>734585.91000000015</v>
      </c>
      <c r="M244" s="8"/>
      <c r="N244" s="264"/>
    </row>
    <row r="245" spans="1:14" s="3" customFormat="1" ht="12.2" customHeight="1" x14ac:dyDescent="0.15">
      <c r="A245" s="1" t="s">
        <v>448</v>
      </c>
      <c r="B245" s="2" t="s">
        <v>350</v>
      </c>
      <c r="C245" s="2" t="s">
        <v>300</v>
      </c>
      <c r="D245" s="2" t="s">
        <v>431</v>
      </c>
      <c r="E245" s="6">
        <v>2700</v>
      </c>
      <c r="F245" s="18">
        <v>0</v>
      </c>
      <c r="G245" s="18">
        <v>0</v>
      </c>
      <c r="H245" s="18">
        <f>305635.46+0.01</f>
        <v>305635.47000000003</v>
      </c>
      <c r="I245" s="18">
        <v>0</v>
      </c>
      <c r="J245" s="18">
        <v>0</v>
      </c>
      <c r="K245" s="18">
        <v>0</v>
      </c>
      <c r="L245" s="19">
        <f t="shared" si="4"/>
        <v>305635.47000000003</v>
      </c>
      <c r="M245" s="8"/>
      <c r="N245" s="264"/>
    </row>
    <row r="246" spans="1:14" s="3" customFormat="1" ht="12.2" customHeight="1" x14ac:dyDescent="0.15">
      <c r="A246" s="1" t="s">
        <v>449</v>
      </c>
      <c r="B246" s="2" t="s">
        <v>350</v>
      </c>
      <c r="C246" s="2" t="s">
        <v>343</v>
      </c>
      <c r="D246" s="2" t="s">
        <v>431</v>
      </c>
      <c r="E246" s="6">
        <v>2800</v>
      </c>
      <c r="F246" s="18">
        <v>0</v>
      </c>
      <c r="G246" s="18">
        <v>0</v>
      </c>
      <c r="H246" s="18">
        <v>811.43</v>
      </c>
      <c r="I246" s="18">
        <v>0</v>
      </c>
      <c r="J246" s="18">
        <v>0</v>
      </c>
      <c r="K246" s="18">
        <v>0</v>
      </c>
      <c r="L246" s="19">
        <f>SUM(F246:K246)</f>
        <v>811.43</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3386190.75</v>
      </c>
      <c r="G248" s="41">
        <f t="shared" si="5"/>
        <v>1783007.7</v>
      </c>
      <c r="H248" s="41">
        <f t="shared" si="5"/>
        <v>2157009.87</v>
      </c>
      <c r="I248" s="41">
        <f t="shared" si="5"/>
        <v>273567.42</v>
      </c>
      <c r="J248" s="41">
        <f t="shared" si="5"/>
        <v>122314.03</v>
      </c>
      <c r="K248" s="41">
        <f t="shared" si="5"/>
        <v>20045.2</v>
      </c>
      <c r="L248" s="41">
        <f t="shared" si="5"/>
        <v>7742134.9699999997</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28901.13</v>
      </c>
      <c r="J253" s="18">
        <v>0</v>
      </c>
      <c r="K253" s="18">
        <v>0</v>
      </c>
      <c r="L253" s="19">
        <f t="shared" si="6"/>
        <v>28901.13</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12250</v>
      </c>
      <c r="I256" s="18">
        <v>0</v>
      </c>
      <c r="J256" s="18">
        <v>0</v>
      </c>
      <c r="K256" s="18">
        <v>0</v>
      </c>
      <c r="L256" s="19">
        <f t="shared" si="6"/>
        <v>12250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12250</v>
      </c>
      <c r="I257" s="41">
        <f t="shared" si="7"/>
        <v>28901.13</v>
      </c>
      <c r="J257" s="41">
        <f t="shared" si="7"/>
        <v>0</v>
      </c>
      <c r="K257" s="41">
        <f t="shared" si="7"/>
        <v>0</v>
      </c>
      <c r="L257" s="41">
        <f>SUM(F257:K257)</f>
        <v>41151.130000000005</v>
      </c>
      <c r="M257" s="8"/>
      <c r="N257" s="264"/>
    </row>
    <row r="258" spans="1:14" s="3" customFormat="1" ht="12.2" customHeight="1" thickTop="1" x14ac:dyDescent="0.15">
      <c r="A258" s="38" t="s">
        <v>462</v>
      </c>
      <c r="B258" s="40">
        <v>10</v>
      </c>
      <c r="C258" s="40">
        <v>8</v>
      </c>
      <c r="D258" s="39" t="s">
        <v>431</v>
      </c>
      <c r="E258" s="40"/>
      <c r="F258" s="41">
        <f t="shared" ref="F258:L258" si="8">F212+F230+F248+F257</f>
        <v>10790583.469999999</v>
      </c>
      <c r="G258" s="41">
        <f t="shared" si="8"/>
        <v>5683308.1900000004</v>
      </c>
      <c r="H258" s="41">
        <f t="shared" si="8"/>
        <v>5439616.1799999997</v>
      </c>
      <c r="I258" s="41">
        <f t="shared" si="8"/>
        <v>791227.37</v>
      </c>
      <c r="J258" s="41">
        <f t="shared" si="8"/>
        <v>293733.56</v>
      </c>
      <c r="K258" s="41">
        <f t="shared" si="8"/>
        <v>40405.11</v>
      </c>
      <c r="L258" s="41">
        <f t="shared" si="8"/>
        <v>23038873.879999999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623553.48</v>
      </c>
      <c r="L261" s="19">
        <f>SUM(F261:K261)</f>
        <v>623553.48</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464106.52</v>
      </c>
      <c r="L262" s="19">
        <f>SUM(F262:K262)</f>
        <v>464106.52</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259362+11435.91</f>
        <v>270797.90999999997</v>
      </c>
      <c r="L264" s="19">
        <f>SUM(F264:K264)</f>
        <v>270797.90999999997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333076+75000+55997</f>
        <v>464073</v>
      </c>
      <c r="L267" s="19">
        <f t="shared" si="9"/>
        <v>464073</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f>5941.25+2401+14053.8</f>
        <v>22396.05</v>
      </c>
      <c r="L269" s="19">
        <f t="shared" si="9"/>
        <v>22396.05</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1844926.96</v>
      </c>
      <c r="L271" s="41">
        <f t="shared" si="9"/>
        <v>1844926.96</v>
      </c>
      <c r="M271" s="8"/>
      <c r="N271" s="264"/>
    </row>
    <row r="272" spans="1:14" s="34" customFormat="1" ht="12.2" customHeight="1" thickTop="1" x14ac:dyDescent="0.2">
      <c r="A272" s="43" t="s">
        <v>464</v>
      </c>
      <c r="B272" s="40">
        <v>10</v>
      </c>
      <c r="C272" s="40">
        <v>18</v>
      </c>
      <c r="D272" s="39" t="s">
        <v>431</v>
      </c>
      <c r="E272" s="40"/>
      <c r="F272" s="42">
        <f t="shared" ref="F272:L272" si="11">F258+F271</f>
        <v>10790583.469999999</v>
      </c>
      <c r="G272" s="42">
        <f t="shared" si="11"/>
        <v>5683308.1900000004</v>
      </c>
      <c r="H272" s="42">
        <f t="shared" si="11"/>
        <v>5439616.1799999997</v>
      </c>
      <c r="I272" s="42">
        <f t="shared" si="11"/>
        <v>791227.37</v>
      </c>
      <c r="J272" s="42">
        <f t="shared" si="11"/>
        <v>293733.56</v>
      </c>
      <c r="K272" s="42">
        <f t="shared" si="11"/>
        <v>1885332.07</v>
      </c>
      <c r="L272" s="42">
        <f t="shared" si="11"/>
        <v>24883800.84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54797.5</v>
      </c>
      <c r="G277" s="18">
        <v>5883.1</v>
      </c>
      <c r="H277" s="18">
        <v>3649.13</v>
      </c>
      <c r="I277" s="18">
        <v>6222.34</v>
      </c>
      <c r="J277" s="18">
        <v>7630</v>
      </c>
      <c r="K277" s="18">
        <v>0</v>
      </c>
      <c r="L277" s="19">
        <f>SUM(F277:K277)</f>
        <v>78182.069999999992</v>
      </c>
      <c r="M277" s="8"/>
      <c r="N277" s="264"/>
    </row>
    <row r="278" spans="1:14" s="3" customFormat="1" ht="12.2" customHeight="1" x14ac:dyDescent="0.15">
      <c r="A278" s="1" t="s">
        <v>439</v>
      </c>
      <c r="B278" s="2" t="s">
        <v>357</v>
      </c>
      <c r="C278" s="2" t="s">
        <v>291</v>
      </c>
      <c r="D278" s="2" t="s">
        <v>431</v>
      </c>
      <c r="E278" s="6">
        <v>1200</v>
      </c>
      <c r="F278" s="18">
        <v>41954</v>
      </c>
      <c r="G278" s="18">
        <v>20250.560000000001</v>
      </c>
      <c r="H278" s="18">
        <v>2025</v>
      </c>
      <c r="I278" s="18">
        <v>10998.55</v>
      </c>
      <c r="J278" s="18">
        <v>975</v>
      </c>
      <c r="K278" s="18">
        <v>0</v>
      </c>
      <c r="L278" s="19">
        <f>SUM(F278:K278)</f>
        <v>76203.11</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68834.73</v>
      </c>
      <c r="G280" s="18">
        <v>12769.79</v>
      </c>
      <c r="H280" s="18">
        <v>0</v>
      </c>
      <c r="I280" s="18">
        <v>3216.94</v>
      </c>
      <c r="J280" s="18">
        <v>0</v>
      </c>
      <c r="K280" s="18">
        <v>0</v>
      </c>
      <c r="L280" s="19">
        <f>SUM(F280:K280)</f>
        <v>84821.459999999992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155648.92000000001</v>
      </c>
      <c r="G282" s="18">
        <v>33713.32</v>
      </c>
      <c r="H282" s="18">
        <v>54690.23</v>
      </c>
      <c r="I282" s="18">
        <v>9107.24</v>
      </c>
      <c r="J282" s="18">
        <v>0</v>
      </c>
      <c r="K282" s="18">
        <v>0</v>
      </c>
      <c r="L282" s="19">
        <f t="shared" ref="L282:L288" si="12">SUM(F282:K282)</f>
        <v>253159.71000000002</v>
      </c>
      <c r="M282" s="8"/>
      <c r="N282" s="264"/>
    </row>
    <row r="283" spans="1:14" s="3" customFormat="1" ht="12.2" customHeight="1" x14ac:dyDescent="0.15">
      <c r="A283" s="1" t="s">
        <v>443</v>
      </c>
      <c r="B283" s="2" t="s">
        <v>357</v>
      </c>
      <c r="C283" s="2" t="s">
        <v>295</v>
      </c>
      <c r="D283" s="2" t="s">
        <v>431</v>
      </c>
      <c r="E283" s="6">
        <v>2200</v>
      </c>
      <c r="F283" s="18">
        <v>0</v>
      </c>
      <c r="G283" s="18">
        <v>0</v>
      </c>
      <c r="H283" s="18">
        <v>11761.09</v>
      </c>
      <c r="I283" s="18">
        <v>54617.09</v>
      </c>
      <c r="J283" s="18">
        <v>107853.53</v>
      </c>
      <c r="K283" s="18">
        <v>0</v>
      </c>
      <c r="L283" s="19">
        <f t="shared" si="12"/>
        <v>174231.71</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5077.4799999999996</v>
      </c>
      <c r="I287" s="18">
        <v>11512.39</v>
      </c>
      <c r="J287" s="18">
        <v>36222.129999999997</v>
      </c>
      <c r="K287" s="18">
        <v>0</v>
      </c>
      <c r="L287" s="19">
        <f t="shared" si="12"/>
        <v>52812</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321235.15000000002</v>
      </c>
      <c r="G291" s="42">
        <f t="shared" si="13"/>
        <v>72616.77</v>
      </c>
      <c r="H291" s="42">
        <f t="shared" si="13"/>
        <v>77202.929999999993</v>
      </c>
      <c r="I291" s="42">
        <f t="shared" si="13"/>
        <v>95674.55</v>
      </c>
      <c r="J291" s="42">
        <f t="shared" si="13"/>
        <v>152680.66</v>
      </c>
      <c r="K291" s="42">
        <f t="shared" si="13"/>
        <v>0</v>
      </c>
      <c r="L291" s="41">
        <f t="shared" si="13"/>
        <v>719410.05999999994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127101</v>
      </c>
      <c r="G296" s="18">
        <v>11494.7</v>
      </c>
      <c r="H296" s="18">
        <v>4091.45</v>
      </c>
      <c r="I296" s="18">
        <v>3939.83</v>
      </c>
      <c r="J296" s="18">
        <v>7630</v>
      </c>
      <c r="K296" s="18">
        <v>0</v>
      </c>
      <c r="L296" s="19">
        <f>SUM(F296:K296)</f>
        <v>154256.98000000001</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1534.72</v>
      </c>
      <c r="J297" s="18">
        <v>0</v>
      </c>
      <c r="K297" s="18">
        <v>0</v>
      </c>
      <c r="L297" s="19">
        <f>SUM(F297:K297)</f>
        <v>1534.72</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34293.75</v>
      </c>
      <c r="G299" s="18">
        <v>8905.2000000000007</v>
      </c>
      <c r="H299" s="18">
        <v>0</v>
      </c>
      <c r="I299" s="18">
        <v>3602.65</v>
      </c>
      <c r="J299" s="18">
        <v>0</v>
      </c>
      <c r="K299" s="18">
        <v>0</v>
      </c>
      <c r="L299" s="19">
        <f>SUM(F299:K299)</f>
        <v>46801.599999999999</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88875.03</v>
      </c>
      <c r="G301" s="18">
        <v>26003.69</v>
      </c>
      <c r="H301" s="18">
        <f>61319.35+0.01</f>
        <v>61319.360000000001</v>
      </c>
      <c r="I301" s="18">
        <f>10211.15-0.01</f>
        <v>10211.14</v>
      </c>
      <c r="J301" s="18">
        <v>0</v>
      </c>
      <c r="K301" s="18">
        <v>0</v>
      </c>
      <c r="L301" s="19">
        <f t="shared" ref="L301:L307" si="14">SUM(F301:K301)</f>
        <v>186409.22000000003</v>
      </c>
      <c r="M301" s="8"/>
      <c r="N301" s="264"/>
    </row>
    <row r="302" spans="1:14" s="3" customFormat="1" ht="12.2" customHeight="1" x14ac:dyDescent="0.15">
      <c r="A302" s="1" t="s">
        <v>443</v>
      </c>
      <c r="B302" s="2" t="s">
        <v>358</v>
      </c>
      <c r="C302" s="2" t="s">
        <v>295</v>
      </c>
      <c r="D302" s="2" t="s">
        <v>431</v>
      </c>
      <c r="E302" s="6">
        <v>2200</v>
      </c>
      <c r="F302" s="18">
        <v>0</v>
      </c>
      <c r="G302" s="18">
        <v>0</v>
      </c>
      <c r="H302" s="18">
        <v>26236.67</v>
      </c>
      <c r="I302" s="18">
        <v>61780.38</v>
      </c>
      <c r="J302" s="18">
        <f>120926.68+0.01</f>
        <v>120926.68999999999</v>
      </c>
      <c r="K302" s="18">
        <v>0</v>
      </c>
      <c r="L302" s="19">
        <f t="shared" si="14"/>
        <v>208943.74</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5692.93</v>
      </c>
      <c r="I306" s="18">
        <v>12907.83</v>
      </c>
      <c r="J306" s="18">
        <v>40612.69</v>
      </c>
      <c r="K306" s="18">
        <v>0</v>
      </c>
      <c r="L306" s="19">
        <f t="shared" si="14"/>
        <v>59213.450000000004</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250269.78</v>
      </c>
      <c r="G310" s="42">
        <f t="shared" si="15"/>
        <v>46403.59</v>
      </c>
      <c r="H310" s="42">
        <f t="shared" si="15"/>
        <v>97340.41</v>
      </c>
      <c r="I310" s="42">
        <f t="shared" si="15"/>
        <v>93976.55</v>
      </c>
      <c r="J310" s="42">
        <f t="shared" si="15"/>
        <v>169169.38</v>
      </c>
      <c r="K310" s="42">
        <f t="shared" si="15"/>
        <v>0</v>
      </c>
      <c r="L310" s="41">
        <f t="shared" si="15"/>
        <v>657159.71</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9454.5</v>
      </c>
      <c r="G315" s="18">
        <v>723.33</v>
      </c>
      <c r="H315" s="18">
        <v>3317.39</v>
      </c>
      <c r="I315" s="18">
        <v>2360.91</v>
      </c>
      <c r="J315" s="18">
        <v>0</v>
      </c>
      <c r="K315" s="18">
        <v>0</v>
      </c>
      <c r="L315" s="19">
        <f>SUM(F315:K315)</f>
        <v>15856.13</v>
      </c>
      <c r="M315" s="8"/>
      <c r="N315" s="264"/>
    </row>
    <row r="316" spans="1:14" s="3" customFormat="1" ht="12.2" customHeight="1" x14ac:dyDescent="0.15">
      <c r="A316" s="1" t="s">
        <v>439</v>
      </c>
      <c r="B316" s="2" t="s">
        <v>359</v>
      </c>
      <c r="C316" s="2" t="s">
        <v>291</v>
      </c>
      <c r="D316" s="2" t="s">
        <v>431</v>
      </c>
      <c r="E316" s="6">
        <v>1200</v>
      </c>
      <c r="F316" s="18">
        <v>113329.12</v>
      </c>
      <c r="G316" s="18">
        <v>46622.93</v>
      </c>
      <c r="H316" s="18">
        <v>0</v>
      </c>
      <c r="I316" s="18">
        <v>1244.3599999999999</v>
      </c>
      <c r="J316" s="18">
        <v>0</v>
      </c>
      <c r="K316" s="18">
        <v>0</v>
      </c>
      <c r="L316" s="19">
        <f>SUM(F316:K316)</f>
        <v>161196.40999999997</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73020.83</v>
      </c>
      <c r="G320" s="18">
        <v>35679.99</v>
      </c>
      <c r="H320" s="18">
        <f>50061.71+0.03</f>
        <v>50061.74</v>
      </c>
      <c r="I320" s="18">
        <v>8552.84</v>
      </c>
      <c r="J320" s="18">
        <v>0</v>
      </c>
      <c r="K320" s="18">
        <v>0</v>
      </c>
      <c r="L320" s="19">
        <f t="shared" ref="L320:L326" si="16">SUM(F320:K320)</f>
        <v>167315.4</v>
      </c>
      <c r="M320" s="8"/>
      <c r="N320" s="264"/>
    </row>
    <row r="321" spans="1:14" s="3" customFormat="1" ht="12.2" customHeight="1" x14ac:dyDescent="0.15">
      <c r="A321" s="1" t="s">
        <v>443</v>
      </c>
      <c r="B321" s="2" t="s">
        <v>359</v>
      </c>
      <c r="C321" s="2" t="s">
        <v>295</v>
      </c>
      <c r="D321" s="2" t="s">
        <v>431</v>
      </c>
      <c r="E321" s="6">
        <v>2200</v>
      </c>
      <c r="F321" s="18">
        <v>0</v>
      </c>
      <c r="G321" s="18">
        <v>0</v>
      </c>
      <c r="H321" s="18">
        <v>7691.9</v>
      </c>
      <c r="I321" s="18">
        <v>43787.94</v>
      </c>
      <c r="J321" s="18">
        <v>98048.66</v>
      </c>
      <c r="K321" s="18">
        <v>0</v>
      </c>
      <c r="L321" s="19">
        <f t="shared" si="16"/>
        <v>149528.5</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4615.8900000000003</v>
      </c>
      <c r="I325" s="18">
        <v>10465.81</v>
      </c>
      <c r="J325" s="18">
        <v>32929.21</v>
      </c>
      <c r="K325" s="18">
        <v>0</v>
      </c>
      <c r="L325" s="19">
        <f t="shared" si="16"/>
        <v>48010.91</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195804.45</v>
      </c>
      <c r="G329" s="42">
        <f t="shared" si="17"/>
        <v>83026.25</v>
      </c>
      <c r="H329" s="42">
        <f t="shared" si="17"/>
        <v>65686.92</v>
      </c>
      <c r="I329" s="42">
        <f t="shared" si="17"/>
        <v>66411.86</v>
      </c>
      <c r="J329" s="42">
        <f t="shared" si="17"/>
        <v>130977.87</v>
      </c>
      <c r="K329" s="42">
        <f t="shared" si="17"/>
        <v>0</v>
      </c>
      <c r="L329" s="41">
        <f t="shared" si="17"/>
        <v>541907.35</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767309.38000000012</v>
      </c>
      <c r="G339" s="41">
        <f t="shared" si="20"/>
        <v>202046.61</v>
      </c>
      <c r="H339" s="41">
        <f t="shared" si="20"/>
        <v>240230.26</v>
      </c>
      <c r="I339" s="41">
        <f t="shared" si="20"/>
        <v>256062.96000000002</v>
      </c>
      <c r="J339" s="41">
        <f t="shared" si="20"/>
        <v>452827.91000000003</v>
      </c>
      <c r="K339" s="41">
        <f t="shared" si="20"/>
        <v>0</v>
      </c>
      <c r="L339" s="41">
        <f t="shared" si="20"/>
        <v>1918477.12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24748.22</v>
      </c>
      <c r="L345" s="19">
        <f t="shared" ref="L345:L351" si="21">SUM(F345:K345)</f>
        <v>24748.22</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24748.22</v>
      </c>
      <c r="L352" s="41">
        <f>SUM(L342:L351)</f>
        <v>24748.22</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767309.38000000012</v>
      </c>
      <c r="G353" s="41">
        <f>G339</f>
        <v>202046.61</v>
      </c>
      <c r="H353" s="41">
        <f>H339</f>
        <v>240230.26</v>
      </c>
      <c r="I353" s="41">
        <f>I339</f>
        <v>256062.96000000002</v>
      </c>
      <c r="J353" s="41">
        <f>J339</f>
        <v>452827.91000000003</v>
      </c>
      <c r="K353" s="47">
        <f>K339+K352</f>
        <v>24748.22</v>
      </c>
      <c r="L353" s="41">
        <f>L339+L352</f>
        <v>1943225.34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80173.8</v>
      </c>
      <c r="G359" s="18">
        <v>44675.55</v>
      </c>
      <c r="H359" s="18">
        <v>1394.63</v>
      </c>
      <c r="I359" s="18">
        <v>34340.39</v>
      </c>
      <c r="J359" s="18">
        <v>11.84</v>
      </c>
      <c r="K359" s="18">
        <f>237.46-0.03</f>
        <v>237.43</v>
      </c>
      <c r="L359" s="13">
        <f>SUM(F359:K359)</f>
        <v>160833.63999999998</v>
      </c>
      <c r="M359" s="8"/>
      <c r="N359" s="264"/>
    </row>
    <row r="360" spans="1:22" s="3" customFormat="1" ht="12.2" customHeight="1" x14ac:dyDescent="0.15">
      <c r="A360" s="1" t="s">
        <v>542</v>
      </c>
      <c r="B360" s="2" t="s">
        <v>366</v>
      </c>
      <c r="C360" s="6">
        <v>2</v>
      </c>
      <c r="D360" s="2" t="s">
        <v>431</v>
      </c>
      <c r="E360" s="6"/>
      <c r="F360" s="18">
        <v>79147.5</v>
      </c>
      <c r="G360" s="18">
        <v>57633.09</v>
      </c>
      <c r="H360" s="18">
        <v>2576.16</v>
      </c>
      <c r="I360" s="18">
        <v>33104.730000000003</v>
      </c>
      <c r="J360" s="18">
        <v>255.84</v>
      </c>
      <c r="K360" s="18">
        <v>265.93</v>
      </c>
      <c r="L360" s="19">
        <f>SUM(F360:K360)</f>
        <v>172983.25</v>
      </c>
      <c r="M360" s="8"/>
      <c r="N360" s="264"/>
    </row>
    <row r="361" spans="1:22" s="3" customFormat="1" ht="12.2" customHeight="1" x14ac:dyDescent="0.15">
      <c r="A361" s="3" t="s">
        <v>543</v>
      </c>
      <c r="B361" s="2" t="s">
        <v>366</v>
      </c>
      <c r="C361" s="6">
        <v>3</v>
      </c>
      <c r="D361" s="2" t="s">
        <v>431</v>
      </c>
      <c r="E361" s="6"/>
      <c r="F361" s="18">
        <v>84393.64</v>
      </c>
      <c r="G361" s="18">
        <v>45679.83</v>
      </c>
      <c r="H361" s="18">
        <v>1620.57</v>
      </c>
      <c r="I361" s="18">
        <v>29871.599999999999</v>
      </c>
      <c r="J361" s="18">
        <v>10739.89</v>
      </c>
      <c r="K361" s="18">
        <v>212.62</v>
      </c>
      <c r="L361" s="19">
        <f>SUM(F361:K361)</f>
        <v>172518.15000000002</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243714.94</v>
      </c>
      <c r="G363" s="47">
        <f t="shared" si="22"/>
        <v>147988.47</v>
      </c>
      <c r="H363" s="47">
        <f t="shared" si="22"/>
        <v>5591.36</v>
      </c>
      <c r="I363" s="47">
        <f t="shared" si="22"/>
        <v>97316.72</v>
      </c>
      <c r="J363" s="47">
        <f t="shared" si="22"/>
        <v>11007.57</v>
      </c>
      <c r="K363" s="47">
        <f t="shared" si="22"/>
        <v>715.98</v>
      </c>
      <c r="L363" s="47">
        <f t="shared" si="22"/>
        <v>506335.04000000004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283.87+29615.29</f>
        <v>29899.16</v>
      </c>
      <c r="G368" s="18">
        <f>317.9+27749.2</f>
        <v>28067.100000000002</v>
      </c>
      <c r="H368" s="18">
        <f>254.18+23273.69+0.01</f>
        <v>23527.879999999997</v>
      </c>
      <c r="I368" s="56">
        <f>SUM(F368:H368)</f>
        <v>81494.14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34340.39-29899.16</f>
        <v>4441.2299999999996</v>
      </c>
      <c r="G369" s="63">
        <f>33104.73-28067.1</f>
        <v>5037.6300000000047</v>
      </c>
      <c r="H369" s="63">
        <f>29871.6-23527.87-0.01</f>
        <v>6343.7199999999993</v>
      </c>
      <c r="I369" s="56">
        <f>SUM(F369:H369)</f>
        <v>15822.580000000004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34340.39</v>
      </c>
      <c r="G370" s="47">
        <f>SUM(G368:G369)</f>
        <v>33104.73000000001</v>
      </c>
      <c r="H370" s="47">
        <f>SUM(H368:H369)</f>
        <v>29871.599999999999</v>
      </c>
      <c r="I370" s="47">
        <f>SUM(I368:I369)</f>
        <v>97316.72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f>265951+75000+55997</f>
        <v>396948</v>
      </c>
      <c r="H397" s="18">
        <v>52095.02</v>
      </c>
      <c r="I397" s="18"/>
      <c r="J397" s="24" t="s">
        <v>288</v>
      </c>
      <c r="K397" s="24" t="s">
        <v>288</v>
      </c>
      <c r="L397" s="56">
        <f t="shared" si="26"/>
        <v>449043.02</v>
      </c>
      <c r="M397" s="8"/>
      <c r="N397" s="264"/>
    </row>
    <row r="398" spans="1:14" s="3" customFormat="1" ht="12.2" customHeight="1" x14ac:dyDescent="0.15">
      <c r="A398" s="79" t="s">
        <v>515</v>
      </c>
      <c r="B398" s="2" t="s">
        <v>381</v>
      </c>
      <c r="C398" s="6">
        <v>10</v>
      </c>
      <c r="D398" s="2" t="s">
        <v>432</v>
      </c>
      <c r="E398" s="6"/>
      <c r="F398" s="18"/>
      <c r="G398" s="18">
        <v>0</v>
      </c>
      <c r="H398" s="18">
        <v>7478.53</v>
      </c>
      <c r="I398" s="18"/>
      <c r="J398" s="24" t="s">
        <v>288</v>
      </c>
      <c r="K398" s="24" t="s">
        <v>288</v>
      </c>
      <c r="L398" s="56">
        <f t="shared" si="26"/>
        <v>7478.53</v>
      </c>
      <c r="M398" s="8"/>
      <c r="N398" s="264"/>
    </row>
    <row r="399" spans="1:14" s="3" customFormat="1" ht="12.2" customHeight="1" x14ac:dyDescent="0.15">
      <c r="A399" s="79" t="s">
        <v>558</v>
      </c>
      <c r="B399" s="2" t="s">
        <v>381</v>
      </c>
      <c r="C399" s="6">
        <v>11</v>
      </c>
      <c r="D399" s="2" t="s">
        <v>432</v>
      </c>
      <c r="E399" s="6"/>
      <c r="F399" s="18"/>
      <c r="G399" s="18">
        <v>0</v>
      </c>
      <c r="H399" s="18">
        <v>0</v>
      </c>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55000</v>
      </c>
      <c r="H400" s="18">
        <v>7902</v>
      </c>
      <c r="I400" s="18"/>
      <c r="J400" s="24" t="s">
        <v>288</v>
      </c>
      <c r="K400" s="24" t="s">
        <v>288</v>
      </c>
      <c r="L400" s="56">
        <f t="shared" si="26"/>
        <v>62902</v>
      </c>
      <c r="M400" s="8"/>
      <c r="N400" s="264"/>
    </row>
    <row r="401" spans="1:21" s="3" customFormat="1" ht="12.2" customHeight="1" thickBot="1" x14ac:dyDescent="0.2">
      <c r="A401" s="79" t="s">
        <v>510</v>
      </c>
      <c r="B401" s="2" t="s">
        <v>381</v>
      </c>
      <c r="C401" s="6">
        <v>13</v>
      </c>
      <c r="D401" s="2" t="s">
        <v>432</v>
      </c>
      <c r="E401" s="6"/>
      <c r="F401" s="18"/>
      <c r="G401" s="18">
        <v>12125</v>
      </c>
      <c r="H401" s="18">
        <v>3141.04</v>
      </c>
      <c r="I401" s="18"/>
      <c r="J401" s="24" t="s">
        <v>288</v>
      </c>
      <c r="K401" s="24" t="s">
        <v>288</v>
      </c>
      <c r="L401" s="56">
        <f t="shared" si="26"/>
        <v>15266.04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464073</v>
      </c>
      <c r="H402" s="47">
        <f>SUM(H396:H401)</f>
        <v>70616.589999999982</v>
      </c>
      <c r="I402" s="47">
        <f>SUM(I396:I401)</f>
        <v>0</v>
      </c>
      <c r="J402" s="45" t="s">
        <v>288</v>
      </c>
      <c r="K402" s="45" t="s">
        <v>288</v>
      </c>
      <c r="L402" s="47">
        <f>SUM(L396:L401)</f>
        <v>534689.59000000008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t="s">
        <v>1677</v>
      </c>
      <c r="B404" s="2" t="s">
        <v>381</v>
      </c>
      <c r="C404" s="6">
        <v>15</v>
      </c>
      <c r="D404" s="2" t="s">
        <v>432</v>
      </c>
      <c r="E404" s="6"/>
      <c r="F404" s="18"/>
      <c r="G404" s="18"/>
      <c r="H404" s="18">
        <v>16267.8</v>
      </c>
      <c r="I404" s="18"/>
      <c r="J404" s="24" t="s">
        <v>288</v>
      </c>
      <c r="K404" s="24" t="s">
        <v>288</v>
      </c>
      <c r="L404" s="56">
        <f>SUM(F404:K404)</f>
        <v>16267.8</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16267.8</v>
      </c>
      <c r="I408" s="47">
        <f>SUM(I404:I407)</f>
        <v>0</v>
      </c>
      <c r="J408" s="49" t="s">
        <v>288</v>
      </c>
      <c r="K408" s="49" t="s">
        <v>288</v>
      </c>
      <c r="L408" s="47">
        <f>SUM(L404:L407)</f>
        <v>16267.8</v>
      </c>
      <c r="M408" s="8"/>
      <c r="N408" s="264"/>
    </row>
    <row r="409" spans="1:21" s="3" customFormat="1" ht="12.2" customHeight="1" thickTop="1" x14ac:dyDescent="0.15">
      <c r="A409" s="78" t="s">
        <v>421</v>
      </c>
      <c r="B409" s="2" t="s">
        <v>381</v>
      </c>
      <c r="C409" s="6">
        <v>20</v>
      </c>
      <c r="D409" s="6"/>
      <c r="E409" s="40"/>
      <c r="F409" s="47">
        <f>F394+F402+F408</f>
        <v>0</v>
      </c>
      <c r="G409" s="47">
        <f>G394+G402+G408</f>
        <v>464073</v>
      </c>
      <c r="H409" s="47">
        <f>H394+H402+H408</f>
        <v>86884.389999999985</v>
      </c>
      <c r="I409" s="47">
        <f>I394+I402+I408</f>
        <v>0</v>
      </c>
      <c r="J409" s="24" t="s">
        <v>288</v>
      </c>
      <c r="K409" s="24" t="s">
        <v>288</v>
      </c>
      <c r="L409" s="47">
        <f>L394+L402+L408</f>
        <v>550957.39000000013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f>1170643.59+210374.47+75000+55997</f>
        <v>1512015.06</v>
      </c>
      <c r="G441" s="18"/>
      <c r="H441" s="18">
        <v>74854.91</v>
      </c>
      <c r="I441" s="56">
        <f t="shared" si="33"/>
        <v>1586869.97</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1512015.06</v>
      </c>
      <c r="G447" s="13">
        <f>SUM(G440:G446)</f>
        <v>0</v>
      </c>
      <c r="H447" s="13">
        <f>SUM(H440:H446)</f>
        <v>74854.91</v>
      </c>
      <c r="I447" s="13">
        <f>SUM(I440:I446)</f>
        <v>1586869.97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1381018.06+75000+55997</f>
        <v>1512015.06</v>
      </c>
      <c r="G460" s="18"/>
      <c r="H460" s="18">
        <v>74854.91</v>
      </c>
      <c r="I460" s="56">
        <f t="shared" si="34"/>
        <v>1586869.97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1512015.06</v>
      </c>
      <c r="G461" s="83">
        <f>SUM(G455:G460)</f>
        <v>0</v>
      </c>
      <c r="H461" s="83">
        <f>SUM(H455:H460)</f>
        <v>74854.91</v>
      </c>
      <c r="I461" s="83">
        <f>SUM(I455:I460)</f>
        <v>1586869.97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1512015.06</v>
      </c>
      <c r="G462" s="42">
        <f>G453+G461</f>
        <v>0</v>
      </c>
      <c r="H462" s="42">
        <f>H453+H461</f>
        <v>74854.91</v>
      </c>
      <c r="I462" s="42">
        <f>I453+I461</f>
        <v>1586869.97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1399125.7</v>
      </c>
      <c r="G466" s="18">
        <v>0</v>
      </c>
      <c r="H466" s="18">
        <v>0</v>
      </c>
      <c r="I466" s="18">
        <v>0</v>
      </c>
      <c r="J466" s="18">
        <v>1035912.58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24679996.9-22000</f>
        <v>24657996.899999999</v>
      </c>
      <c r="G469" s="18">
        <v>506335.04</v>
      </c>
      <c r="H469" s="18">
        <v>1943225.34</v>
      </c>
      <c r="I469" s="18">
        <v>0</v>
      </c>
      <c r="J469" s="18">
        <f>419960.39+75000+55997</f>
        <v>550957.39</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3"/>
    </row>
    <row r="471" spans="1:14" s="52" customFormat="1" ht="12.2" customHeight="1" x14ac:dyDescent="0.2">
      <c r="A471" s="92" t="s">
        <v>425</v>
      </c>
      <c r="B471" s="75">
        <v>19</v>
      </c>
      <c r="C471" s="80">
        <v>4</v>
      </c>
      <c r="D471" s="2" t="s">
        <v>432</v>
      </c>
      <c r="E471" s="80"/>
      <c r="F471" s="53">
        <f>SUM(F469:F470)</f>
        <v>24657996.899999999</v>
      </c>
      <c r="G471" s="53">
        <f>SUM(G469:G470)</f>
        <v>506335.04</v>
      </c>
      <c r="H471" s="53">
        <f>SUM(H469:H470)</f>
        <v>1943225.34</v>
      </c>
      <c r="I471" s="53">
        <f>SUM(I469:I470)</f>
        <v>0</v>
      </c>
      <c r="J471" s="53">
        <f>SUM(J469:J470)</f>
        <v>550957.39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24741367.93+11435.91+75000+55997</f>
        <v>24883800.84</v>
      </c>
      <c r="G473" s="18">
        <v>506335.04</v>
      </c>
      <c r="H473" s="18">
        <v>1943225.34</v>
      </c>
      <c r="I473" s="18">
        <v>0</v>
      </c>
      <c r="J473" s="18">
        <v>0</v>
      </c>
      <c r="K473" s="24" t="s">
        <v>288</v>
      </c>
      <c r="L473" s="24" t="s">
        <v>288</v>
      </c>
      <c r="N473" s="263"/>
    </row>
    <row r="474" spans="1:14" s="52" customFormat="1" ht="12.2" customHeight="1" x14ac:dyDescent="0.2">
      <c r="A474" s="93" t="s">
        <v>613</v>
      </c>
      <c r="B474" s="75">
        <v>19</v>
      </c>
      <c r="C474" s="80">
        <v>6</v>
      </c>
      <c r="D474" s="2" t="s">
        <v>432</v>
      </c>
      <c r="E474" s="80"/>
      <c r="F474" s="18"/>
      <c r="G474" s="18">
        <v>0</v>
      </c>
      <c r="H474" s="18">
        <v>0</v>
      </c>
      <c r="I474" s="18">
        <v>0</v>
      </c>
      <c r="J474" s="18">
        <v>0</v>
      </c>
      <c r="K474" s="24" t="s">
        <v>288</v>
      </c>
      <c r="L474" s="24" t="s">
        <v>288</v>
      </c>
      <c r="N474" s="263"/>
    </row>
    <row r="475" spans="1:14" s="52" customFormat="1" ht="12.2" customHeight="1" x14ac:dyDescent="0.2">
      <c r="A475" s="92" t="s">
        <v>426</v>
      </c>
      <c r="B475" s="75">
        <v>19</v>
      </c>
      <c r="C475" s="80">
        <v>7</v>
      </c>
      <c r="D475" s="2" t="s">
        <v>432</v>
      </c>
      <c r="E475" s="80"/>
      <c r="F475" s="53">
        <f>SUM(F473:F474)</f>
        <v>24883800.84</v>
      </c>
      <c r="G475" s="53">
        <f>SUM(G473:G474)</f>
        <v>506335.04</v>
      </c>
      <c r="H475" s="53">
        <f>SUM(H473:H474)</f>
        <v>1943225.34</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1173321.7599999979</v>
      </c>
      <c r="G477" s="53">
        <f>(G466+G471)- G475</f>
        <v>0</v>
      </c>
      <c r="H477" s="53">
        <f>(H466+H471)- H475</f>
        <v>0</v>
      </c>
      <c r="I477" s="53">
        <f>(I466+I471)- I475</f>
        <v>0</v>
      </c>
      <c r="J477" s="53">
        <f>(J466+J471)- J475</f>
        <v>1586869.97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10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t="s">
        <v>1674</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t="s">
        <v>1676</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13402490</v>
      </c>
      <c r="G494" s="18">
        <v>1060000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4.12</v>
      </c>
      <c r="G495" s="18">
        <v>5.0999999999999996</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2766804.45</v>
      </c>
      <c r="G496" s="18">
        <v>525000</v>
      </c>
      <c r="H496" s="18"/>
      <c r="I496" s="18"/>
      <c r="J496" s="18"/>
      <c r="K496" s="53">
        <f>SUM(F496:J496)</f>
        <v>3291804.45</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f>468717.93+49835.55</f>
        <v>518553.48</v>
      </c>
      <c r="G498" s="18">
        <v>105000</v>
      </c>
      <c r="H498" s="18"/>
      <c r="I498" s="18"/>
      <c r="J498" s="18"/>
      <c r="K498" s="53">
        <f t="shared" si="35"/>
        <v>623553.48</v>
      </c>
      <c r="L498" s="24" t="s">
        <v>288</v>
      </c>
      <c r="N498" s="263"/>
    </row>
    <row r="499" spans="1:14" s="52" customFormat="1" ht="12.2" customHeight="1" x14ac:dyDescent="0.2">
      <c r="A499" s="200" t="s">
        <v>622</v>
      </c>
      <c r="B499" s="201">
        <v>20</v>
      </c>
      <c r="C499" s="202">
        <v>9</v>
      </c>
      <c r="D499" s="203" t="s">
        <v>432</v>
      </c>
      <c r="E499" s="202"/>
      <c r="F499" s="204">
        <f>F496-F498</f>
        <v>2248250.9700000002</v>
      </c>
      <c r="G499" s="204">
        <f>G496-G498</f>
        <v>420000</v>
      </c>
      <c r="H499" s="204"/>
      <c r="I499" s="204"/>
      <c r="J499" s="204"/>
      <c r="K499" s="205">
        <f t="shared" si="35"/>
        <v>2668250.9700000002</v>
      </c>
      <c r="L499" s="206" t="s">
        <v>288</v>
      </c>
      <c r="N499" s="263"/>
    </row>
    <row r="500" spans="1:14" s="52" customFormat="1" ht="12.2" customHeight="1" thickBot="1" x14ac:dyDescent="0.25">
      <c r="A500" s="22" t="s">
        <v>623</v>
      </c>
      <c r="B500" s="75">
        <v>20</v>
      </c>
      <c r="C500" s="115">
        <v>10</v>
      </c>
      <c r="D500" s="2" t="s">
        <v>432</v>
      </c>
      <c r="E500" s="115"/>
      <c r="F500" s="18">
        <f>3074096.8-390213.32-49795.7</f>
        <v>2634087.7799999998</v>
      </c>
      <c r="G500" s="18">
        <f>66937.5-13387.5-10710</f>
        <v>42840</v>
      </c>
      <c r="H500" s="18"/>
      <c r="I500" s="18"/>
      <c r="J500" s="18"/>
      <c r="K500" s="53">
        <f t="shared" si="35"/>
        <v>2676927.7799999998</v>
      </c>
      <c r="L500" s="24" t="s">
        <v>288</v>
      </c>
      <c r="N500" s="263"/>
    </row>
    <row r="501" spans="1:14" s="52" customFormat="1" ht="12.2" customHeight="1" thickTop="1" x14ac:dyDescent="0.2">
      <c r="A501" s="139" t="s">
        <v>624</v>
      </c>
      <c r="B501" s="44">
        <v>20</v>
      </c>
      <c r="C501" s="195">
        <v>11</v>
      </c>
      <c r="D501" s="39" t="s">
        <v>432</v>
      </c>
      <c r="E501" s="195"/>
      <c r="F501" s="42">
        <f>SUM(F499:F500)</f>
        <v>4882338.75</v>
      </c>
      <c r="G501" s="42">
        <f>SUM(G499:G500)</f>
        <v>462840</v>
      </c>
      <c r="H501" s="42">
        <f>SUM(H499:H500)</f>
        <v>0</v>
      </c>
      <c r="I501" s="42">
        <f>SUM(I499:I500)</f>
        <v>0</v>
      </c>
      <c r="J501" s="42">
        <f>SUM(J499:J500)</f>
        <v>0</v>
      </c>
      <c r="K501" s="42">
        <f t="shared" si="35"/>
        <v>5345178.75</v>
      </c>
      <c r="L501" s="45" t="s">
        <v>288</v>
      </c>
      <c r="N501" s="263"/>
    </row>
    <row r="502" spans="1:14" s="52" customFormat="1" ht="12.2" customHeight="1" x14ac:dyDescent="0.2">
      <c r="A502" s="200" t="s">
        <v>651</v>
      </c>
      <c r="B502" s="201">
        <v>20</v>
      </c>
      <c r="C502" s="202">
        <v>12</v>
      </c>
      <c r="D502" s="203" t="s">
        <v>432</v>
      </c>
      <c r="E502" s="202"/>
      <c r="F502" s="204">
        <f>457212.26+39177.44</f>
        <v>496389.7</v>
      </c>
      <c r="G502" s="204">
        <v>105000</v>
      </c>
      <c r="H502" s="204"/>
      <c r="I502" s="204"/>
      <c r="J502" s="204"/>
      <c r="K502" s="205">
        <f t="shared" si="35"/>
        <v>601389.69999999995</v>
      </c>
      <c r="L502" s="206" t="s">
        <v>288</v>
      </c>
      <c r="N502" s="263"/>
    </row>
    <row r="503" spans="1:14" s="52" customFormat="1" ht="12.2" customHeight="1" thickBot="1" x14ac:dyDescent="0.25">
      <c r="A503" s="22" t="s">
        <v>625</v>
      </c>
      <c r="B503" s="75">
        <v>20</v>
      </c>
      <c r="C503" s="115">
        <v>13</v>
      </c>
      <c r="D503" s="2" t="s">
        <v>432</v>
      </c>
      <c r="E503" s="115"/>
      <c r="F503" s="18">
        <f>419918.99+42710.06</f>
        <v>462629.05</v>
      </c>
      <c r="G503" s="18">
        <f>10710+8032.5</f>
        <v>18742.5</v>
      </c>
      <c r="H503" s="18"/>
      <c r="I503" s="18"/>
      <c r="J503" s="18"/>
      <c r="K503" s="53">
        <f t="shared" si="35"/>
        <v>481371.55</v>
      </c>
      <c r="L503" s="24" t="s">
        <v>288</v>
      </c>
      <c r="N503" s="263"/>
    </row>
    <row r="504" spans="1:14" s="52" customFormat="1" ht="12.2" customHeight="1" thickTop="1" x14ac:dyDescent="0.2">
      <c r="A504" s="139" t="s">
        <v>626</v>
      </c>
      <c r="B504" s="44">
        <v>20</v>
      </c>
      <c r="C504" s="195">
        <v>14</v>
      </c>
      <c r="D504" s="39" t="s">
        <v>432</v>
      </c>
      <c r="E504" s="195"/>
      <c r="F504" s="42">
        <f>SUM(F502:F503)</f>
        <v>959018.75</v>
      </c>
      <c r="G504" s="42">
        <f>SUM(G502:G503)</f>
        <v>123742.5</v>
      </c>
      <c r="H504" s="42">
        <f>SUM(H502:H503)</f>
        <v>0</v>
      </c>
      <c r="I504" s="42">
        <f>SUM(I502:I503)</f>
        <v>0</v>
      </c>
      <c r="J504" s="42">
        <f>SUM(J502:J503)</f>
        <v>0</v>
      </c>
      <c r="K504" s="42">
        <f t="shared" si="35"/>
        <v>1082761.25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769712.58</v>
      </c>
      <c r="G522" s="18">
        <v>472339.99</v>
      </c>
      <c r="H522" s="18">
        <f>1025970.12-3071.15+2025</f>
        <v>1024923.97</v>
      </c>
      <c r="I522" s="18">
        <f>3396.43-71.71+208.96+9235.84</f>
        <v>12769.52</v>
      </c>
      <c r="J522" s="18">
        <f>6662.22+975</f>
        <v>7637.22</v>
      </c>
      <c r="K522" s="18">
        <v>2822.6</v>
      </c>
      <c r="L522" s="88">
        <f>SUM(F522:K522)</f>
        <v>2290205.8800000004</v>
      </c>
      <c r="N522" s="263"/>
    </row>
    <row r="523" spans="1:14" s="52" customFormat="1" ht="12.2" customHeight="1" x14ac:dyDescent="0.2">
      <c r="A523" s="22" t="s">
        <v>634</v>
      </c>
      <c r="B523" s="105">
        <v>21</v>
      </c>
      <c r="C523" s="115">
        <v>2</v>
      </c>
      <c r="D523" s="2" t="s">
        <v>432</v>
      </c>
      <c r="E523" s="115"/>
      <c r="F523" s="18">
        <v>673782.63</v>
      </c>
      <c r="G523" s="18">
        <v>489846.09</v>
      </c>
      <c r="H523" s="18">
        <f>971697.85-3443.41</f>
        <v>968254.44</v>
      </c>
      <c r="I523" s="18">
        <f>2679.03-80.4</f>
        <v>2598.63</v>
      </c>
      <c r="J523" s="18">
        <v>1217.3</v>
      </c>
      <c r="K523" s="18">
        <v>3164.73</v>
      </c>
      <c r="L523" s="88">
        <f>SUM(F523:K523)</f>
        <v>2138863.8199999998</v>
      </c>
      <c r="N523" s="263"/>
    </row>
    <row r="524" spans="1:14" s="52" customFormat="1" ht="12.2" customHeight="1" thickBot="1" x14ac:dyDescent="0.25">
      <c r="A524" s="22" t="s">
        <v>635</v>
      </c>
      <c r="B524" s="105">
        <v>21</v>
      </c>
      <c r="C524" s="115">
        <v>3</v>
      </c>
      <c r="D524" s="2" t="s">
        <v>432</v>
      </c>
      <c r="E524" s="115"/>
      <c r="F524" s="18">
        <v>568084.86</v>
      </c>
      <c r="G524" s="18">
        <v>395462.16</v>
      </c>
      <c r="H524" s="18">
        <f>1189118.34-2791.96</f>
        <v>1186326.3800000001</v>
      </c>
      <c r="I524" s="18">
        <f>1492.14-65.19</f>
        <v>1426.95</v>
      </c>
      <c r="J524" s="18">
        <v>987</v>
      </c>
      <c r="K524" s="18">
        <v>2566</v>
      </c>
      <c r="L524" s="88">
        <f>SUM(F524:K524)</f>
        <v>2154853.3500000006</v>
      </c>
      <c r="N524" s="263"/>
    </row>
    <row r="525" spans="1:14" s="52" customFormat="1" ht="12.2" customHeight="1" thickTop="1" x14ac:dyDescent="0.2">
      <c r="A525" s="139" t="s">
        <v>63</v>
      </c>
      <c r="B525" s="107">
        <v>21</v>
      </c>
      <c r="C525" s="195">
        <v>4</v>
      </c>
      <c r="D525" s="196" t="s">
        <v>432</v>
      </c>
      <c r="E525" s="195"/>
      <c r="F525" s="108">
        <f>SUM(F522:F524)</f>
        <v>2011580.0699999998</v>
      </c>
      <c r="G525" s="108">
        <f t="shared" ref="G525:L525" si="36">SUM(G522:G524)</f>
        <v>1357648.24</v>
      </c>
      <c r="H525" s="108">
        <f t="shared" si="36"/>
        <v>3179504.79</v>
      </c>
      <c r="I525" s="108">
        <f t="shared" si="36"/>
        <v>16795.100000000002</v>
      </c>
      <c r="J525" s="108">
        <f t="shared" si="36"/>
        <v>9841.52</v>
      </c>
      <c r="K525" s="108">
        <f t="shared" si="36"/>
        <v>8553.33</v>
      </c>
      <c r="L525" s="89">
        <f t="shared" si="36"/>
        <v>6583923.0500000007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23232.66</v>
      </c>
      <c r="G527" s="18">
        <v>12160.58</v>
      </c>
      <c r="H527" s="18">
        <v>2510.77</v>
      </c>
      <c r="I527" s="18">
        <v>1433.48</v>
      </c>
      <c r="J527" s="18">
        <v>0</v>
      </c>
      <c r="K527" s="18">
        <v>0</v>
      </c>
      <c r="L527" s="88">
        <f>SUM(F527:K527)</f>
        <v>39337.49</v>
      </c>
      <c r="M527" s="8"/>
      <c r="N527" s="264"/>
    </row>
    <row r="528" spans="1:14" s="3" customFormat="1" ht="12.2" customHeight="1" x14ac:dyDescent="0.15">
      <c r="A528" s="22" t="s">
        <v>634</v>
      </c>
      <c r="B528" s="105">
        <v>21</v>
      </c>
      <c r="C528" s="115">
        <v>6</v>
      </c>
      <c r="D528" s="2" t="s">
        <v>432</v>
      </c>
      <c r="E528" s="115"/>
      <c r="F528" s="18">
        <v>26048.74</v>
      </c>
      <c r="G528" s="18">
        <v>13634.59</v>
      </c>
      <c r="H528" s="18">
        <v>2815.11</v>
      </c>
      <c r="I528" s="18">
        <v>1607.24</v>
      </c>
      <c r="J528" s="18">
        <v>0</v>
      </c>
      <c r="K528" s="18">
        <v>0</v>
      </c>
      <c r="L528" s="88">
        <f>SUM(F528:K528)</f>
        <v>44105.68</v>
      </c>
      <c r="M528" s="8"/>
      <c r="N528" s="264"/>
    </row>
    <row r="529" spans="1:14" s="3" customFormat="1" ht="12.2" customHeight="1" thickBot="1" x14ac:dyDescent="0.2">
      <c r="A529" s="22" t="s">
        <v>635</v>
      </c>
      <c r="B529" s="118">
        <v>21</v>
      </c>
      <c r="C529" s="118">
        <v>7</v>
      </c>
      <c r="D529" s="2" t="s">
        <v>432</v>
      </c>
      <c r="E529" s="118"/>
      <c r="F529" s="18">
        <v>21120.6</v>
      </c>
      <c r="G529" s="18">
        <v>11055.07</v>
      </c>
      <c r="H529" s="18">
        <v>2282.52</v>
      </c>
      <c r="I529" s="18">
        <v>1303.17</v>
      </c>
      <c r="J529" s="18">
        <v>0</v>
      </c>
      <c r="K529" s="18">
        <v>0</v>
      </c>
      <c r="L529" s="88">
        <f>SUM(F529:K529)</f>
        <v>35761.359999999993</v>
      </c>
      <c r="M529" s="8"/>
      <c r="N529" s="264"/>
    </row>
    <row r="530" spans="1:14" s="3" customFormat="1" ht="12.2" customHeight="1" thickTop="1" x14ac:dyDescent="0.15">
      <c r="A530" s="139" t="s">
        <v>65</v>
      </c>
      <c r="B530" s="107">
        <v>21</v>
      </c>
      <c r="C530" s="107">
        <v>8</v>
      </c>
      <c r="D530" s="158" t="s">
        <v>432</v>
      </c>
      <c r="E530" s="107"/>
      <c r="F530" s="89">
        <f>SUM(F527:F529)</f>
        <v>70402</v>
      </c>
      <c r="G530" s="89">
        <f t="shared" ref="G530:L530" si="37">SUM(G527:G529)</f>
        <v>36850.239999999998</v>
      </c>
      <c r="H530" s="89">
        <f t="shared" si="37"/>
        <v>7608.4</v>
      </c>
      <c r="I530" s="89">
        <f t="shared" si="37"/>
        <v>4343.8900000000003</v>
      </c>
      <c r="J530" s="89">
        <f t="shared" si="37"/>
        <v>0</v>
      </c>
      <c r="K530" s="89">
        <f t="shared" si="37"/>
        <v>0</v>
      </c>
      <c r="L530" s="89">
        <f t="shared" si="37"/>
        <v>119204.53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31435.98</v>
      </c>
      <c r="G532" s="18">
        <v>13343.2</v>
      </c>
      <c r="H532" s="18">
        <v>1250.96</v>
      </c>
      <c r="I532" s="18">
        <v>0</v>
      </c>
      <c r="J532" s="18">
        <v>0</v>
      </c>
      <c r="K532" s="18">
        <v>1264.23</v>
      </c>
      <c r="L532" s="88">
        <f>SUM(F532:K532)</f>
        <v>47294.37</v>
      </c>
      <c r="M532" s="8"/>
      <c r="N532" s="264"/>
    </row>
    <row r="533" spans="1:14" s="3" customFormat="1" ht="12.2" customHeight="1" x14ac:dyDescent="0.15">
      <c r="A533" s="22" t="s">
        <v>634</v>
      </c>
      <c r="B533" s="105">
        <v>21</v>
      </c>
      <c r="C533" s="105">
        <v>10</v>
      </c>
      <c r="D533" s="2" t="s">
        <v>432</v>
      </c>
      <c r="E533" s="105"/>
      <c r="F533" s="18">
        <v>35246.400000000001</v>
      </c>
      <c r="G533" s="18">
        <v>14960.56</v>
      </c>
      <c r="H533" s="18">
        <v>1402.6</v>
      </c>
      <c r="I533" s="18">
        <v>0</v>
      </c>
      <c r="J533" s="18">
        <v>0</v>
      </c>
      <c r="K533" s="18">
        <v>1417.47</v>
      </c>
      <c r="L533" s="88">
        <f>SUM(F533:K533)</f>
        <v>53027.03</v>
      </c>
      <c r="M533" s="8"/>
      <c r="N533" s="264"/>
    </row>
    <row r="534" spans="1:14" s="3" customFormat="1" ht="12.2" customHeight="1" thickBot="1" x14ac:dyDescent="0.2">
      <c r="A534" s="22" t="s">
        <v>635</v>
      </c>
      <c r="B534" s="105">
        <v>21</v>
      </c>
      <c r="C534" s="105">
        <v>11</v>
      </c>
      <c r="D534" s="2" t="s">
        <v>432</v>
      </c>
      <c r="E534" s="105"/>
      <c r="F534" s="18">
        <v>28578.16</v>
      </c>
      <c r="G534" s="18">
        <v>12130.19</v>
      </c>
      <c r="H534" s="18">
        <v>1137.24</v>
      </c>
      <c r="I534" s="18">
        <v>0</v>
      </c>
      <c r="J534" s="18">
        <v>0</v>
      </c>
      <c r="K534" s="18">
        <v>1149.3</v>
      </c>
      <c r="L534" s="88">
        <f>SUM(F534:K534)</f>
        <v>42994.89</v>
      </c>
      <c r="M534" s="8"/>
      <c r="N534" s="264"/>
    </row>
    <row r="535" spans="1:14" s="3" customFormat="1" ht="12.2" customHeight="1" thickTop="1" x14ac:dyDescent="0.15">
      <c r="A535" s="139" t="s">
        <v>67</v>
      </c>
      <c r="B535" s="107">
        <v>21</v>
      </c>
      <c r="C535" s="107">
        <v>12</v>
      </c>
      <c r="D535" s="158" t="s">
        <v>432</v>
      </c>
      <c r="E535" s="107"/>
      <c r="F535" s="89">
        <f>SUM(F532:F534)</f>
        <v>95260.540000000008</v>
      </c>
      <c r="G535" s="89">
        <f t="shared" ref="G535:L535" si="38">SUM(G532:G534)</f>
        <v>40433.950000000004</v>
      </c>
      <c r="H535" s="89">
        <f t="shared" si="38"/>
        <v>3790.8</v>
      </c>
      <c r="I535" s="89">
        <f t="shared" si="38"/>
        <v>0</v>
      </c>
      <c r="J535" s="89">
        <f t="shared" si="38"/>
        <v>0</v>
      </c>
      <c r="K535" s="89">
        <f t="shared" si="38"/>
        <v>3831</v>
      </c>
      <c r="L535" s="89">
        <f t="shared" si="38"/>
        <v>143316.28999999998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3071.15</v>
      </c>
      <c r="I537" s="18">
        <v>0</v>
      </c>
      <c r="J537" s="18">
        <v>0</v>
      </c>
      <c r="K537" s="18">
        <v>0</v>
      </c>
      <c r="L537" s="88">
        <f>SUM(F537:K537)</f>
        <v>3071.15</v>
      </c>
      <c r="M537" s="8"/>
      <c r="N537" s="264"/>
    </row>
    <row r="538" spans="1:14" s="3" customFormat="1" ht="12.2" customHeight="1" x14ac:dyDescent="0.15">
      <c r="A538" s="22" t="s">
        <v>634</v>
      </c>
      <c r="B538" s="105">
        <v>21</v>
      </c>
      <c r="C538" s="105">
        <v>14</v>
      </c>
      <c r="D538" s="2" t="s">
        <v>432</v>
      </c>
      <c r="E538" s="105"/>
      <c r="F538" s="18">
        <v>0</v>
      </c>
      <c r="G538" s="18">
        <v>0</v>
      </c>
      <c r="H538" s="18">
        <v>3443.41</v>
      </c>
      <c r="I538" s="18">
        <v>0</v>
      </c>
      <c r="J538" s="18">
        <v>0</v>
      </c>
      <c r="K538" s="18">
        <v>0</v>
      </c>
      <c r="L538" s="88">
        <f>SUM(F538:K538)</f>
        <v>3443.41</v>
      </c>
      <c r="M538" s="8"/>
      <c r="N538" s="264"/>
    </row>
    <row r="539" spans="1:14" s="3" customFormat="1" ht="12.2" customHeight="1" thickBot="1" x14ac:dyDescent="0.2">
      <c r="A539" s="22" t="s">
        <v>635</v>
      </c>
      <c r="B539" s="105">
        <v>21</v>
      </c>
      <c r="C539" s="105">
        <v>15</v>
      </c>
      <c r="D539" s="2" t="s">
        <v>432</v>
      </c>
      <c r="E539" s="105"/>
      <c r="F539" s="18">
        <v>0</v>
      </c>
      <c r="G539" s="18">
        <v>0</v>
      </c>
      <c r="H539" s="18">
        <v>2791.96</v>
      </c>
      <c r="I539" s="18">
        <v>0</v>
      </c>
      <c r="J539" s="18">
        <v>0</v>
      </c>
      <c r="K539" s="18">
        <v>0</v>
      </c>
      <c r="L539" s="88">
        <f>SUM(F539:K539)</f>
        <v>2791.96</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9306.52</v>
      </c>
      <c r="I540" s="89">
        <f t="shared" si="39"/>
        <v>0</v>
      </c>
      <c r="J540" s="89">
        <f t="shared" si="39"/>
        <v>0</v>
      </c>
      <c r="K540" s="89">
        <f t="shared" si="39"/>
        <v>0</v>
      </c>
      <c r="L540" s="89">
        <f t="shared" si="39"/>
        <v>9306.52</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172997.29</v>
      </c>
      <c r="I542" s="18">
        <v>0</v>
      </c>
      <c r="J542" s="18">
        <v>0</v>
      </c>
      <c r="K542" s="18">
        <v>0</v>
      </c>
      <c r="L542" s="88">
        <f>SUM(F542:K542)</f>
        <v>172997.29</v>
      </c>
      <c r="M542" s="8"/>
      <c r="N542" s="264"/>
    </row>
    <row r="543" spans="1:14" s="3" customFormat="1" ht="12.2" customHeight="1" x14ac:dyDescent="0.15">
      <c r="A543" s="22" t="s">
        <v>634</v>
      </c>
      <c r="B543" s="105">
        <v>21</v>
      </c>
      <c r="C543" s="105">
        <v>18</v>
      </c>
      <c r="D543" s="2" t="s">
        <v>432</v>
      </c>
      <c r="E543" s="105"/>
      <c r="F543" s="18">
        <v>0</v>
      </c>
      <c r="G543" s="18">
        <v>0</v>
      </c>
      <c r="H543" s="18">
        <v>193966.66</v>
      </c>
      <c r="I543" s="18">
        <v>0</v>
      </c>
      <c r="J543" s="18">
        <v>0</v>
      </c>
      <c r="K543" s="18">
        <v>0</v>
      </c>
      <c r="L543" s="88">
        <f>SUM(F543:K543)</f>
        <v>193966.66</v>
      </c>
      <c r="M543" s="8"/>
      <c r="N543" s="264"/>
    </row>
    <row r="544" spans="1:14" s="3" customFormat="1" ht="12.2" customHeight="1" thickBot="1" x14ac:dyDescent="0.2">
      <c r="A544" s="22" t="s">
        <v>635</v>
      </c>
      <c r="B544" s="105">
        <v>21</v>
      </c>
      <c r="C544" s="105">
        <v>19</v>
      </c>
      <c r="D544" s="2" t="s">
        <v>432</v>
      </c>
      <c r="E544" s="105"/>
      <c r="F544" s="18">
        <v>0</v>
      </c>
      <c r="G544" s="18">
        <v>0</v>
      </c>
      <c r="H544" s="18">
        <v>157270.26999999999</v>
      </c>
      <c r="I544" s="18">
        <v>0</v>
      </c>
      <c r="J544" s="18">
        <v>0</v>
      </c>
      <c r="K544" s="18">
        <v>0</v>
      </c>
      <c r="L544" s="88">
        <f>SUM(F544:K544)</f>
        <v>157270.26999999999</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524234.22</v>
      </c>
      <c r="I545" s="193">
        <f t="shared" si="40"/>
        <v>0</v>
      </c>
      <c r="J545" s="193">
        <f t="shared" si="40"/>
        <v>0</v>
      </c>
      <c r="K545" s="193">
        <f t="shared" si="40"/>
        <v>0</v>
      </c>
      <c r="L545" s="193">
        <f t="shared" si="40"/>
        <v>524234.22</v>
      </c>
      <c r="M545" s="8"/>
      <c r="N545" s="264"/>
    </row>
    <row r="546" spans="1:14" s="3" customFormat="1" ht="12.2" customHeight="1" thickTop="1" x14ac:dyDescent="0.15">
      <c r="A546" s="98" t="s">
        <v>72</v>
      </c>
      <c r="B546" s="107">
        <v>21</v>
      </c>
      <c r="C546" s="107">
        <v>21</v>
      </c>
      <c r="D546" s="158" t="s">
        <v>432</v>
      </c>
      <c r="E546" s="107"/>
      <c r="F546" s="89">
        <f>F525+F530+F535+F540+F545</f>
        <v>2177242.61</v>
      </c>
      <c r="G546" s="89">
        <f t="shared" ref="G546:L546" si="41">G525+G530+G535+G540+G545</f>
        <v>1434932.43</v>
      </c>
      <c r="H546" s="89">
        <f t="shared" si="41"/>
        <v>3724444.7299999995</v>
      </c>
      <c r="I546" s="89">
        <f t="shared" si="41"/>
        <v>21138.99</v>
      </c>
      <c r="J546" s="89">
        <f t="shared" si="41"/>
        <v>9841.52</v>
      </c>
      <c r="K546" s="89">
        <f t="shared" si="41"/>
        <v>12384.33</v>
      </c>
      <c r="L546" s="89">
        <f t="shared" si="41"/>
        <v>7379984.6100000003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2290205.8800000004</v>
      </c>
      <c r="G550" s="87">
        <f>L527</f>
        <v>39337.49</v>
      </c>
      <c r="H550" s="87">
        <f>L532</f>
        <v>47294.37</v>
      </c>
      <c r="I550" s="87">
        <f>L537</f>
        <v>3071.15</v>
      </c>
      <c r="J550" s="87">
        <f>L542</f>
        <v>172997.29</v>
      </c>
      <c r="K550" s="87">
        <f>SUM(F550:J550)</f>
        <v>2552906.1800000006</v>
      </c>
      <c r="L550" s="24" t="s">
        <v>288</v>
      </c>
      <c r="M550" s="8"/>
      <c r="N550" s="264"/>
    </row>
    <row r="551" spans="1:14" s="3" customFormat="1" ht="12.2" customHeight="1" x14ac:dyDescent="0.15">
      <c r="A551" s="22" t="s">
        <v>634</v>
      </c>
      <c r="B551" s="75">
        <v>21</v>
      </c>
      <c r="C551" s="75">
        <v>23</v>
      </c>
      <c r="D551" s="2" t="s">
        <v>432</v>
      </c>
      <c r="E551" s="75"/>
      <c r="F551" s="87">
        <f>L523</f>
        <v>2138863.8199999998</v>
      </c>
      <c r="G551" s="87">
        <f>L528</f>
        <v>44105.68</v>
      </c>
      <c r="H551" s="87">
        <f>L533</f>
        <v>53027.03</v>
      </c>
      <c r="I551" s="87">
        <f>L538</f>
        <v>3443.41</v>
      </c>
      <c r="J551" s="87">
        <f>L543</f>
        <v>193966.66</v>
      </c>
      <c r="K551" s="87">
        <f>SUM(F551:J551)</f>
        <v>2433406.6</v>
      </c>
      <c r="L551" s="24" t="s">
        <v>288</v>
      </c>
      <c r="M551" s="8"/>
      <c r="N551" s="264"/>
    </row>
    <row r="552" spans="1:14" s="3" customFormat="1" ht="12.2" customHeight="1" thickBot="1" x14ac:dyDescent="0.2">
      <c r="A552" s="22" t="s">
        <v>635</v>
      </c>
      <c r="B552" s="75">
        <v>21</v>
      </c>
      <c r="C552" s="75">
        <v>24</v>
      </c>
      <c r="D552" s="2" t="s">
        <v>432</v>
      </c>
      <c r="E552" s="75"/>
      <c r="F552" s="87">
        <f>L524</f>
        <v>2154853.3500000006</v>
      </c>
      <c r="G552" s="87">
        <f>L529</f>
        <v>35761.359999999993</v>
      </c>
      <c r="H552" s="87">
        <f>L534</f>
        <v>42994.89</v>
      </c>
      <c r="I552" s="87">
        <f>L539</f>
        <v>2791.96</v>
      </c>
      <c r="J552" s="87">
        <f>L544</f>
        <v>157270.26999999999</v>
      </c>
      <c r="K552" s="87">
        <f>SUM(F552:J552)</f>
        <v>2393671.8300000005</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6583923.0500000007</v>
      </c>
      <c r="G553" s="89">
        <f t="shared" si="42"/>
        <v>119204.53</v>
      </c>
      <c r="H553" s="89">
        <f t="shared" si="42"/>
        <v>143316.28999999998</v>
      </c>
      <c r="I553" s="89">
        <f t="shared" si="42"/>
        <v>9306.52</v>
      </c>
      <c r="J553" s="89">
        <f t="shared" si="42"/>
        <v>524234.22</v>
      </c>
      <c r="K553" s="89">
        <f t="shared" si="42"/>
        <v>7379984.6100000013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12003.02</v>
      </c>
      <c r="G563" s="18">
        <v>930.15</v>
      </c>
      <c r="H563" s="18">
        <v>0</v>
      </c>
      <c r="I563" s="18">
        <v>71.709999999999994</v>
      </c>
      <c r="J563" s="18">
        <v>0</v>
      </c>
      <c r="K563" s="18">
        <v>0</v>
      </c>
      <c r="L563" s="88">
        <f>SUM(F563:K563)</f>
        <v>13004.88</v>
      </c>
      <c r="M563" s="8"/>
      <c r="N563" s="264"/>
    </row>
    <row r="564" spans="1:14" s="3" customFormat="1" ht="12.2" customHeight="1" x14ac:dyDescent="0.15">
      <c r="A564" s="22" t="s">
        <v>634</v>
      </c>
      <c r="B564" s="105">
        <v>22</v>
      </c>
      <c r="C564" s="115">
        <v>6</v>
      </c>
      <c r="D564" s="2" t="s">
        <v>432</v>
      </c>
      <c r="E564" s="115"/>
      <c r="F564" s="18">
        <v>13457.94</v>
      </c>
      <c r="G564" s="18">
        <v>1042.9000000000001</v>
      </c>
      <c r="H564" s="18">
        <v>0</v>
      </c>
      <c r="I564" s="18">
        <v>80.400000000000006</v>
      </c>
      <c r="J564" s="18">
        <v>0</v>
      </c>
      <c r="K564" s="18">
        <v>0</v>
      </c>
      <c r="L564" s="88">
        <f>SUM(F564:K564)</f>
        <v>14581.24</v>
      </c>
      <c r="M564" s="8"/>
      <c r="N564" s="264"/>
    </row>
    <row r="565" spans="1:14" s="3" customFormat="1" ht="12.2" customHeight="1" thickBot="1" x14ac:dyDescent="0.2">
      <c r="A565" s="22" t="s">
        <v>635</v>
      </c>
      <c r="B565" s="105">
        <v>22</v>
      </c>
      <c r="C565" s="118">
        <v>7</v>
      </c>
      <c r="D565" s="2" t="s">
        <v>432</v>
      </c>
      <c r="E565" s="118"/>
      <c r="F565" s="18">
        <v>10911.84</v>
      </c>
      <c r="G565" s="18">
        <v>845.59</v>
      </c>
      <c r="H565" s="18">
        <v>0</v>
      </c>
      <c r="I565" s="18">
        <v>65.19</v>
      </c>
      <c r="J565" s="18">
        <v>0</v>
      </c>
      <c r="K565" s="18">
        <v>0</v>
      </c>
      <c r="L565" s="88">
        <f>SUM(F565:K565)</f>
        <v>11822.62</v>
      </c>
      <c r="M565" s="8"/>
      <c r="N565" s="264"/>
    </row>
    <row r="566" spans="1:14" s="3" customFormat="1" ht="12.2" customHeight="1" thickTop="1" x14ac:dyDescent="0.15">
      <c r="A566" s="139" t="s">
        <v>65</v>
      </c>
      <c r="B566" s="107">
        <v>22</v>
      </c>
      <c r="C566" s="107">
        <v>8</v>
      </c>
      <c r="D566" s="196" t="s">
        <v>432</v>
      </c>
      <c r="E566" s="107"/>
      <c r="F566" s="89">
        <f t="shared" ref="F566:L566" si="44">SUM(F563:F565)</f>
        <v>36372.800000000003</v>
      </c>
      <c r="G566" s="89">
        <f t="shared" si="44"/>
        <v>2818.6400000000003</v>
      </c>
      <c r="H566" s="89">
        <f t="shared" si="44"/>
        <v>0</v>
      </c>
      <c r="I566" s="89">
        <f t="shared" si="44"/>
        <v>217.3</v>
      </c>
      <c r="J566" s="89">
        <f t="shared" si="44"/>
        <v>0</v>
      </c>
      <c r="K566" s="89">
        <f t="shared" si="44"/>
        <v>0</v>
      </c>
      <c r="L566" s="89">
        <f t="shared" si="44"/>
        <v>39408.74</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36372.800000000003</v>
      </c>
      <c r="G572" s="89">
        <f t="shared" ref="G572:L572" si="46">G561+G566+G571</f>
        <v>2818.6400000000003</v>
      </c>
      <c r="H572" s="89">
        <f t="shared" si="46"/>
        <v>0</v>
      </c>
      <c r="I572" s="89">
        <f t="shared" si="46"/>
        <v>217.3</v>
      </c>
      <c r="J572" s="89">
        <f t="shared" si="46"/>
        <v>0</v>
      </c>
      <c r="K572" s="89">
        <f t="shared" si="46"/>
        <v>0</v>
      </c>
      <c r="L572" s="89">
        <f t="shared" si="46"/>
        <v>39408.74</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7180.31</v>
      </c>
      <c r="I576" s="87">
        <f>SUM(F576:H576)</f>
        <v>7180.31</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660</v>
      </c>
      <c r="G580" s="18">
        <v>7805.6859999999997</v>
      </c>
      <c r="H580" s="18">
        <v>79678.960000000006</v>
      </c>
      <c r="I580" s="87">
        <f t="shared" si="47"/>
        <v>88144.646000000008</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21200</v>
      </c>
      <c r="G581" s="18"/>
      <c r="H581" s="18"/>
      <c r="I581" s="87">
        <f t="shared" si="47"/>
        <v>21200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468836.78</v>
      </c>
      <c r="G583" s="18">
        <f>363737.22-73758.6</f>
        <v>289978.62</v>
      </c>
      <c r="H583" s="18">
        <f>622827.26-78419</f>
        <v>544408.26</v>
      </c>
      <c r="I583" s="87">
        <f t="shared" si="47"/>
        <v>1303223.6600000001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v>73758.600000000006</v>
      </c>
      <c r="H584" s="18">
        <v>78419</v>
      </c>
      <c r="I584" s="87">
        <f t="shared" si="47"/>
        <v>152177.60000000001</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182224</v>
      </c>
      <c r="I585" s="87">
        <f t="shared" si="47"/>
        <v>182224</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139255.32+9613.11</f>
        <v>148868.43</v>
      </c>
      <c r="I592" s="18">
        <f>156134.75+10778.34</f>
        <v>166913.09</v>
      </c>
      <c r="J592" s="18">
        <f>126595.74+8739.2-16457.45</f>
        <v>118877.49</v>
      </c>
      <c r="K592" s="104">
        <f t="shared" ref="K592:K598" si="48">SUM(H592:J592)</f>
        <v>434659.01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172997.29</v>
      </c>
      <c r="I593" s="18">
        <v>193966.66</v>
      </c>
      <c r="J593" s="18">
        <v>157270.26999999999</v>
      </c>
      <c r="K593" s="104">
        <f t="shared" si="48"/>
        <v>524234.22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16457.45</v>
      </c>
      <c r="K594" s="104">
        <f t="shared" si="48"/>
        <v>16457.45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2564.2600000000002</v>
      </c>
      <c r="J595" s="18">
        <v>11915.51</v>
      </c>
      <c r="K595" s="104">
        <f t="shared" si="48"/>
        <v>14479.77</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v>7487.68</v>
      </c>
      <c r="J596" s="18">
        <v>1114.75</v>
      </c>
      <c r="K596" s="104">
        <f t="shared" si="48"/>
        <v>8602.43</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321865.71999999997</v>
      </c>
      <c r="I599" s="108">
        <f>SUM(I592:I598)</f>
        <v>370931.69</v>
      </c>
      <c r="J599" s="108">
        <f>SUM(J592:J598)</f>
        <v>305635.47000000003</v>
      </c>
      <c r="K599" s="108">
        <f>SUM(K592:K598)</f>
        <v>998432.88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77017.1+152680.66</f>
        <v>229697.76</v>
      </c>
      <c r="I605" s="18">
        <f>94402.43+169169.38</f>
        <v>263571.81</v>
      </c>
      <c r="J605" s="18">
        <f>122314.03+130977.87</f>
        <v>253291.9</v>
      </c>
      <c r="K605" s="104">
        <f>SUM(H605:J605)</f>
        <v>746561.47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229697.76</v>
      </c>
      <c r="I606" s="108">
        <f>SUM(I603:I605)</f>
        <v>263571.81</v>
      </c>
      <c r="J606" s="108">
        <f>SUM(J603:J605)</f>
        <v>253291.9</v>
      </c>
      <c r="K606" s="108">
        <f>SUM(K603:K605)</f>
        <v>746561.47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12150</v>
      </c>
      <c r="G614" s="18">
        <v>3092.18</v>
      </c>
      <c r="H614" s="18">
        <v>0</v>
      </c>
      <c r="I614" s="18">
        <v>0</v>
      </c>
      <c r="J614" s="18">
        <v>0</v>
      </c>
      <c r="K614" s="18">
        <v>0</v>
      </c>
      <c r="L614" s="88">
        <f>SUM(F614:K614)</f>
        <v>15242.18</v>
      </c>
      <c r="M614" s="8"/>
      <c r="N614" s="264"/>
    </row>
    <row r="615" spans="1:14" s="3" customFormat="1" ht="12.2" customHeight="1" thickTop="1" x14ac:dyDescent="0.15">
      <c r="A615" s="98" t="s">
        <v>340</v>
      </c>
      <c r="B615" s="107">
        <v>23</v>
      </c>
      <c r="C615" s="107">
        <v>16</v>
      </c>
      <c r="D615" s="39" t="s">
        <v>432</v>
      </c>
      <c r="E615" s="107"/>
      <c r="F615" s="108">
        <f t="shared" ref="F615:L615" si="49">SUM(F612:F614)</f>
        <v>12150</v>
      </c>
      <c r="G615" s="108">
        <f t="shared" si="49"/>
        <v>3092.18</v>
      </c>
      <c r="H615" s="108">
        <f t="shared" si="49"/>
        <v>0</v>
      </c>
      <c r="I615" s="108">
        <f t="shared" si="49"/>
        <v>0</v>
      </c>
      <c r="J615" s="108">
        <f t="shared" si="49"/>
        <v>0</v>
      </c>
      <c r="K615" s="108">
        <f t="shared" si="49"/>
        <v>0</v>
      </c>
      <c r="L615" s="89">
        <f t="shared" si="49"/>
        <v>15242.18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2062025.9300000002</v>
      </c>
      <c r="H618" s="109">
        <f>SUM(F52)</f>
        <v>2062025.9300000002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80815.86</v>
      </c>
      <c r="H619" s="109">
        <f>SUM(G52)</f>
        <v>80815.86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480636.92</v>
      </c>
      <c r="H620" s="109">
        <f>SUM(H52)</f>
        <v>480636.92300000001</v>
      </c>
      <c r="I620" s="121" t="s">
        <v>877</v>
      </c>
      <c r="J620" s="109">
        <f>G620-H620</f>
        <v>-3.0000000260770321E-3</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1586869.97</v>
      </c>
      <c r="H622" s="109">
        <f>SUM(J52)</f>
        <v>1586869.97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1173321.76</v>
      </c>
      <c r="H623" s="109">
        <f>F477</f>
        <v>1173321.7599999979</v>
      </c>
      <c r="I623" s="121" t="s">
        <v>101</v>
      </c>
      <c r="J623" s="109">
        <f t="shared" ref="J623:J656" si="50">G623-H623</f>
        <v>2.0954757928848267E-9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1586869.97</v>
      </c>
      <c r="H627" s="109">
        <f>J477</f>
        <v>1586869.97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24657996.899999995</v>
      </c>
      <c r="H628" s="104">
        <f>SUM(F469)</f>
        <v>24657996.899999999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506335.04</v>
      </c>
      <c r="H629" s="104">
        <f>SUM(G469)</f>
        <v>506335.04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1943225.3399999999</v>
      </c>
      <c r="H630" s="104">
        <f>SUM(H469)</f>
        <v>1943225.34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550957.39</v>
      </c>
      <c r="H632" s="104">
        <f>SUM(J469)</f>
        <v>550957.39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24883800.84</v>
      </c>
      <c r="H633" s="104">
        <f>SUM(F473)</f>
        <v>24883800.84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1943225.34</v>
      </c>
      <c r="H634" s="104">
        <f>SUM(H473)</f>
        <v>1943225.34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97316.72</v>
      </c>
      <c r="H635" s="104">
        <f>I370</f>
        <v>97316.72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506335.04000000004</v>
      </c>
      <c r="H636" s="104">
        <f>SUM(G473)</f>
        <v>506335.04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550957.39000000013</v>
      </c>
      <c r="H638" s="164">
        <f>SUM(J469)</f>
        <v>550957.39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1512015.06</v>
      </c>
      <c r="H640" s="104">
        <f>SUM(F462)</f>
        <v>1512015.06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74854.91</v>
      </c>
      <c r="H642" s="104">
        <f>SUM(H462)</f>
        <v>74854.91</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1586869.97</v>
      </c>
      <c r="H643" s="104">
        <f>SUM(I462)</f>
        <v>1586869.97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86884.39</v>
      </c>
      <c r="H645" s="104">
        <f>H409</f>
        <v>86884.389999999985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464073</v>
      </c>
      <c r="H646" s="104">
        <f>G409</f>
        <v>464073</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550957.39</v>
      </c>
      <c r="H647" s="104">
        <f>L409</f>
        <v>550957.39000000013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998432.88</v>
      </c>
      <c r="H648" s="104">
        <f>L209+L227+L245</f>
        <v>998432.87999999989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746561.47</v>
      </c>
      <c r="H649" s="104">
        <f>(J258+J339)-(J256+J337)</f>
        <v>746561.47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321865.71999999997</v>
      </c>
      <c r="H650" s="104">
        <f>H599</f>
        <v>321865.71999999997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370931.69</v>
      </c>
      <c r="H651" s="104">
        <f>I599</f>
        <v>370931.69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305635.47000000003</v>
      </c>
      <c r="H652" s="104">
        <f>J599</f>
        <v>305635.47000000003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270797.90999999997</v>
      </c>
      <c r="H653" s="104">
        <f>K264+K346</f>
        <v>270797.90999999997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464073</v>
      </c>
      <c r="H656" s="104">
        <f>K267+K348</f>
        <v>464073</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-2.9999911785125732E-3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8128526.0600000005</v>
      </c>
      <c r="G661" s="19">
        <f>(L230+L310+L360)</f>
        <v>8837448.379999999</v>
      </c>
      <c r="H661" s="19">
        <f>(L248+L329+L361)</f>
        <v>8456560.4699999988</v>
      </c>
      <c r="I661" s="19">
        <f>SUM(F661:H661)</f>
        <v>25422534.909999996</v>
      </c>
      <c r="J661" s="13"/>
      <c r="K661" s="13"/>
      <c r="L661" s="13"/>
      <c r="M661" s="9"/>
    </row>
    <row r="662" spans="1:13" s="3" customFormat="1" ht="12.2" customHeight="1" x14ac:dyDescent="0.2">
      <c r="A662" s="1" t="s">
        <v>127</v>
      </c>
      <c r="F662" s="19">
        <f>(L359/IF(SUM(L359:L361)=0,1,SUM(L359:L361))*(SUM(G97:G110)))</f>
        <v>6577.8534714042298</v>
      </c>
      <c r="G662" s="19">
        <f>(L360/IF(SUM(L359:L361)=0,1,SUM(L359:L361))*(SUM(G97:G110)))</f>
        <v>7074.7542088041146</v>
      </c>
      <c r="H662" s="19">
        <f>(L361/IF(SUM(L359:L361)=0,1,SUM(L359:L361))*(SUM(G97:G110)))</f>
        <v>7055.7323197916548</v>
      </c>
      <c r="I662" s="19">
        <f>SUM(F662:H662)</f>
        <v>20708.34</v>
      </c>
      <c r="J662"/>
      <c r="K662" s="13"/>
      <c r="L662" s="13"/>
      <c r="M662" s="8"/>
    </row>
    <row r="663" spans="1:13" s="3" customFormat="1" ht="12.2" customHeight="1" x14ac:dyDescent="0.2">
      <c r="A663" s="1" t="s">
        <v>128</v>
      </c>
      <c r="F663" s="19">
        <f>(L209+L288)-(J209+J288)</f>
        <v>321865.71999999997</v>
      </c>
      <c r="G663" s="19">
        <f>(L227+L307)-(J227+J307)</f>
        <v>370931.69</v>
      </c>
      <c r="H663" s="19">
        <f>(L245+L326)-(J245+J326)</f>
        <v>305635.47000000003</v>
      </c>
      <c r="I663" s="19">
        <f>SUM(F663:H663)</f>
        <v>998432.87999999989</v>
      </c>
      <c r="J663"/>
      <c r="K663" s="13"/>
      <c r="L663" s="13"/>
      <c r="M663" s="9"/>
    </row>
    <row r="664" spans="1:13" s="3" customFormat="1" ht="12.2" customHeight="1" x14ac:dyDescent="0.15">
      <c r="A664" s="198" t="s">
        <v>129</v>
      </c>
      <c r="B664" s="169"/>
      <c r="C664" s="169"/>
      <c r="D664" s="169"/>
      <c r="E664" s="169"/>
      <c r="F664" s="199">
        <f>SUM(F576:F588)+SUM(H603:H605)+SUM(L612)</f>
        <v>720394.54</v>
      </c>
      <c r="G664" s="199">
        <f>SUM(G576:G588)+SUM(I603:I605)+L613</f>
        <v>635114.71600000001</v>
      </c>
      <c r="H664" s="199">
        <f>SUM(H576:H588)+SUM(J603:J605)+L614</f>
        <v>1160444.6099999999</v>
      </c>
      <c r="I664" s="19">
        <f>SUM(F664:H664)</f>
        <v>2515953.8659999999</v>
      </c>
      <c r="J664" s="13"/>
      <c r="K664" s="13"/>
      <c r="L664" s="13"/>
      <c r="M664" s="9"/>
    </row>
    <row r="665" spans="1:13" s="3" customFormat="1" ht="12.2" customHeight="1" x14ac:dyDescent="0.15">
      <c r="A665" s="1" t="s">
        <v>130</v>
      </c>
      <c r="F665" s="19">
        <f>F661-SUM(F662:F664)</f>
        <v>7079687.9465285968</v>
      </c>
      <c r="G665" s="19">
        <f>G661-SUM(G662:G664)</f>
        <v>7824327.2197911944</v>
      </c>
      <c r="H665" s="19">
        <f>H661-SUM(H662:H664)</f>
        <v>6983424.6576802079</v>
      </c>
      <c r="I665" s="19">
        <f>I661-SUM(I662:I664)</f>
        <v>21887439.823999997</v>
      </c>
      <c r="J665" s="13"/>
      <c r="K665" s="13"/>
      <c r="L665" s="13"/>
      <c r="M665" s="8"/>
    </row>
    <row r="666" spans="1:13" s="3" customFormat="1" ht="12.2" customHeight="1" x14ac:dyDescent="0.25">
      <c r="A666" s="1" t="s">
        <v>131</v>
      </c>
      <c r="F666" s="359">
        <v>372.71</v>
      </c>
      <c r="G666" s="359">
        <v>436.79</v>
      </c>
      <c r="H666" s="359">
        <v>344.69</v>
      </c>
      <c r="I666" s="19">
        <f>SUM(F666:H666)</f>
        <v>1154.19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18995.16</v>
      </c>
      <c r="G668" s="19">
        <f>ROUND(G665/G666,2)</f>
        <v>17913.25</v>
      </c>
      <c r="H668" s="19">
        <f>ROUND(H665/H666,2)</f>
        <v>20260.02</v>
      </c>
      <c r="I668" s="19">
        <f>ROUND(I665/I666,2)</f>
        <v>18963.46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-17.22</v>
      </c>
      <c r="I671" s="19">
        <f>SUM(F671:H671)</f>
        <v>-17.22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18995.16</v>
      </c>
      <c r="G673" s="19">
        <f>ROUND((G665+G670)/(G666+G671),2)</f>
        <v>17913.25</v>
      </c>
      <c r="H673" s="19">
        <f>ROUND((H665+H670)/(H666+H671),2)</f>
        <v>21325.39</v>
      </c>
      <c r="I673" s="19">
        <f>ROUND((I665+I670)/(I666+I671),2)</f>
        <v>19250.669999999998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3" sqref="E23"/>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485784.24</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237800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400285.37</v>
      </c>
      <c r="F22" s="346"/>
    </row>
    <row r="23" spans="2:8" x14ac:dyDescent="0.25">
      <c r="B23" s="346"/>
      <c r="C23" s="346"/>
      <c r="D23" s="346"/>
      <c r="E23" s="346"/>
      <c r="F23" s="346"/>
    </row>
    <row r="24" spans="2:8" ht="26.25" customHeight="1" x14ac:dyDescent="0.25">
      <c r="B24" s="346"/>
      <c r="C24" s="348" t="s">
        <v>1661</v>
      </c>
      <c r="D24" s="346"/>
      <c r="E24" s="341">
        <v>110550.38</v>
      </c>
      <c r="F24" s="346"/>
    </row>
    <row r="25" spans="2:8" ht="18" x14ac:dyDescent="0.25">
      <c r="B25" s="346"/>
      <c r="C25" s="349"/>
      <c r="D25" s="346"/>
      <c r="E25" s="346"/>
      <c r="F25" s="346"/>
    </row>
    <row r="26" spans="2:8" ht="27.75" customHeight="1" x14ac:dyDescent="0.25">
      <c r="B26" s="346"/>
      <c r="C26" s="348" t="s">
        <v>1662</v>
      </c>
      <c r="D26" s="346"/>
      <c r="E26" s="341">
        <v>289734.99</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323298.87</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Raymond School District</v>
      </c>
      <c r="C5" s="363"/>
      <c r="D5" s="363"/>
      <c r="E5" s="363"/>
      <c r="F5" s="363"/>
    </row>
    <row r="8" spans="1:9" ht="18" x14ac:dyDescent="0.25">
      <c r="A8" s="317" t="s">
        <v>1576</v>
      </c>
      <c r="F8" s="324" t="s">
        <v>1594</v>
      </c>
    </row>
    <row r="9" spans="1:9" ht="15" x14ac:dyDescent="0.2">
      <c r="A9" s="315" t="s">
        <v>1577</v>
      </c>
      <c r="B9" s="318">
        <f>'DOE25'!G97</f>
        <v>20708.34</v>
      </c>
      <c r="F9" s="315" t="s">
        <v>1590</v>
      </c>
    </row>
    <row r="10" spans="1:9" ht="15" x14ac:dyDescent="0.2">
      <c r="A10" s="315" t="s">
        <v>1578</v>
      </c>
      <c r="B10" s="318">
        <f>'DOE25'!G112-'DOE25'!G97</f>
        <v>0</v>
      </c>
      <c r="F10" s="315" t="s">
        <v>1591</v>
      </c>
    </row>
    <row r="11" spans="1:9" ht="15" x14ac:dyDescent="0.2">
      <c r="A11" s="315" t="s">
        <v>1579</v>
      </c>
      <c r="B11" s="318">
        <f>'DOE25'!G140</f>
        <v>5944.17</v>
      </c>
      <c r="F11" s="315" t="s">
        <v>1592</v>
      </c>
    </row>
    <row r="12" spans="1:9" ht="15" x14ac:dyDescent="0.2">
      <c r="A12" s="315" t="s">
        <v>1580</v>
      </c>
      <c r="B12" s="318">
        <f>'DOE25'!G170</f>
        <v>208884.62</v>
      </c>
      <c r="F12" s="315" t="s">
        <v>1593</v>
      </c>
    </row>
    <row r="13" spans="1:9" ht="15" x14ac:dyDescent="0.2">
      <c r="A13" s="315" t="s">
        <v>1581</v>
      </c>
      <c r="B13" s="318">
        <f>'DOE25'!G193-'DOE25'!G180</f>
        <v>0</v>
      </c>
      <c r="F13" s="315" t="s">
        <v>1603</v>
      </c>
    </row>
    <row r="14" spans="1:9" ht="18" x14ac:dyDescent="0.25">
      <c r="A14" s="317" t="s">
        <v>732</v>
      </c>
      <c r="B14" s="319">
        <f>SUM(B9:B13)</f>
        <v>235537.13</v>
      </c>
    </row>
    <row r="16" spans="1:9" ht="18" x14ac:dyDescent="0.25">
      <c r="A16" s="317" t="s">
        <v>786</v>
      </c>
      <c r="F16" s="324" t="s">
        <v>1595</v>
      </c>
    </row>
    <row r="17" spans="1:6" ht="15" x14ac:dyDescent="0.2">
      <c r="A17" s="315" t="s">
        <v>1582</v>
      </c>
      <c r="B17" s="318">
        <f>'DOE25'!L363-'DOE25'!L362</f>
        <v>506335.04000000004</v>
      </c>
      <c r="F17" s="315" t="s">
        <v>1596</v>
      </c>
    </row>
    <row r="18" spans="1:6" ht="15" x14ac:dyDescent="0.2">
      <c r="A18" s="315" t="s">
        <v>1583</v>
      </c>
      <c r="B18" s="328"/>
      <c r="F18" s="324" t="s">
        <v>1620</v>
      </c>
    </row>
    <row r="19" spans="1:6" ht="18" x14ac:dyDescent="0.25">
      <c r="A19" s="317" t="s">
        <v>725</v>
      </c>
      <c r="B19" s="319">
        <f>SUM(B17:B18)</f>
        <v>506335.04000000004</v>
      </c>
    </row>
    <row r="21" spans="1:6" ht="18.75" thickBot="1" x14ac:dyDescent="0.3">
      <c r="A21" s="317" t="s">
        <v>1584</v>
      </c>
    </row>
    <row r="22" spans="1:6" ht="18.75" thickTop="1" x14ac:dyDescent="0.25">
      <c r="A22" s="317" t="s">
        <v>1585</v>
      </c>
      <c r="B22" s="323">
        <f>B14-B19</f>
        <v>-270797.91000000003</v>
      </c>
      <c r="F22" s="315" t="s">
        <v>1597</v>
      </c>
    </row>
    <row r="26" spans="1:6" ht="18" x14ac:dyDescent="0.25">
      <c r="A26" s="317" t="s">
        <v>186</v>
      </c>
    </row>
    <row r="27" spans="1:6" ht="15" x14ac:dyDescent="0.2">
      <c r="A27" s="315" t="s">
        <v>1586</v>
      </c>
      <c r="B27" s="318">
        <f>'DOE25'!G180</f>
        <v>270797.90999999997</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1886.25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9" sqref="C2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Raymond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5607360.9800000004</v>
      </c>
      <c r="C9" s="229">
        <f>'DOE25'!G198+'DOE25'!G216+'DOE25'!G234+'DOE25'!G277+'DOE25'!G296+'DOE25'!G315</f>
        <v>2655383.8500000006</v>
      </c>
    </row>
    <row r="10" spans="1:3" x14ac:dyDescent="0.2">
      <c r="A10" t="s">
        <v>775</v>
      </c>
      <c r="B10" s="240">
        <f>5179796.39+58780+0.01</f>
        <v>5238576.3999999994</v>
      </c>
      <c r="C10" s="240">
        <f>2587893.4+7959.3</f>
        <v>2595852.6999999997</v>
      </c>
    </row>
    <row r="11" spans="1:3" x14ac:dyDescent="0.2">
      <c r="A11" t="s">
        <v>776</v>
      </c>
      <c r="B11" s="240">
        <v>104627.15</v>
      </c>
      <c r="C11" s="240">
        <v>31804.240000000002</v>
      </c>
    </row>
    <row r="12" spans="1:3" x14ac:dyDescent="0.2">
      <c r="A12" t="s">
        <v>777</v>
      </c>
      <c r="B12" s="240">
        <f>131584.43+132573</f>
        <v>264157.43</v>
      </c>
      <c r="C12" s="240">
        <f>17580.24+10141.83+4.84</f>
        <v>27726.91</v>
      </c>
    </row>
    <row r="13" spans="1:3" x14ac:dyDescent="0.2">
      <c r="A13" t="str">
        <f>IF(B9=B13,IF(C9=C13,"Check Total OK","Check Total Error"),"Check Total Error")</f>
        <v>Check Total OK</v>
      </c>
      <c r="B13" s="231">
        <f>SUM(B10:B12)</f>
        <v>5607360.9799999995</v>
      </c>
      <c r="C13" s="231">
        <f>SUM(C10:C12)</f>
        <v>2655383.85</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1971570.87</v>
      </c>
      <c r="C18" s="229">
        <f>'DOE25'!G199+'DOE25'!G217+'DOE25'!G235+'DOE25'!G278+'DOE25'!G297+'DOE25'!G316</f>
        <v>1336350.1199999999</v>
      </c>
    </row>
    <row r="19" spans="1:3" x14ac:dyDescent="0.2">
      <c r="A19" t="s">
        <v>775</v>
      </c>
      <c r="B19" s="240">
        <f>1054371.86+155283.12</f>
        <v>1209654.98</v>
      </c>
      <c r="C19" s="240">
        <f>440830.48+66873.49</f>
        <v>507703.97</v>
      </c>
    </row>
    <row r="20" spans="1:3" x14ac:dyDescent="0.2">
      <c r="A20" t="s">
        <v>776</v>
      </c>
      <c r="B20" s="240">
        <v>761695.89</v>
      </c>
      <c r="C20" s="240">
        <v>772510.43</v>
      </c>
    </row>
    <row r="21" spans="1:3" x14ac:dyDescent="0.2">
      <c r="A21" t="s">
        <v>777</v>
      </c>
      <c r="B21" s="240">
        <v>220</v>
      </c>
      <c r="C21" s="240">
        <v>56135.72</v>
      </c>
    </row>
    <row r="22" spans="1:3" x14ac:dyDescent="0.2">
      <c r="A22" t="str">
        <f>IF(B18=B22,IF(C18=C22,"Check Total OK","Check Total Error"),"Check Total Error")</f>
        <v>Check Total OK</v>
      </c>
      <c r="B22" s="231">
        <f>SUM(B19:B21)</f>
        <v>1971570.87</v>
      </c>
      <c r="C22" s="231">
        <f>SUM(C19:C21)</f>
        <v>1336350.1199999999</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268690.88</v>
      </c>
      <c r="C36" s="235">
        <f>'DOE25'!G201+'DOE25'!G219+'DOE25'!G237+'DOE25'!G280+'DOE25'!G299+'DOE25'!G318</f>
        <v>50967.53</v>
      </c>
    </row>
    <row r="37" spans="1:3" x14ac:dyDescent="0.2">
      <c r="A37" t="s">
        <v>775</v>
      </c>
      <c r="B37" s="240">
        <v>93847.15</v>
      </c>
      <c r="C37" s="240">
        <v>21420.48</v>
      </c>
    </row>
    <row r="38" spans="1:3" x14ac:dyDescent="0.2">
      <c r="A38" t="s">
        <v>776</v>
      </c>
      <c r="B38" s="240">
        <f>12662+29286.76</f>
        <v>41948.759999999995</v>
      </c>
      <c r="C38" s="240">
        <f>968.43+4688.13</f>
        <v>5656.56</v>
      </c>
    </row>
    <row r="39" spans="1:3" x14ac:dyDescent="0.2">
      <c r="A39" t="s">
        <v>777</v>
      </c>
      <c r="B39" s="240">
        <f>59053.25+73841.72</f>
        <v>132894.97</v>
      </c>
      <c r="C39" s="240">
        <f>6903.63+16986.86</f>
        <v>23890.49</v>
      </c>
    </row>
    <row r="40" spans="1:3" x14ac:dyDescent="0.2">
      <c r="A40" t="str">
        <f>IF(B36=B40,IF(C36=C40,"Check Total OK","Check Total Error"),"Check Total Error")</f>
        <v>Check Total OK</v>
      </c>
      <c r="B40" s="231">
        <f>SUM(B37:B39)</f>
        <v>268690.88</v>
      </c>
      <c r="C40" s="231">
        <f>SUM(C37:C39)</f>
        <v>50967.53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Raymond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15112051.85</v>
      </c>
      <c r="D5" s="20">
        <f>SUM('DOE25'!L198:L201)+SUM('DOE25'!L216:L219)+SUM('DOE25'!L234:L237)-F5-G5-H5</f>
        <v>15027375.09</v>
      </c>
      <c r="E5" s="243"/>
      <c r="F5" s="244">
        <v>0</v>
      </c>
      <c r="G5" s="53">
        <f>SUM('DOE25'!J198:J201)+SUM('DOE25'!J216:J219)+SUM('DOE25'!J234:J237)</f>
        <v>69839</v>
      </c>
      <c r="H5" s="53">
        <f>SUM('DOE25'!K198:K201)+SUM('DOE25'!K216:K219)+SUM('DOE25'!K234:K237)</f>
        <v>14837.76</v>
      </c>
      <c r="I5" s="254"/>
    </row>
    <row r="6" spans="1:9" x14ac:dyDescent="0.2">
      <c r="A6" s="32">
        <v>2100</v>
      </c>
      <c r="B6" t="s">
        <v>796</v>
      </c>
      <c r="C6" s="273">
        <f t="shared" si="0"/>
        <v>1329329.43</v>
      </c>
      <c r="D6" s="20">
        <f>'DOE25'!L203+'DOE25'!L221+'DOE25'!L239-F6-G6-H6</f>
        <v>1185084.79</v>
      </c>
      <c r="E6" s="243"/>
      <c r="F6" s="244">
        <f>72500+71059.16</f>
        <v>143559.16</v>
      </c>
      <c r="G6" s="53">
        <f>'DOE25'!J203+'DOE25'!J221+'DOE25'!J239</f>
        <v>635.48</v>
      </c>
      <c r="H6" s="53">
        <f>'DOE25'!K203+'DOE25'!K221+'DOE25'!K239</f>
        <v>50</v>
      </c>
      <c r="I6" s="254"/>
    </row>
    <row r="7" spans="1:9" x14ac:dyDescent="0.2">
      <c r="A7" s="32">
        <v>2200</v>
      </c>
      <c r="B7" t="s">
        <v>821</v>
      </c>
      <c r="C7" s="273">
        <f t="shared" si="0"/>
        <v>944853.1399999999</v>
      </c>
      <c r="D7" s="20">
        <f>'DOE25'!L204+'DOE25'!L222+'DOE25'!L240-F7-G7-H7</f>
        <v>754894.00999999989</v>
      </c>
      <c r="E7" s="243"/>
      <c r="F7" s="244">
        <v>0</v>
      </c>
      <c r="G7" s="53">
        <f>'DOE25'!J204+'DOE25'!J222+'DOE25'!J240</f>
        <v>189959.13</v>
      </c>
      <c r="H7" s="53">
        <f>'DOE25'!K204+'DOE25'!K222+'DOE25'!K240</f>
        <v>0</v>
      </c>
      <c r="I7" s="254"/>
    </row>
    <row r="8" spans="1:9" x14ac:dyDescent="0.2">
      <c r="A8" s="32">
        <v>2300</v>
      </c>
      <c r="B8" t="s">
        <v>797</v>
      </c>
      <c r="C8" s="273">
        <f t="shared" si="0"/>
        <v>551448.02000000014</v>
      </c>
      <c r="D8" s="243"/>
      <c r="E8" s="20">
        <f>'DOE25'!L205+'DOE25'!L223+'DOE25'!L241-F8-G8-H8-D9-D11</f>
        <v>535500.67000000016</v>
      </c>
      <c r="F8" s="244">
        <v>0</v>
      </c>
      <c r="G8" s="53">
        <f>'DOE25'!J205+'DOE25'!J223+'DOE25'!J241</f>
        <v>0</v>
      </c>
      <c r="H8" s="53">
        <f>'DOE25'!K205+'DOE25'!K223+'DOE25'!K241</f>
        <v>15947.350000000002</v>
      </c>
      <c r="I8" s="254"/>
    </row>
    <row r="9" spans="1:9" ht="14.25" x14ac:dyDescent="0.2">
      <c r="A9" s="32">
        <v>2310</v>
      </c>
      <c r="B9" s="185" t="s">
        <v>888</v>
      </c>
      <c r="C9" s="273">
        <f t="shared" si="0"/>
        <v>28854.29</v>
      </c>
      <c r="D9" s="244">
        <v>28854.29</v>
      </c>
      <c r="E9" s="243"/>
      <c r="F9" s="251"/>
      <c r="G9" s="251"/>
      <c r="H9" s="251"/>
      <c r="I9" s="254"/>
    </row>
    <row r="10" spans="1:9" ht="14.25" x14ac:dyDescent="0.2">
      <c r="A10" s="32">
        <v>2317</v>
      </c>
      <c r="B10" s="185" t="s">
        <v>889</v>
      </c>
      <c r="C10" s="273">
        <f t="shared" si="0"/>
        <v>16850</v>
      </c>
      <c r="D10" s="243"/>
      <c r="E10" s="244">
        <v>16850</v>
      </c>
      <c r="F10" s="251"/>
      <c r="G10" s="251"/>
      <c r="H10" s="251"/>
      <c r="I10" s="254"/>
    </row>
    <row r="11" spans="1:9" ht="14.25" x14ac:dyDescent="0.2">
      <c r="A11" s="32">
        <v>2321</v>
      </c>
      <c r="B11" s="185" t="s">
        <v>890</v>
      </c>
      <c r="C11" s="273">
        <f t="shared" si="0"/>
        <v>364152.5</v>
      </c>
      <c r="D11" s="244">
        <v>364152.5</v>
      </c>
      <c r="E11" s="243"/>
      <c r="F11" s="251"/>
      <c r="G11" s="251"/>
      <c r="H11" s="251"/>
      <c r="I11" s="254"/>
    </row>
    <row r="12" spans="1:9" x14ac:dyDescent="0.2">
      <c r="A12" s="32">
        <v>2400</v>
      </c>
      <c r="B12" t="s">
        <v>711</v>
      </c>
      <c r="C12" s="273">
        <f t="shared" si="0"/>
        <v>1395925.88</v>
      </c>
      <c r="D12" s="20">
        <f>'DOE25'!L206+'DOE25'!L224+'DOE25'!L242-F12-G12-H12</f>
        <v>1382456.88</v>
      </c>
      <c r="E12" s="243"/>
      <c r="F12" s="244">
        <v>0</v>
      </c>
      <c r="G12" s="53">
        <f>'DOE25'!J206+'DOE25'!J224+'DOE25'!J242</f>
        <v>4099</v>
      </c>
      <c r="H12" s="53">
        <f>'DOE25'!K206+'DOE25'!K224+'DOE25'!K242</f>
        <v>9370</v>
      </c>
      <c r="I12" s="254"/>
    </row>
    <row r="13" spans="1:9" x14ac:dyDescent="0.2">
      <c r="A13" s="32">
        <v>2500</v>
      </c>
      <c r="B13" t="s">
        <v>798</v>
      </c>
      <c r="C13" s="273">
        <f t="shared" si="0"/>
        <v>308315.36</v>
      </c>
      <c r="D13" s="243"/>
      <c r="E13" s="20">
        <f>'DOE25'!L207+'DOE25'!L225+'DOE25'!L243-F13-G13-H13</f>
        <v>308115.36</v>
      </c>
      <c r="F13" s="244">
        <v>0</v>
      </c>
      <c r="G13" s="53">
        <f>'DOE25'!J207+'DOE25'!J225+'DOE25'!J243</f>
        <v>0</v>
      </c>
      <c r="H13" s="53">
        <f>'DOE25'!K207+'DOE25'!K225+'DOE25'!K243</f>
        <v>200</v>
      </c>
      <c r="I13" s="254"/>
    </row>
    <row r="14" spans="1:9" x14ac:dyDescent="0.2">
      <c r="A14" s="32">
        <v>2600</v>
      </c>
      <c r="B14" t="s">
        <v>819</v>
      </c>
      <c r="C14" s="273">
        <f t="shared" si="0"/>
        <v>1961654.6400000001</v>
      </c>
      <c r="D14" s="20">
        <f>'DOE25'!L208+'DOE25'!L226+'DOE25'!L244-F14-G14-H14</f>
        <v>1867403.6900000002</v>
      </c>
      <c r="E14" s="243"/>
      <c r="F14" s="244">
        <v>65050</v>
      </c>
      <c r="G14" s="53">
        <f>'DOE25'!J208+'DOE25'!J226+'DOE25'!J244</f>
        <v>29200.949999999997</v>
      </c>
      <c r="H14" s="53">
        <f>'DOE25'!K208+'DOE25'!K226+'DOE25'!K244</f>
        <v>0</v>
      </c>
      <c r="I14" s="254"/>
    </row>
    <row r="15" spans="1:9" x14ac:dyDescent="0.2">
      <c r="A15" s="32">
        <v>2700</v>
      </c>
      <c r="B15" t="s">
        <v>799</v>
      </c>
      <c r="C15" s="273">
        <f t="shared" si="0"/>
        <v>998432.87999999989</v>
      </c>
      <c r="D15" s="20">
        <f>'DOE25'!L209+'DOE25'!L227+'DOE25'!L245-F15-G15-H15</f>
        <v>52212.84999999986</v>
      </c>
      <c r="E15" s="243"/>
      <c r="F15" s="244">
        <f>421985.81+524234.22</f>
        <v>946220.03</v>
      </c>
      <c r="G15" s="53">
        <f>'DOE25'!J209+'DOE25'!J227+'DOE25'!J245</f>
        <v>0</v>
      </c>
      <c r="H15" s="53">
        <f>'DOE25'!K209+'DOE25'!K227+'DOE25'!K245</f>
        <v>0</v>
      </c>
      <c r="I15" s="254"/>
    </row>
    <row r="16" spans="1:9" x14ac:dyDescent="0.2">
      <c r="A16" s="32">
        <v>2800</v>
      </c>
      <c r="B16" t="s">
        <v>800</v>
      </c>
      <c r="C16" s="273">
        <f t="shared" si="0"/>
        <v>2704.7599999999998</v>
      </c>
      <c r="D16" s="243"/>
      <c r="E16" s="20">
        <f>'DOE25'!L210+'DOE25'!L228+'DOE25'!L246-F16-G16-H16</f>
        <v>2704.7599999999998</v>
      </c>
      <c r="F16" s="244">
        <v>0</v>
      </c>
      <c r="G16" s="53">
        <f>'DOE25'!J210+'DOE25'!J228+'DOE25'!J246</f>
        <v>0</v>
      </c>
      <c r="H16" s="53">
        <f>'DOE25'!K210+'DOE25'!K228+'DOE25'!K246</f>
        <v>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28901.13</v>
      </c>
      <c r="D18" s="20">
        <f>'DOE25'!L253-F18-G18-H18</f>
        <v>28901.13</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12250</v>
      </c>
      <c r="D22" s="243"/>
      <c r="E22" s="243"/>
      <c r="F22" s="243"/>
      <c r="G22" s="53">
        <f>'DOE25'!L256+'DOE25'!L337</f>
        <v>12250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1087660</v>
      </c>
      <c r="D25" s="243"/>
      <c r="E25" s="243"/>
      <c r="F25" s="253"/>
      <c r="G25" s="251"/>
      <c r="H25" s="251"/>
      <c r="I25" s="252">
        <f>'DOE25'!L261+'DOE25'!L262+'DOE25'!L342+'DOE25'!L343</f>
        <v>1087660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424840.9</v>
      </c>
      <c r="D29" s="281">
        <f>'DOE25'!L359+'DOE25'!L360+'DOE25'!L361-'DOE25'!I368-F29-G29-H29</f>
        <v>413117.35000000003</v>
      </c>
      <c r="E29" s="243"/>
      <c r="F29" s="244">
        <v>0</v>
      </c>
      <c r="G29" s="53">
        <f>'DOE25'!J359+'DOE25'!J360+'DOE25'!J361</f>
        <v>11007.57</v>
      </c>
      <c r="H29" s="53">
        <f>'DOE25'!K359+'DOE25'!K360+'DOE25'!K361</f>
        <v>715.98</v>
      </c>
      <c r="I29" s="254"/>
    </row>
    <row r="30" spans="1:9" x14ac:dyDescent="0.2">
      <c r="A30" s="32"/>
      <c r="C30" s="274"/>
      <c r="D30" s="20"/>
      <c r="E30" s="278"/>
      <c r="F30" s="268"/>
      <c r="G30" s="53"/>
      <c r="H30" s="53"/>
      <c r="I30" s="254"/>
    </row>
    <row r="31" spans="1:9" x14ac:dyDescent="0.2">
      <c r="A31" s="32" t="s">
        <v>818</v>
      </c>
      <c r="B31" t="s">
        <v>817</v>
      </c>
      <c r="C31" s="273">
        <f>SUM(D31:I31)</f>
        <v>1918477.12</v>
      </c>
      <c r="D31" s="20">
        <f>'DOE25'!L291+'DOE25'!L310+'DOE25'!L329+'DOE25'!L334+'DOE25'!L335+'DOE25'!L336-F31-G31-H31</f>
        <v>1352049.23</v>
      </c>
      <c r="E31" s="243"/>
      <c r="F31" s="244">
        <f>75600+37999.98</f>
        <v>113599.98000000001</v>
      </c>
      <c r="G31" s="53">
        <f>'DOE25'!J291+'DOE25'!J310+'DOE25'!J329+'DOE25'!J334+'DOE25'!J335+'DOE25'!J336</f>
        <v>452827.91000000003</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22456501.810000002</v>
      </c>
      <c r="E33" s="245">
        <f t="shared" si="1"/>
        <v>863170.79000000015</v>
      </c>
      <c r="F33" s="245">
        <f t="shared" si="1"/>
        <v>1268429.17</v>
      </c>
      <c r="G33" s="245">
        <f t="shared" si="1"/>
        <v>769819.04</v>
      </c>
      <c r="H33" s="245">
        <f t="shared" si="1"/>
        <v>41121.090000000004</v>
      </c>
      <c r="I33" s="245">
        <f t="shared" si="1"/>
        <v>1087660</v>
      </c>
    </row>
    <row r="35" spans="1:9" ht="12" thickBot="1" x14ac:dyDescent="0.25">
      <c r="B35" s="249" t="s">
        <v>831</v>
      </c>
      <c r="D35" s="250">
        <f>E33</f>
        <v>863170.79000000015</v>
      </c>
      <c r="E35" s="246"/>
      <c r="F35" s="333" t="s">
        <v>1632</v>
      </c>
      <c r="G35" s="334"/>
      <c r="H35" s="334"/>
      <c r="I35" s="334"/>
    </row>
    <row r="36" spans="1:9" ht="12" thickTop="1" x14ac:dyDescent="0.2">
      <c r="B36" t="s">
        <v>810</v>
      </c>
      <c r="D36" s="20">
        <f>D33</f>
        <v>22456501.810000002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Raymond School District</v>
      </c>
      <c r="B2" s="126">
        <f>'DOE25'!B2</f>
        <v>453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7967692.4200000009</v>
      </c>
      <c r="G4" s="300">
        <f>'DOE25'!L212+'DOE25'!L291</f>
        <v>7967692.4200000009</v>
      </c>
      <c r="H4" s="353">
        <f>F4-G4</f>
        <v>0</v>
      </c>
      <c r="I4" s="371" t="str">
        <f>IF(H4=0,"","ISSUES!! Please review page 7 and 11 totals in comparison with total on this page")</f>
        <v/>
      </c>
      <c r="N4"/>
    </row>
    <row r="5" spans="1:18" x14ac:dyDescent="0.2">
      <c r="A5" s="21" t="s">
        <v>1376</v>
      </c>
      <c r="B5" s="301">
        <f>IFERROR(VLOOKUP(A5,'School Tables'!$C$3:$D$365,2,FALSE),"")</f>
        <v>21385</v>
      </c>
      <c r="C5" s="294" t="str">
        <f>IFERROR(INDEX('School Tables'!$B$3:$B$365,MATCH('School Level Expenditures'!B5,'School Tables'!$D$3:$D$365,0)),"")</f>
        <v>Raymond</v>
      </c>
      <c r="D5" s="291">
        <f>7248282.36-D6</f>
        <v>6757585.5800000001</v>
      </c>
      <c r="E5" s="291">
        <v>719410.06</v>
      </c>
      <c r="F5" s="304">
        <f>D5+E5</f>
        <v>7476995.6400000006</v>
      </c>
      <c r="G5" s="294"/>
      <c r="H5" s="294"/>
      <c r="I5" s="372"/>
      <c r="N5"/>
    </row>
    <row r="6" spans="1:18" x14ac:dyDescent="0.2">
      <c r="A6" s="21" t="s">
        <v>1555</v>
      </c>
      <c r="B6" s="301">
        <f>IFERROR(VLOOKUP(A6,'School Tables'!$C$3:$D$365,2,FALSE),"")</f>
        <v>99999</v>
      </c>
      <c r="C6" s="294" t="str">
        <f>IFERROR(INDEX('School Tables'!$B$3:$B$365,MATCH('School Level Expenditures'!B6,'School Tables'!$D$3:$D$365,0)),"")</f>
        <v>Other District Expenditures</v>
      </c>
      <c r="D6" s="291">
        <f>660+5402.25+21200+39499.99+423934.54</f>
        <v>490696.77999999997</v>
      </c>
      <c r="E6" s="291"/>
      <c r="F6" s="304">
        <f t="shared" ref="F6:F20" si="0">D6+E6</f>
        <v>490696.77999999997</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7248282.3600000003</v>
      </c>
      <c r="E21" s="351">
        <f>SUM(E5:E20)</f>
        <v>719410.06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8664465.129999999</v>
      </c>
      <c r="G24" s="300">
        <f>'DOE25'!L230+'DOE25'!L310</f>
        <v>8664465.129999999</v>
      </c>
      <c r="H24" s="353">
        <f>F24-G24</f>
        <v>0</v>
      </c>
      <c r="I24" s="371" t="str">
        <f>IF(H24=0,"","ISSUES!! Please review page 8 and 12 totals in comparison with total on this page")</f>
        <v/>
      </c>
      <c r="N24"/>
    </row>
    <row r="25" spans="1:14" x14ac:dyDescent="0.2">
      <c r="A25" s="21" t="s">
        <v>1378</v>
      </c>
      <c r="B25" s="301">
        <f>IFERROR(VLOOKUP(A25,'School Tables'!$I$3:$J$80,2,FALSE),"")</f>
        <v>26525</v>
      </c>
      <c r="C25" s="294" t="str">
        <f t="array" ref="C25">IFERROR(INDEX('School Tables'!$H$3:$H$80,MATCH('School Level Expenditures'!B25,'School Tables'!$J$3:$J$80,0)),"")</f>
        <v>Raymond</v>
      </c>
      <c r="D25" s="291">
        <f>8007305.42-D26</f>
        <v>7635762.5199999996</v>
      </c>
      <c r="E25" s="291">
        <v>657159.71</v>
      </c>
      <c r="F25" s="304">
        <f>D25+E25</f>
        <v>8292922.2299999995</v>
      </c>
      <c r="G25" s="294"/>
      <c r="H25" s="294"/>
      <c r="I25" s="372"/>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f>7805.68+363737.22</f>
        <v>371542.89999999997</v>
      </c>
      <c r="E26" s="291"/>
      <c r="F26" s="304">
        <f t="shared" ref="F26:F32" si="1">D26+E26</f>
        <v>371542.89999999997</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8007305.4199999999</v>
      </c>
      <c r="E33" s="351">
        <f>SUM(E25:E32)</f>
        <v>657159.71</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8284042.3199999994</v>
      </c>
      <c r="G36" s="300">
        <f>'DOE25'!L248+'DOE25'!L329</f>
        <v>8284042.3199999994</v>
      </c>
      <c r="H36" s="353">
        <f>F36-G36</f>
        <v>0</v>
      </c>
      <c r="I36" s="371" t="str">
        <f>IF(H36=0,"","ISSUES!! Please review page 9 and 13 totals in comparison with total on this page")</f>
        <v/>
      </c>
      <c r="N36"/>
    </row>
    <row r="37" spans="1:14" x14ac:dyDescent="0.2">
      <c r="A37" s="21" t="s">
        <v>1377</v>
      </c>
      <c r="B37" s="301">
        <f>IFERROR(VLOOKUP(A37,'School Tables'!$O$3:$P$118,2,FALSE),"")</f>
        <v>21390</v>
      </c>
      <c r="C37" s="294" t="str">
        <f t="array" ref="C37">IFERROR(INDEX('School Tables'!$N$3:$N$118,MATCH('School Level Expenditures'!B37,'School Tables'!$P$3:$P$118,0)),"")</f>
        <v>Raymond</v>
      </c>
      <c r="D37" s="291">
        <f>7742134.97-D38</f>
        <v>7039628.75</v>
      </c>
      <c r="E37" s="291">
        <v>541907.35</v>
      </c>
      <c r="F37" s="304">
        <f t="shared" ref="F37:F42" si="2">D37+E37</f>
        <v>7581536.0999999996</v>
      </c>
      <c r="G37" s="294"/>
      <c r="H37" s="294"/>
      <c r="I37" s="372"/>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f>28470+79678.96+594357.26</f>
        <v>702506.22</v>
      </c>
      <c r="E38" s="291"/>
      <c r="F38" s="304">
        <f t="shared" si="2"/>
        <v>702506.22</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7742134.9699999997</v>
      </c>
      <c r="E43" s="352">
        <f>SUM(E37:E42)</f>
        <v>541907.35</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Raymond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1267352.82</v>
      </c>
      <c r="D8" s="95">
        <f>'DOE25'!G9</f>
        <v>100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1586869.97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546766.24</v>
      </c>
      <c r="D11" s="95">
        <f>'DOE25'!G12</f>
        <v>0</v>
      </c>
      <c r="E11" s="95">
        <f>'DOE25'!H12</f>
        <v>0</v>
      </c>
      <c r="F11" s="95">
        <f>'DOE25'!I12</f>
        <v>0</v>
      </c>
      <c r="G11" s="95">
        <f>'DOE25'!J12</f>
        <v>0</v>
      </c>
      <c r="H11" s="124"/>
      <c r="I11" s="124"/>
    </row>
    <row r="12" spans="1:9" x14ac:dyDescent="0.2">
      <c r="A12" s="1" t="s">
        <v>143</v>
      </c>
      <c r="B12" s="6">
        <v>140</v>
      </c>
      <c r="C12" s="95">
        <f>'DOE25'!F13</f>
        <v>112367.86</v>
      </c>
      <c r="D12" s="95">
        <f>'DOE25'!G13</f>
        <v>80715.86</v>
      </c>
      <c r="E12" s="95">
        <f>'DOE25'!H13</f>
        <v>480636.92</v>
      </c>
      <c r="F12" s="95">
        <f>'DOE25'!I13</f>
        <v>0</v>
      </c>
      <c r="G12" s="95">
        <f>'DOE25'!J13</f>
        <v>0</v>
      </c>
      <c r="H12" s="124"/>
      <c r="I12" s="124"/>
    </row>
    <row r="13" spans="1:9" x14ac:dyDescent="0.2">
      <c r="A13" s="1" t="s">
        <v>144</v>
      </c>
      <c r="B13" s="6">
        <v>150</v>
      </c>
      <c r="C13" s="95">
        <f>'DOE25'!F14</f>
        <v>135539.01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2062025.9300000002</v>
      </c>
      <c r="D18" s="41">
        <f>SUM(D8:D17)</f>
        <v>80815.86</v>
      </c>
      <c r="E18" s="41">
        <f>SUM(E8:E17)</f>
        <v>480636.92</v>
      </c>
      <c r="F18" s="41">
        <f>SUM(F8:F17)</f>
        <v>0</v>
      </c>
      <c r="G18" s="41">
        <f>SUM(G8:G17)</f>
        <v>1586869.97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421.65</v>
      </c>
      <c r="D21" s="95">
        <f>'DOE25'!G22</f>
        <v>0</v>
      </c>
      <c r="E21" s="95">
        <f>'DOE25'!H22</f>
        <v>480115.353</v>
      </c>
      <c r="F21" s="95">
        <f>'DOE25'!I22</f>
        <v>0</v>
      </c>
      <c r="G21" s="95">
        <f>'DOE25'!J22</f>
        <v>0</v>
      </c>
      <c r="H21" s="124"/>
      <c r="I21" s="124"/>
    </row>
    <row r="22" spans="1:9" x14ac:dyDescent="0.2">
      <c r="A22" s="1" t="s">
        <v>151</v>
      </c>
      <c r="B22" s="6">
        <v>410</v>
      </c>
      <c r="C22" s="95">
        <f>'DOE25'!F23</f>
        <v>130997</v>
      </c>
      <c r="D22" s="95">
        <f>'DOE25'!G23</f>
        <v>0</v>
      </c>
      <c r="E22" s="95">
        <f>'DOE25'!H23</f>
        <v>0</v>
      </c>
      <c r="F22" s="95">
        <f>'DOE25'!I23</f>
        <v>0</v>
      </c>
      <c r="G22" s="95">
        <f>'DOE25'!J23</f>
        <v>0</v>
      </c>
      <c r="H22" s="124"/>
      <c r="I22" s="124"/>
    </row>
    <row r="23" spans="1:9" x14ac:dyDescent="0.2">
      <c r="A23" s="1" t="s">
        <v>152</v>
      </c>
      <c r="B23" s="6">
        <v>420</v>
      </c>
      <c r="C23" s="95">
        <f>'DOE25'!F24</f>
        <v>173464.17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147231.79999999999</v>
      </c>
      <c r="D27" s="95">
        <f>'DOE25'!G28</f>
        <v>0</v>
      </c>
      <c r="E27" s="95">
        <f>'DOE25'!H28</f>
        <v>521.57000000000005</v>
      </c>
      <c r="F27" s="95">
        <f>'DOE25'!I28</f>
        <v>0</v>
      </c>
      <c r="G27" s="24" t="s">
        <v>288</v>
      </c>
      <c r="H27" s="124"/>
      <c r="I27" s="124"/>
    </row>
    <row r="28" spans="1:9" x14ac:dyDescent="0.2">
      <c r="A28" s="1" t="s">
        <v>157</v>
      </c>
      <c r="B28" s="6">
        <v>470</v>
      </c>
      <c r="C28" s="95">
        <f>'DOE25'!F29</f>
        <v>358592.44</v>
      </c>
      <c r="D28" s="95">
        <f>'DOE25'!G29</f>
        <v>0</v>
      </c>
      <c r="E28" s="95">
        <f>'DOE25'!H29</f>
        <v>0</v>
      </c>
      <c r="F28" s="95">
        <f>'DOE25'!I29</f>
        <v>0</v>
      </c>
      <c r="G28" s="24" t="s">
        <v>288</v>
      </c>
      <c r="H28" s="124"/>
      <c r="I28" s="124"/>
    </row>
    <row r="29" spans="1:9" x14ac:dyDescent="0.2">
      <c r="A29" s="1" t="s">
        <v>158</v>
      </c>
      <c r="B29" s="6">
        <v>480</v>
      </c>
      <c r="C29" s="95">
        <f>'DOE25'!F30</f>
        <v>77997.11</v>
      </c>
      <c r="D29" s="95">
        <f>'DOE25'!G30</f>
        <v>80815.86</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888704.17</v>
      </c>
      <c r="D31" s="41">
        <f>SUM(D21:D30)</f>
        <v>80815.86</v>
      </c>
      <c r="E31" s="41">
        <f>SUM(E21:E30)</f>
        <v>480636.92300000001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448143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1586869.97</v>
      </c>
      <c r="H47" s="124"/>
      <c r="I47" s="124"/>
    </row>
    <row r="48" spans="1:9" x14ac:dyDescent="0.2">
      <c r="A48" s="1" t="s">
        <v>882</v>
      </c>
      <c r="B48" s="6">
        <v>753</v>
      </c>
      <c r="C48" s="95">
        <f>'DOE25'!F49</f>
        <v>55722.65</v>
      </c>
      <c r="D48" s="95">
        <f>'DOE25'!G49</f>
        <v>0</v>
      </c>
      <c r="E48" s="95">
        <f>'DOE25'!H49</f>
        <v>0</v>
      </c>
      <c r="F48" s="95">
        <f>'DOE25'!I49</f>
        <v>0</v>
      </c>
      <c r="G48" s="95">
        <f>'DOE25'!J49</f>
        <v>0</v>
      </c>
      <c r="H48" s="124"/>
      <c r="I48" s="124"/>
    </row>
    <row r="49" spans="1:9" ht="12" thickBot="1" x14ac:dyDescent="0.25">
      <c r="A49" s="29" t="s">
        <v>883</v>
      </c>
      <c r="B49" s="71">
        <v>770</v>
      </c>
      <c r="C49" s="95">
        <f>'DOE25'!F50</f>
        <v>594456.11</v>
      </c>
      <c r="D49" s="24" t="s">
        <v>288</v>
      </c>
      <c r="E49" s="24" t="s">
        <v>288</v>
      </c>
      <c r="F49" s="24" t="s">
        <v>288</v>
      </c>
      <c r="G49" s="24" t="s">
        <v>288</v>
      </c>
      <c r="H49" s="124"/>
      <c r="I49" s="124"/>
    </row>
    <row r="50" spans="1:9" ht="12.75" thickTop="1" thickBot="1" x14ac:dyDescent="0.25">
      <c r="A50" s="38" t="s">
        <v>884</v>
      </c>
      <c r="B50" s="48"/>
      <c r="C50" s="41">
        <f>SUM(C34:C49)</f>
        <v>1173321.76</v>
      </c>
      <c r="D50" s="41">
        <f>SUM(D34:D49)</f>
        <v>0</v>
      </c>
      <c r="E50" s="41">
        <f>SUM(E34:E49)</f>
        <v>0</v>
      </c>
      <c r="F50" s="41">
        <f>SUM(F34:F49)</f>
        <v>0</v>
      </c>
      <c r="G50" s="41">
        <f>SUM(G34:G49)</f>
        <v>1586869.97</v>
      </c>
      <c r="H50" s="124"/>
      <c r="I50" s="124"/>
    </row>
    <row r="51" spans="1:9" ht="12" thickTop="1" x14ac:dyDescent="0.2">
      <c r="A51" s="38" t="s">
        <v>885</v>
      </c>
      <c r="B51" s="2"/>
      <c r="C51" s="41">
        <f>C50+C31</f>
        <v>2062025.9300000002</v>
      </c>
      <c r="D51" s="41">
        <f>D50+D31</f>
        <v>80815.86</v>
      </c>
      <c r="E51" s="41">
        <f>E50+E31</f>
        <v>480636.92300000001</v>
      </c>
      <c r="F51" s="41">
        <f>F50+F31</f>
        <v>0</v>
      </c>
      <c r="G51" s="41">
        <f>G50+G31</f>
        <v>1586869.97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15912322</v>
      </c>
      <c r="D56" s="95">
        <f>'DOE25'!G60</f>
        <v>0</v>
      </c>
      <c r="E56" s="95">
        <f>'DOE25'!H60</f>
        <v>0</v>
      </c>
      <c r="F56" s="95">
        <f>'DOE25'!I60</f>
        <v>0</v>
      </c>
      <c r="G56" s="95">
        <f>'DOE25'!J60</f>
        <v>0</v>
      </c>
      <c r="H56"/>
      <c r="I56"/>
    </row>
    <row r="57" spans="1:9" x14ac:dyDescent="0.2">
      <c r="A57" s="1" t="s">
        <v>164</v>
      </c>
      <c r="B57" s="6" t="s">
        <v>165</v>
      </c>
      <c r="C57" s="95">
        <f>'DOE25'!F79</f>
        <v>59023.15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223.73</v>
      </c>
      <c r="D59" s="95">
        <f>'DOE25'!G96</f>
        <v>0</v>
      </c>
      <c r="E59" s="95">
        <f>'DOE25'!H96</f>
        <v>0</v>
      </c>
      <c r="F59" s="95">
        <f>'DOE25'!I96</f>
        <v>0</v>
      </c>
      <c r="G59" s="95">
        <f>'DOE25'!J96</f>
        <v>86884.39</v>
      </c>
      <c r="H59"/>
      <c r="I59"/>
    </row>
    <row r="60" spans="1:9" x14ac:dyDescent="0.2">
      <c r="A60" s="1" t="s">
        <v>170</v>
      </c>
      <c r="B60" s="118" t="s">
        <v>171</v>
      </c>
      <c r="C60" s="24" t="s">
        <v>288</v>
      </c>
      <c r="D60" s="95">
        <f>'DOE25'!G97</f>
        <v>20708.34</v>
      </c>
      <c r="E60" s="24" t="s">
        <v>288</v>
      </c>
      <c r="F60" s="24" t="s">
        <v>288</v>
      </c>
      <c r="G60" s="24" t="s">
        <v>288</v>
      </c>
      <c r="H60"/>
      <c r="I60"/>
    </row>
    <row r="61" spans="1:9" ht="12" thickBot="1" x14ac:dyDescent="0.25">
      <c r="A61" s="1" t="s">
        <v>172</v>
      </c>
      <c r="B61" s="118" t="s">
        <v>173</v>
      </c>
      <c r="C61" s="95">
        <f>SUM('DOE25'!F98:F110)</f>
        <v>455344.19999999995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514591.07999999996</v>
      </c>
      <c r="D62" s="130">
        <f>SUM(D57:D61)</f>
        <v>20708.34</v>
      </c>
      <c r="E62" s="130">
        <f>SUM(E57:E61)</f>
        <v>0</v>
      </c>
      <c r="F62" s="130">
        <f>SUM(F57:F61)</f>
        <v>0</v>
      </c>
      <c r="G62" s="130">
        <f>SUM(G57:G61)</f>
        <v>86884.39</v>
      </c>
      <c r="H62"/>
      <c r="I62"/>
    </row>
    <row r="63" spans="1:9" ht="12" thickTop="1" x14ac:dyDescent="0.2">
      <c r="A63" s="29" t="s">
        <v>175</v>
      </c>
      <c r="B63" s="6"/>
      <c r="C63" s="22">
        <f>C56+C62</f>
        <v>16426913.08</v>
      </c>
      <c r="D63" s="22">
        <f>D56+D62</f>
        <v>20708.34</v>
      </c>
      <c r="E63" s="22">
        <f>E56+E62</f>
        <v>0</v>
      </c>
      <c r="F63" s="22">
        <f>F56+F62</f>
        <v>0</v>
      </c>
      <c r="G63" s="22">
        <f>G56+G62</f>
        <v>86884.39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5407574.1699999999</v>
      </c>
      <c r="D66" s="24" t="s">
        <v>288</v>
      </c>
      <c r="E66" s="24" t="s">
        <v>288</v>
      </c>
      <c r="F66" s="24" t="s">
        <v>288</v>
      </c>
      <c r="G66" s="24" t="s">
        <v>288</v>
      </c>
      <c r="H66"/>
      <c r="I66"/>
    </row>
    <row r="67" spans="1:9" x14ac:dyDescent="0.2">
      <c r="A67" s="1" t="s">
        <v>770</v>
      </c>
      <c r="B67" s="6">
        <v>3112</v>
      </c>
      <c r="C67" s="95">
        <f>'DOE25'!F118</f>
        <v>2117702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10674.77</v>
      </c>
      <c r="D69" s="95">
        <f>'DOE25'!G120</f>
        <v>0</v>
      </c>
      <c r="E69" s="95">
        <f>'DOE25'!H120</f>
        <v>0</v>
      </c>
      <c r="F69" s="95">
        <f>'DOE25'!I120</f>
        <v>0</v>
      </c>
      <c r="G69" s="95">
        <f>'DOE25'!J120</f>
        <v>0</v>
      </c>
      <c r="H69"/>
      <c r="I69"/>
    </row>
    <row r="70" spans="1:9" ht="12" thickTop="1" x14ac:dyDescent="0.2">
      <c r="A70" s="29" t="s">
        <v>252</v>
      </c>
      <c r="B70" s="2"/>
      <c r="C70" s="139">
        <f>SUM(C66:C69)</f>
        <v>7535950.9399999995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297455.44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231292.17</v>
      </c>
      <c r="D75" s="24" t="s">
        <v>288</v>
      </c>
      <c r="E75" s="24" t="s">
        <v>288</v>
      </c>
      <c r="F75" s="24" t="s">
        <v>288</v>
      </c>
      <c r="G75" s="24" t="s">
        <v>288</v>
      </c>
      <c r="H75"/>
      <c r="I75"/>
    </row>
    <row r="76" spans="1:9" x14ac:dyDescent="0.2">
      <c r="A76" s="1" t="s">
        <v>257</v>
      </c>
      <c r="B76" s="6" t="s">
        <v>179</v>
      </c>
      <c r="C76" s="95">
        <f>SUM('DOE25'!F127:F130)</f>
        <v>15736.06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5944.17</v>
      </c>
      <c r="E77" s="95">
        <f>SUM('DOE25'!H131:H135)</f>
        <v>0</v>
      </c>
      <c r="F77" s="95">
        <f>SUM('DOE25'!I131:I135)</f>
        <v>0</v>
      </c>
      <c r="G77" s="95">
        <f>SUM('DOE25'!J131:J135)</f>
        <v>0</v>
      </c>
      <c r="H77"/>
      <c r="I77"/>
    </row>
    <row r="78" spans="1:9" ht="12.75" thickTop="1" thickBot="1" x14ac:dyDescent="0.25">
      <c r="A78" s="29" t="s">
        <v>259</v>
      </c>
      <c r="B78" s="6"/>
      <c r="C78" s="130">
        <f>SUM(C72:C77)</f>
        <v>544483.67000000004</v>
      </c>
      <c r="D78" s="130">
        <f>SUM(D72:D77)</f>
        <v>5944.17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8080434.6099999994</v>
      </c>
      <c r="D81" s="130">
        <f>SUM(D79:D80)+D78+D70</f>
        <v>5944.17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125900.99</v>
      </c>
      <c r="D88" s="331">
        <f>SUM('DOE25'!G153:G162)</f>
        <v>208884.62</v>
      </c>
      <c r="E88" s="331">
        <f>SUM('DOE25'!H153:H162)</f>
        <v>1943225.3399999999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125900.99</v>
      </c>
      <c r="D91" s="131">
        <f>SUM(D85:D90)</f>
        <v>208884.62</v>
      </c>
      <c r="E91" s="131">
        <f>SUM(E85:E90)</f>
        <v>1943225.3399999999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270797.90999999997</v>
      </c>
      <c r="E96" s="95">
        <f>'DOE25'!H180</f>
        <v>0</v>
      </c>
      <c r="F96" s="95">
        <f>'DOE25'!I180</f>
        <v>0</v>
      </c>
      <c r="G96" s="95">
        <f>'DOE25'!J180</f>
        <v>464073</v>
      </c>
    </row>
    <row r="97" spans="1:7" x14ac:dyDescent="0.2">
      <c r="A97" t="s">
        <v>754</v>
      </c>
      <c r="B97" s="32" t="s">
        <v>188</v>
      </c>
      <c r="C97" s="95">
        <f>SUM('DOE25'!F181:F182)</f>
        <v>24748.22</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24748.22</v>
      </c>
      <c r="D103" s="86">
        <f>SUM(D93:D102)</f>
        <v>270797.90999999997</v>
      </c>
      <c r="E103" s="86">
        <f>SUM(E93:E102)</f>
        <v>0</v>
      </c>
      <c r="F103" s="86">
        <f>SUM(F93:F102)</f>
        <v>0</v>
      </c>
      <c r="G103" s="86">
        <f>SUM(G93:G102)</f>
        <v>464073</v>
      </c>
    </row>
    <row r="104" spans="1:7" ht="12.75" thickTop="1" thickBot="1" x14ac:dyDescent="0.25">
      <c r="A104" s="33" t="s">
        <v>761</v>
      </c>
      <c r="C104" s="86">
        <f>C63+C81+C91+C103</f>
        <v>24657996.899999995</v>
      </c>
      <c r="D104" s="86">
        <f>D63+D81+D91+D103</f>
        <v>506335.04</v>
      </c>
      <c r="E104" s="86">
        <f>E63+E81+E91+E103</f>
        <v>1943225.3399999999</v>
      </c>
      <c r="F104" s="86">
        <f>F63+F81+F91+F103</f>
        <v>0</v>
      </c>
      <c r="G104" s="86">
        <f>G63+G81+G103</f>
        <v>550957.39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8346735</v>
      </c>
      <c r="D109" s="24" t="s">
        <v>288</v>
      </c>
      <c r="E109" s="95">
        <f>('DOE25'!L277)+('DOE25'!L296)+('DOE25'!L315)</f>
        <v>248295.18</v>
      </c>
      <c r="F109" s="24" t="s">
        <v>288</v>
      </c>
      <c r="G109" s="24" t="s">
        <v>288</v>
      </c>
    </row>
    <row r="110" spans="1:7" x14ac:dyDescent="0.2">
      <c r="A110" t="s">
        <v>198</v>
      </c>
      <c r="B110" s="32" t="s">
        <v>199</v>
      </c>
      <c r="C110" s="95">
        <f>('DOE25'!L199)+('DOE25'!L217)+('DOE25'!L235)</f>
        <v>6275142.0899999999</v>
      </c>
      <c r="D110" s="24" t="s">
        <v>288</v>
      </c>
      <c r="E110" s="95">
        <f>('DOE25'!L278)+('DOE25'!L297)+('DOE25'!L316)</f>
        <v>238934.24</v>
      </c>
      <c r="F110" s="24" t="s">
        <v>288</v>
      </c>
      <c r="G110" s="24" t="s">
        <v>288</v>
      </c>
    </row>
    <row r="111" spans="1:7" x14ac:dyDescent="0.2">
      <c r="A111" t="s">
        <v>200</v>
      </c>
      <c r="B111" s="32" t="s">
        <v>165</v>
      </c>
      <c r="C111" s="95">
        <f>('DOE25'!L200)+('DOE25'!L218)+('DOE25'!L236)</f>
        <v>182224</v>
      </c>
      <c r="D111" s="24" t="s">
        <v>288</v>
      </c>
      <c r="E111" s="95">
        <f>('DOE25'!L279)+('DOE25'!L298)+('DOE25'!L317)</f>
        <v>0</v>
      </c>
      <c r="F111" s="24" t="s">
        <v>288</v>
      </c>
      <c r="G111" s="24" t="s">
        <v>288</v>
      </c>
    </row>
    <row r="112" spans="1:7" x14ac:dyDescent="0.2">
      <c r="A112" t="s">
        <v>201</v>
      </c>
      <c r="B112" s="32" t="s">
        <v>167</v>
      </c>
      <c r="C112" s="95">
        <f>('DOE25'!L201)+('DOE25'!L219)+('DOE25'!L237)</f>
        <v>307950.76</v>
      </c>
      <c r="D112" s="24" t="s">
        <v>288</v>
      </c>
      <c r="E112" s="95">
        <f>+('DOE25'!L280)+('DOE25'!L299)+('DOE25'!L318)</f>
        <v>131623.06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28901.13</v>
      </c>
      <c r="D114" s="24" t="s">
        <v>288</v>
      </c>
      <c r="E114" s="95">
        <f>+ SUM('DOE25'!L334:L336)</f>
        <v>0</v>
      </c>
      <c r="F114" s="24" t="s">
        <v>288</v>
      </c>
      <c r="G114" s="24" t="s">
        <v>288</v>
      </c>
    </row>
    <row r="115" spans="1:7" ht="12.75" thickTop="1" thickBot="1" x14ac:dyDescent="0.25">
      <c r="A115" s="33" t="s">
        <v>205</v>
      </c>
      <c r="C115" s="86">
        <f>SUM(C109:C114)</f>
        <v>15140952.98</v>
      </c>
      <c r="D115" s="86">
        <f>SUM(D109:D114)</f>
        <v>0</v>
      </c>
      <c r="E115" s="86">
        <f>SUM(E109:E114)</f>
        <v>618852.48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1329329.43</v>
      </c>
      <c r="D118" s="24" t="s">
        <v>288</v>
      </c>
      <c r="E118" s="95">
        <f>+('DOE25'!L282)+('DOE25'!L301)+('DOE25'!L320)</f>
        <v>606884.33000000007</v>
      </c>
      <c r="F118" s="24" t="s">
        <v>288</v>
      </c>
      <c r="G118" s="24" t="s">
        <v>288</v>
      </c>
    </row>
    <row r="119" spans="1:7" x14ac:dyDescent="0.2">
      <c r="A119" t="s">
        <v>208</v>
      </c>
      <c r="B119" s="32" t="s">
        <v>209</v>
      </c>
      <c r="C119" s="95">
        <f>('DOE25'!L204)+('DOE25'!L222)+('DOE25'!L240)</f>
        <v>944853.1399999999</v>
      </c>
      <c r="D119" s="24" t="s">
        <v>288</v>
      </c>
      <c r="E119" s="95">
        <f>+('DOE25'!L283)+('DOE25'!L302)+('DOE25'!L321)</f>
        <v>532703.94999999995</v>
      </c>
      <c r="F119" s="24" t="s">
        <v>288</v>
      </c>
      <c r="G119" s="24" t="s">
        <v>288</v>
      </c>
    </row>
    <row r="120" spans="1:7" x14ac:dyDescent="0.2">
      <c r="A120" t="s">
        <v>210</v>
      </c>
      <c r="B120" s="32" t="s">
        <v>211</v>
      </c>
      <c r="C120" s="95">
        <f>('DOE25'!L205)+('DOE25'!L223)+('DOE25'!L241)</f>
        <v>944454.81000000017</v>
      </c>
      <c r="D120" s="24" t="s">
        <v>288</v>
      </c>
      <c r="E120" s="95">
        <f>+('DOE25'!L284)+('DOE25'!L303)+('DOE25'!L322)</f>
        <v>0</v>
      </c>
      <c r="F120" s="24" t="s">
        <v>288</v>
      </c>
      <c r="G120" s="24" t="s">
        <v>288</v>
      </c>
    </row>
    <row r="121" spans="1:7" x14ac:dyDescent="0.2">
      <c r="A121" t="s">
        <v>212</v>
      </c>
      <c r="B121" s="32" t="s">
        <v>213</v>
      </c>
      <c r="C121" s="95">
        <f>('DOE25'!L206)+('DOE25'!L224)+('DOE25'!L242)</f>
        <v>1395925.88</v>
      </c>
      <c r="D121" s="24" t="s">
        <v>288</v>
      </c>
      <c r="E121" s="95">
        <f>+('DOE25'!L285)+('DOE25'!L304)+('DOE25'!L323)</f>
        <v>0</v>
      </c>
      <c r="F121" s="24" t="s">
        <v>288</v>
      </c>
      <c r="G121" s="24" t="s">
        <v>288</v>
      </c>
    </row>
    <row r="122" spans="1:7" x14ac:dyDescent="0.2">
      <c r="A122" t="s">
        <v>214</v>
      </c>
      <c r="B122" s="32" t="s">
        <v>215</v>
      </c>
      <c r="C122" s="95">
        <f>('DOE25'!L207)+('DOE25'!L225)+('DOE25'!L243)</f>
        <v>308315.36</v>
      </c>
      <c r="D122" s="24" t="s">
        <v>288</v>
      </c>
      <c r="E122" s="95">
        <f>+('DOE25'!L286)+('DOE25'!L305)+('DOE25'!L324)</f>
        <v>0</v>
      </c>
      <c r="F122" s="24" t="s">
        <v>288</v>
      </c>
      <c r="G122" s="24" t="s">
        <v>288</v>
      </c>
    </row>
    <row r="123" spans="1:7" x14ac:dyDescent="0.2">
      <c r="A123" t="s">
        <v>216</v>
      </c>
      <c r="B123" s="32" t="s">
        <v>217</v>
      </c>
      <c r="C123" s="95">
        <f>('DOE25'!L208)+('DOE25'!L226)+('DOE25'!L244)</f>
        <v>1961654.6400000001</v>
      </c>
      <c r="D123" s="24" t="s">
        <v>288</v>
      </c>
      <c r="E123" s="95">
        <f>+('DOE25'!L287)+('DOE25'!L306)+('DOE25'!L325)</f>
        <v>160036.36000000002</v>
      </c>
      <c r="F123" s="24" t="s">
        <v>288</v>
      </c>
      <c r="G123" s="24" t="s">
        <v>288</v>
      </c>
    </row>
    <row r="124" spans="1:7" x14ac:dyDescent="0.2">
      <c r="A124" t="s">
        <v>218</v>
      </c>
      <c r="B124" s="32" t="s">
        <v>219</v>
      </c>
      <c r="C124" s="95">
        <f>('DOE25'!L209)+('DOE25'!L227)+('DOE25'!L245+'DOE25'!L255)</f>
        <v>998432.87999999989</v>
      </c>
      <c r="D124" s="24" t="s">
        <v>288</v>
      </c>
      <c r="E124" s="95">
        <f>+('DOE25'!L288)+('DOE25'!L307)+('DOE25'!L326)</f>
        <v>0</v>
      </c>
      <c r="F124" s="24" t="s">
        <v>288</v>
      </c>
      <c r="G124" s="24" t="s">
        <v>288</v>
      </c>
    </row>
    <row r="125" spans="1:7" x14ac:dyDescent="0.2">
      <c r="A125" t="s">
        <v>220</v>
      </c>
      <c r="B125" s="32" t="s">
        <v>221</v>
      </c>
      <c r="C125" s="95">
        <f>('DOE25'!L210)+('DOE25'!L228)+('DOE25'!L246)</f>
        <v>2704.7599999999998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506335.04000000004</v>
      </c>
      <c r="E127" s="24" t="s">
        <v>288</v>
      </c>
      <c r="F127" s="24" t="s">
        <v>288</v>
      </c>
      <c r="G127" s="24" t="s">
        <v>288</v>
      </c>
    </row>
    <row r="128" spans="1:7" ht="12.75" thickTop="1" thickBot="1" x14ac:dyDescent="0.25">
      <c r="A128" s="33" t="s">
        <v>226</v>
      </c>
      <c r="C128" s="86">
        <f>SUM(C118:C127)</f>
        <v>7885670.8999999994</v>
      </c>
      <c r="D128" s="86">
        <f>SUM(D118:D127)</f>
        <v>506335.04000000004</v>
      </c>
      <c r="E128" s="86">
        <f>SUM(E118:E127)</f>
        <v>1299624.6400000001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12250</v>
      </c>
      <c r="D130" s="24" t="s">
        <v>288</v>
      </c>
      <c r="E130" s="129">
        <f>'DOE25'!L337</f>
        <v>0</v>
      </c>
      <c r="F130" s="129">
        <f>SUM('DOE25'!L375:'DOE25'!L381)</f>
        <v>0</v>
      </c>
      <c r="G130" s="24" t="s">
        <v>288</v>
      </c>
    </row>
    <row r="131" spans="1:7" x14ac:dyDescent="0.2">
      <c r="A131" t="s">
        <v>229</v>
      </c>
      <c r="B131" s="32">
        <v>5110</v>
      </c>
      <c r="C131" s="95">
        <f>'DOE25'!L261</f>
        <v>623553.48</v>
      </c>
      <c r="D131" s="24" t="s">
        <v>288</v>
      </c>
      <c r="E131" s="129">
        <f>'DOE25'!L342</f>
        <v>0</v>
      </c>
      <c r="F131" s="24" t="s">
        <v>288</v>
      </c>
      <c r="G131" s="24" t="s">
        <v>288</v>
      </c>
    </row>
    <row r="132" spans="1:7" x14ac:dyDescent="0.2">
      <c r="A132" t="s">
        <v>230</v>
      </c>
      <c r="B132" s="32">
        <v>5120</v>
      </c>
      <c r="C132" s="95">
        <f>'DOE25'!L262</f>
        <v>464106.52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24748.22</v>
      </c>
      <c r="F134" s="95">
        <f>'DOE25'!K382</f>
        <v>0</v>
      </c>
      <c r="G134" s="95">
        <f>'DOE25'!K435</f>
        <v>0</v>
      </c>
    </row>
    <row r="135" spans="1:7" x14ac:dyDescent="0.2">
      <c r="A135" t="s">
        <v>233</v>
      </c>
      <c r="B135" s="32" t="s">
        <v>234</v>
      </c>
      <c r="C135" s="95">
        <f>'DOE25'!L264</f>
        <v>270797.90999999997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534689.59000000008</v>
      </c>
      <c r="D139" s="24" t="s">
        <v>288</v>
      </c>
      <c r="E139" s="24" t="s">
        <v>288</v>
      </c>
      <c r="F139" s="24" t="s">
        <v>288</v>
      </c>
      <c r="G139" s="24" t="s">
        <v>288</v>
      </c>
    </row>
    <row r="140" spans="1:7" x14ac:dyDescent="0.2">
      <c r="A140" t="s">
        <v>240</v>
      </c>
      <c r="B140" s="32">
        <v>5253</v>
      </c>
      <c r="C140" s="95">
        <f>'DOE25'!L408</f>
        <v>16267.8</v>
      </c>
      <c r="D140" s="24" t="s">
        <v>288</v>
      </c>
      <c r="E140" s="24" t="s">
        <v>288</v>
      </c>
      <c r="F140" s="24" t="s">
        <v>288</v>
      </c>
      <c r="G140" s="24" t="s">
        <v>288</v>
      </c>
    </row>
    <row r="141" spans="1:7" x14ac:dyDescent="0.2">
      <c r="A141" t="s">
        <v>762</v>
      </c>
      <c r="B141" s="32">
        <v>5254</v>
      </c>
      <c r="C141" s="95">
        <f>('DOE25'!L267+'DOE25'!K348) - (C138+C139+C140)</f>
        <v>-86884.39000000013</v>
      </c>
      <c r="D141" s="24" t="s">
        <v>288</v>
      </c>
      <c r="E141" s="24" t="s">
        <v>288</v>
      </c>
      <c r="F141" s="24" t="s">
        <v>288</v>
      </c>
      <c r="G141" s="24" t="s">
        <v>288</v>
      </c>
    </row>
    <row r="142" spans="1:7" x14ac:dyDescent="0.2">
      <c r="A142" t="s">
        <v>241</v>
      </c>
      <c r="B142" s="32">
        <v>5310</v>
      </c>
      <c r="C142" s="129">
        <f>'DOE25'!L269</f>
        <v>22396.05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1857176.96</v>
      </c>
      <c r="D144" s="141">
        <f>SUM(D130:D143)</f>
        <v>0</v>
      </c>
      <c r="E144" s="141">
        <f>SUM(E130:E143)</f>
        <v>24748.22</v>
      </c>
      <c r="F144" s="141">
        <f>SUM(F130:F143)</f>
        <v>0</v>
      </c>
      <c r="G144" s="141">
        <f>SUM(G130:G143)</f>
        <v>0</v>
      </c>
    </row>
    <row r="145" spans="1:9" ht="12.75" thickTop="1" thickBot="1" x14ac:dyDescent="0.25">
      <c r="A145" s="33" t="s">
        <v>244</v>
      </c>
      <c r="C145" s="86">
        <f>(C115+C128+C144)</f>
        <v>24883800.84</v>
      </c>
      <c r="D145" s="86">
        <f>(D115+D128+D144)</f>
        <v>506335.04000000004</v>
      </c>
      <c r="E145" s="86">
        <f>(E115+E128+E144)</f>
        <v>1943225.34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0</v>
      </c>
      <c r="E151" s="153">
        <f>'DOE25'!I491</f>
        <v>0</v>
      </c>
      <c r="F151" s="153">
        <f>'DOE25'!J491</f>
        <v>0</v>
      </c>
      <c r="G151" s="24" t="s">
        <v>288</v>
      </c>
    </row>
    <row r="152" spans="1:9" x14ac:dyDescent="0.2">
      <c r="A152" s="136" t="s">
        <v>28</v>
      </c>
      <c r="B152" s="152" t="str">
        <f>'DOE25'!F492</f>
        <v>8/05</v>
      </c>
      <c r="C152" s="152" t="str">
        <f>'DOE25'!G492</f>
        <v>8/14</v>
      </c>
      <c r="D152" s="152">
        <f>'DOE25'!H492</f>
        <v>0</v>
      </c>
      <c r="E152" s="152">
        <f>'DOE25'!I492</f>
        <v>0</v>
      </c>
      <c r="F152" s="152">
        <f>'DOE25'!J492</f>
        <v>0</v>
      </c>
      <c r="G152" s="24" t="s">
        <v>288</v>
      </c>
    </row>
    <row r="153" spans="1:9" x14ac:dyDescent="0.2">
      <c r="A153" s="136" t="s">
        <v>29</v>
      </c>
      <c r="B153" s="152" t="str">
        <f>'DOE25'!F493</f>
        <v>8/25</v>
      </c>
      <c r="C153" s="152" t="str">
        <f>'DOE25'!G493</f>
        <v>8/24</v>
      </c>
      <c r="D153" s="152">
        <f>'DOE25'!H493</f>
        <v>0</v>
      </c>
      <c r="E153" s="152">
        <f>'DOE25'!I493</f>
        <v>0</v>
      </c>
      <c r="F153" s="152">
        <f>'DOE25'!J493</f>
        <v>0</v>
      </c>
      <c r="G153" s="24" t="s">
        <v>288</v>
      </c>
    </row>
    <row r="154" spans="1:9" x14ac:dyDescent="0.2">
      <c r="A154" s="136" t="s">
        <v>30</v>
      </c>
      <c r="B154" s="137">
        <f>'DOE25'!F494</f>
        <v>13402490</v>
      </c>
      <c r="C154" s="137">
        <f>'DOE25'!G494</f>
        <v>1060000</v>
      </c>
      <c r="D154" s="137">
        <f>'DOE25'!H494</f>
        <v>0</v>
      </c>
      <c r="E154" s="137">
        <f>'DOE25'!I494</f>
        <v>0</v>
      </c>
      <c r="F154" s="137">
        <f>'DOE25'!J494</f>
        <v>0</v>
      </c>
      <c r="G154" s="24" t="s">
        <v>288</v>
      </c>
    </row>
    <row r="155" spans="1:9" x14ac:dyDescent="0.2">
      <c r="A155" s="136" t="s">
        <v>31</v>
      </c>
      <c r="B155" s="137">
        <f>'DOE25'!F495</f>
        <v>4.12</v>
      </c>
      <c r="C155" s="137">
        <f>'DOE25'!G495</f>
        <v>5.0999999999999996</v>
      </c>
      <c r="D155" s="137">
        <f>'DOE25'!H495</f>
        <v>0</v>
      </c>
      <c r="E155" s="137">
        <f>'DOE25'!I495</f>
        <v>0</v>
      </c>
      <c r="F155" s="137">
        <f>'DOE25'!J495</f>
        <v>0</v>
      </c>
      <c r="G155" s="24" t="s">
        <v>288</v>
      </c>
    </row>
    <row r="156" spans="1:9" x14ac:dyDescent="0.2">
      <c r="A156" s="22" t="s">
        <v>32</v>
      </c>
      <c r="B156" s="137">
        <f>'DOE25'!F496</f>
        <v>2766804.45</v>
      </c>
      <c r="C156" s="137">
        <f>'DOE25'!G496</f>
        <v>525000</v>
      </c>
      <c r="D156" s="137">
        <f>'DOE25'!H496</f>
        <v>0</v>
      </c>
      <c r="E156" s="137">
        <f>'DOE25'!I496</f>
        <v>0</v>
      </c>
      <c r="F156" s="137">
        <f>'DOE25'!J496</f>
        <v>0</v>
      </c>
      <c r="G156" s="138">
        <f>SUM(B156:F156)</f>
        <v>3291804.45</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518553.48</v>
      </c>
      <c r="C158" s="137">
        <f>'DOE25'!G498</f>
        <v>105000</v>
      </c>
      <c r="D158" s="137">
        <f>'DOE25'!H498</f>
        <v>0</v>
      </c>
      <c r="E158" s="137">
        <f>'DOE25'!I498</f>
        <v>0</v>
      </c>
      <c r="F158" s="137">
        <f>'DOE25'!J498</f>
        <v>0</v>
      </c>
      <c r="G158" s="138">
        <f t="shared" si="0"/>
        <v>623553.48</v>
      </c>
    </row>
    <row r="159" spans="1:9" x14ac:dyDescent="0.2">
      <c r="A159" s="22" t="s">
        <v>35</v>
      </c>
      <c r="B159" s="137">
        <f>'DOE25'!F499</f>
        <v>2248250.9700000002</v>
      </c>
      <c r="C159" s="137">
        <f>'DOE25'!G499</f>
        <v>420000</v>
      </c>
      <c r="D159" s="137">
        <f>'DOE25'!H499</f>
        <v>0</v>
      </c>
      <c r="E159" s="137">
        <f>'DOE25'!I499</f>
        <v>0</v>
      </c>
      <c r="F159" s="137">
        <f>'DOE25'!J499</f>
        <v>0</v>
      </c>
      <c r="G159" s="138">
        <f t="shared" si="0"/>
        <v>2668250.9700000002</v>
      </c>
    </row>
    <row r="160" spans="1:9" x14ac:dyDescent="0.2">
      <c r="A160" s="22" t="s">
        <v>36</v>
      </c>
      <c r="B160" s="137">
        <f>'DOE25'!F500</f>
        <v>2634087.7799999998</v>
      </c>
      <c r="C160" s="137">
        <f>'DOE25'!G500</f>
        <v>42840</v>
      </c>
      <c r="D160" s="137">
        <f>'DOE25'!H500</f>
        <v>0</v>
      </c>
      <c r="E160" s="137">
        <f>'DOE25'!I500</f>
        <v>0</v>
      </c>
      <c r="F160" s="137">
        <f>'DOE25'!J500</f>
        <v>0</v>
      </c>
      <c r="G160" s="138">
        <f t="shared" si="0"/>
        <v>2676927.7799999998</v>
      </c>
    </row>
    <row r="161" spans="1:7" x14ac:dyDescent="0.2">
      <c r="A161" s="22" t="s">
        <v>37</v>
      </c>
      <c r="B161" s="137">
        <f>'DOE25'!F501</f>
        <v>4882338.75</v>
      </c>
      <c r="C161" s="137">
        <f>'DOE25'!G501</f>
        <v>462840</v>
      </c>
      <c r="D161" s="137">
        <f>'DOE25'!H501</f>
        <v>0</v>
      </c>
      <c r="E161" s="137">
        <f>'DOE25'!I501</f>
        <v>0</v>
      </c>
      <c r="F161" s="137">
        <f>'DOE25'!J501</f>
        <v>0</v>
      </c>
      <c r="G161" s="138">
        <f t="shared" si="0"/>
        <v>5345178.75</v>
      </c>
    </row>
    <row r="162" spans="1:7" x14ac:dyDescent="0.2">
      <c r="A162" s="22" t="s">
        <v>38</v>
      </c>
      <c r="B162" s="137">
        <f>'DOE25'!F502</f>
        <v>496389.7</v>
      </c>
      <c r="C162" s="137">
        <f>'DOE25'!G502</f>
        <v>105000</v>
      </c>
      <c r="D162" s="137">
        <f>'DOE25'!H502</f>
        <v>0</v>
      </c>
      <c r="E162" s="137">
        <f>'DOE25'!I502</f>
        <v>0</v>
      </c>
      <c r="F162" s="137">
        <f>'DOE25'!J502</f>
        <v>0</v>
      </c>
      <c r="G162" s="138">
        <f t="shared" si="0"/>
        <v>601389.69999999995</v>
      </c>
    </row>
    <row r="163" spans="1:7" x14ac:dyDescent="0.2">
      <c r="A163" s="22" t="s">
        <v>39</v>
      </c>
      <c r="B163" s="137">
        <f>'DOE25'!F503</f>
        <v>462629.05</v>
      </c>
      <c r="C163" s="137">
        <f>'DOE25'!G503</f>
        <v>18742.5</v>
      </c>
      <c r="D163" s="137">
        <f>'DOE25'!H503</f>
        <v>0</v>
      </c>
      <c r="E163" s="137">
        <f>'DOE25'!I503</f>
        <v>0</v>
      </c>
      <c r="F163" s="137">
        <f>'DOE25'!J503</f>
        <v>0</v>
      </c>
      <c r="G163" s="138">
        <f t="shared" si="0"/>
        <v>481371.55</v>
      </c>
    </row>
    <row r="164" spans="1:7" x14ac:dyDescent="0.2">
      <c r="A164" s="22" t="s">
        <v>246</v>
      </c>
      <c r="B164" s="137">
        <f>'DOE25'!F504</f>
        <v>959018.75</v>
      </c>
      <c r="C164" s="137">
        <f>'DOE25'!G504</f>
        <v>123742.5</v>
      </c>
      <c r="D164" s="137">
        <f>'DOE25'!H504</f>
        <v>0</v>
      </c>
      <c r="E164" s="137">
        <f>'DOE25'!I504</f>
        <v>0</v>
      </c>
      <c r="F164" s="137">
        <f>'DOE25'!J504</f>
        <v>0</v>
      </c>
      <c r="G164" s="138">
        <f t="shared" si="0"/>
        <v>1082761.25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Raymond School District</v>
      </c>
    </row>
    <row r="3" spans="1:4" x14ac:dyDescent="0.2">
      <c r="B3" s="188" t="s">
        <v>1666</v>
      </c>
    </row>
    <row r="4" spans="1:4" x14ac:dyDescent="0.2">
      <c r="B4" t="s">
        <v>61</v>
      </c>
      <c r="C4" s="179">
        <f>IF('DOE25'!F666+'DOE25'!F671=0,0,ROUND('DOE25'!F673,0))</f>
        <v>18995</v>
      </c>
    </row>
    <row r="5" spans="1:4" x14ac:dyDescent="0.2">
      <c r="B5" t="s">
        <v>700</v>
      </c>
      <c r="C5" s="179">
        <f>IF('DOE25'!G666+'DOE25'!G671=0,0,ROUND('DOE25'!G673,0))</f>
        <v>17913</v>
      </c>
    </row>
    <row r="6" spans="1:4" x14ac:dyDescent="0.2">
      <c r="B6" t="s">
        <v>62</v>
      </c>
      <c r="C6" s="179">
        <f>IF('DOE25'!H666+'DOE25'!H671=0,0,ROUND('DOE25'!H673,0))</f>
        <v>21325</v>
      </c>
    </row>
    <row r="7" spans="1:4" x14ac:dyDescent="0.2">
      <c r="B7" t="s">
        <v>701</v>
      </c>
      <c r="C7" s="179">
        <f>IF('DOE25'!I666+'DOE25'!I671=0,0,ROUND('DOE25'!I673,0))</f>
        <v>19251</v>
      </c>
    </row>
    <row r="9" spans="1:4" x14ac:dyDescent="0.2">
      <c r="A9" s="187" t="s">
        <v>94</v>
      </c>
      <c r="B9" s="188" t="s">
        <v>1671</v>
      </c>
      <c r="C9" s="181" t="s">
        <v>720</v>
      </c>
      <c r="D9" s="181" t="s">
        <v>721</v>
      </c>
    </row>
    <row r="10" spans="1:4" x14ac:dyDescent="0.2">
      <c r="A10">
        <v>1100</v>
      </c>
      <c r="B10" t="s">
        <v>702</v>
      </c>
      <c r="C10" s="179">
        <f>ROUND('DOE25'!L198+'DOE25'!L216+'DOE25'!L234+'DOE25'!L277+'DOE25'!L296+'DOE25'!L315,0)</f>
        <v>8595030</v>
      </c>
      <c r="D10" s="182">
        <f>ROUND((C10/$C$28)*100,1)</f>
        <v>33.200000000000003</v>
      </c>
    </row>
    <row r="11" spans="1:4" x14ac:dyDescent="0.2">
      <c r="A11">
        <v>1200</v>
      </c>
      <c r="B11" t="s">
        <v>703</v>
      </c>
      <c r="C11" s="179">
        <f>ROUND('DOE25'!L199+'DOE25'!L217+'DOE25'!L235+'DOE25'!L278+'DOE25'!L297+'DOE25'!L316,0)</f>
        <v>6514076</v>
      </c>
      <c r="D11" s="182">
        <f>ROUND((C11/$C$28)*100,1)</f>
        <v>25.1</v>
      </c>
    </row>
    <row r="12" spans="1:4" x14ac:dyDescent="0.2">
      <c r="A12">
        <v>1300</v>
      </c>
      <c r="B12" t="s">
        <v>704</v>
      </c>
      <c r="C12" s="179">
        <f>ROUND('DOE25'!L200+'DOE25'!L218+'DOE25'!L236+'DOE25'!L279+'DOE25'!L298+'DOE25'!L317,0)</f>
        <v>182224</v>
      </c>
      <c r="D12" s="182">
        <f>ROUND((C12/$C$28)*100,1)</f>
        <v>0.7</v>
      </c>
    </row>
    <row r="13" spans="1:4" x14ac:dyDescent="0.2">
      <c r="A13">
        <v>1400</v>
      </c>
      <c r="B13" t="s">
        <v>705</v>
      </c>
      <c r="C13" s="179">
        <f>ROUND('DOE25'!L201+'DOE25'!L219+'DOE25'!L237+'DOE25'!L280+'DOE25'!L299+'DOE25'!L318,0)</f>
        <v>439574</v>
      </c>
      <c r="D13" s="182">
        <f>ROUND((C13/$C$28)*100,1)</f>
        <v>1.7</v>
      </c>
    </row>
    <row r="14" spans="1:4" x14ac:dyDescent="0.2">
      <c r="D14" s="182"/>
    </row>
    <row r="15" spans="1:4" x14ac:dyDescent="0.2">
      <c r="A15">
        <v>2100</v>
      </c>
      <c r="B15" t="s">
        <v>706</v>
      </c>
      <c r="C15" s="179">
        <f>ROUND('DOE25'!L203+'DOE25'!L221+'DOE25'!L239+'DOE25'!L282+'DOE25'!L301+'DOE25'!L320,0)</f>
        <v>1936214</v>
      </c>
      <c r="D15" s="182">
        <f t="shared" ref="D15:D27" si="0">ROUND((C15/$C$28)*100,1)</f>
        <v>7.5</v>
      </c>
    </row>
    <row r="16" spans="1:4" x14ac:dyDescent="0.2">
      <c r="A16">
        <v>2200</v>
      </c>
      <c r="B16" t="s">
        <v>707</v>
      </c>
      <c r="C16" s="179">
        <f>ROUND('DOE25'!L204+'DOE25'!L222+'DOE25'!L240+'DOE25'!L283+'DOE25'!L302+'DOE25'!L321,0)</f>
        <v>1477557</v>
      </c>
      <c r="D16" s="182">
        <f t="shared" si="0"/>
        <v>5.7</v>
      </c>
    </row>
    <row r="17" spans="1:4" x14ac:dyDescent="0.2">
      <c r="A17" s="183" t="s">
        <v>723</v>
      </c>
      <c r="B17" t="s">
        <v>738</v>
      </c>
      <c r="C17" s="179">
        <f>ROUND('DOE25'!L205+'DOE25'!L210+'DOE25'!L223+'DOE25'!L228+'DOE25'!L241+'DOE25'!L246+'DOE25'!L284+'DOE25'!L289+'DOE25'!L303+'DOE25'!L308+'DOE25'!L322+'DOE25'!L327,0)</f>
        <v>947160</v>
      </c>
      <c r="D17" s="182">
        <f t="shared" si="0"/>
        <v>3.7</v>
      </c>
    </row>
    <row r="18" spans="1:4" x14ac:dyDescent="0.2">
      <c r="A18">
        <v>2400</v>
      </c>
      <c r="B18" t="s">
        <v>711</v>
      </c>
      <c r="C18" s="179">
        <f>ROUND('DOE25'!L206+'DOE25'!L224+'DOE25'!L242+'DOE25'!L285+'DOE25'!L304+'DOE25'!L323,0)</f>
        <v>1395926</v>
      </c>
      <c r="D18" s="182">
        <f t="shared" si="0"/>
        <v>5.4</v>
      </c>
    </row>
    <row r="19" spans="1:4" x14ac:dyDescent="0.2">
      <c r="A19">
        <v>2500</v>
      </c>
      <c r="B19" t="s">
        <v>708</v>
      </c>
      <c r="C19" s="179">
        <f>ROUND('DOE25'!L207+'DOE25'!L225+'DOE25'!L243+'DOE25'!L286+'DOE25'!L305+'DOE25'!L324,0)</f>
        <v>308315</v>
      </c>
      <c r="D19" s="182">
        <f t="shared" si="0"/>
        <v>1.2</v>
      </c>
    </row>
    <row r="20" spans="1:4" x14ac:dyDescent="0.2">
      <c r="A20">
        <v>2600</v>
      </c>
      <c r="B20" t="s">
        <v>709</v>
      </c>
      <c r="C20" s="179">
        <f>ROUND('DOE25'!L208+'DOE25'!L226+'DOE25'!L244+'DOE25'!L287+'DOE25'!L306+'DOE25'!L325,0)</f>
        <v>2121691</v>
      </c>
      <c r="D20" s="182">
        <f t="shared" si="0"/>
        <v>8.1999999999999993</v>
      </c>
    </row>
    <row r="21" spans="1:4" x14ac:dyDescent="0.2">
      <c r="A21">
        <v>2700</v>
      </c>
      <c r="B21" t="s">
        <v>710</v>
      </c>
      <c r="C21" s="179">
        <f>ROUND('DOE25'!L209+'DOE25'!L227+'DOE25'!L245+'DOE25'!L288+'DOE25'!L307+'DOE25'!L326,0)</f>
        <v>998433</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28901</v>
      </c>
      <c r="D24" s="182">
        <f t="shared" si="0"/>
        <v>0.1</v>
      </c>
    </row>
    <row r="25" spans="1:4" x14ac:dyDescent="0.2">
      <c r="A25">
        <v>5120</v>
      </c>
      <c r="B25" t="s">
        <v>716</v>
      </c>
      <c r="C25" s="179">
        <f>ROUND('DOE25'!L262+'DOE25'!L343,0)</f>
        <v>464107</v>
      </c>
      <c r="D25" s="182">
        <f t="shared" si="0"/>
        <v>1.8</v>
      </c>
    </row>
    <row r="26" spans="1:4" x14ac:dyDescent="0.2">
      <c r="A26" s="183" t="s">
        <v>717</v>
      </c>
      <c r="B26" t="s">
        <v>718</v>
      </c>
      <c r="C26" s="179">
        <f>'DOE25'!L269+'DOE25'!L270+'DOE25'!L350+'DOE25'!L351</f>
        <v>22396.05</v>
      </c>
      <c r="D26" s="182">
        <f t="shared" si="0"/>
        <v>0.1</v>
      </c>
    </row>
    <row r="27" spans="1:4" x14ac:dyDescent="0.2">
      <c r="A27">
        <v>3100</v>
      </c>
      <c r="B27" t="s">
        <v>11</v>
      </c>
      <c r="C27" s="179">
        <f>ROUND('DOE25'!L363-'DOE25'!L362,0)-SUM('DOE25'!G97:G110)</f>
        <v>485626.66</v>
      </c>
      <c r="D27" s="182">
        <f t="shared" si="0"/>
        <v>1.9</v>
      </c>
    </row>
    <row r="28" spans="1:4" x14ac:dyDescent="0.2">
      <c r="B28" s="187" t="s">
        <v>719</v>
      </c>
      <c r="C28" s="180">
        <f>SUM(C10:C27)</f>
        <v>25917230.710000001</v>
      </c>
      <c r="D28" s="184">
        <f>ROUND(SUM(D10:D27),0)</f>
        <v>100</v>
      </c>
    </row>
    <row r="29" spans="1:4" x14ac:dyDescent="0.2">
      <c r="A29">
        <v>4000</v>
      </c>
      <c r="B29" t="s">
        <v>724</v>
      </c>
      <c r="C29" s="179">
        <f>ROUND('DOE25'!L256+'DOE25'!L337+'DOE25'!L375+'DOE25'!L376+'DOE25'!L377+'DOE25'!L378+'DOE25'!L379+'DOE25'!L380+'DOE25'!L381,0)</f>
        <v>12250</v>
      </c>
    </row>
    <row r="30" spans="1:4" x14ac:dyDescent="0.2">
      <c r="B30" s="187" t="s">
        <v>725</v>
      </c>
      <c r="C30" s="180">
        <f>SUM(C28:C29)</f>
        <v>25929480.710000001</v>
      </c>
    </row>
    <row r="31" spans="1:4" x14ac:dyDescent="0.2">
      <c r="B31" s="33"/>
      <c r="C31" s="180"/>
    </row>
    <row r="32" spans="1:4" x14ac:dyDescent="0.2">
      <c r="A32">
        <v>5100</v>
      </c>
      <c r="B32" s="33" t="s">
        <v>726</v>
      </c>
      <c r="C32" s="180">
        <f>ROUND('DOE25'!L261+'DOE25'!L342,0)</f>
        <v>623553</v>
      </c>
    </row>
    <row r="34" spans="1:4" x14ac:dyDescent="0.2">
      <c r="A34" s="187" t="s">
        <v>94</v>
      </c>
      <c r="B34" s="188" t="s">
        <v>1667</v>
      </c>
      <c r="C34" s="181" t="s">
        <v>720</v>
      </c>
      <c r="D34" s="181" t="s">
        <v>721</v>
      </c>
    </row>
    <row r="35" spans="1:4" x14ac:dyDescent="0.2">
      <c r="A35">
        <v>1100</v>
      </c>
      <c r="B35" s="185" t="s">
        <v>727</v>
      </c>
      <c r="C35" s="179">
        <f>ROUND('DOE25'!F60+'DOE25'!G60+'DOE25'!H60+'DOE25'!I60+'DOE25'!J60,0)</f>
        <v>15912322</v>
      </c>
      <c r="D35" s="182">
        <f t="shared" ref="D35:D40" si="1">ROUND((C35/$C$41)*100,1)</f>
        <v>59.2</v>
      </c>
    </row>
    <row r="36" spans="1:4" x14ac:dyDescent="0.2">
      <c r="B36" s="185" t="s">
        <v>739</v>
      </c>
      <c r="C36" s="179">
        <f>SUM('DOE25'!F112:J112)-SUM('DOE25'!G97:G110)+('DOE25'!F175+'DOE25'!F176+'DOE25'!I175+'DOE25'!I176)-C35</f>
        <v>601475.47000000067</v>
      </c>
      <c r="D36" s="182">
        <f t="shared" si="1"/>
        <v>2.2000000000000002</v>
      </c>
    </row>
    <row r="37" spans="1:4" x14ac:dyDescent="0.2">
      <c r="A37" s="183" t="s">
        <v>835</v>
      </c>
      <c r="B37" s="185" t="s">
        <v>728</v>
      </c>
      <c r="C37" s="179">
        <f>ROUND('DOE25'!F117+'DOE25'!F118,0)</f>
        <v>7525276</v>
      </c>
      <c r="D37" s="182">
        <f t="shared" si="1"/>
        <v>28</v>
      </c>
    </row>
    <row r="38" spans="1:4" x14ac:dyDescent="0.2">
      <c r="A38" s="183" t="s">
        <v>734</v>
      </c>
      <c r="B38" s="185" t="s">
        <v>729</v>
      </c>
      <c r="C38" s="179">
        <f>ROUND(SUM('DOE25'!F140:J140)-SUM('DOE25'!F117:F119),0)</f>
        <v>561103</v>
      </c>
      <c r="D38" s="182">
        <f t="shared" si="1"/>
        <v>2.1</v>
      </c>
    </row>
    <row r="39" spans="1:4" x14ac:dyDescent="0.2">
      <c r="A39">
        <v>4000</v>
      </c>
      <c r="B39" s="185" t="s">
        <v>730</v>
      </c>
      <c r="C39" s="179">
        <f>ROUND('DOE25'!F170+'DOE25'!G170+'DOE25'!H170+'DOE25'!I170,0)</f>
        <v>2278011</v>
      </c>
      <c r="D39" s="182">
        <f t="shared" si="1"/>
        <v>8.5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26878187.469999999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3" sqref="C13:M13"/>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Raymond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3</v>
      </c>
      <c r="B4" s="219">
        <v>24</v>
      </c>
      <c r="C4" s="375" t="s">
        <v>1678</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t="s">
        <v>1679</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v>6</v>
      </c>
      <c r="B7" s="219">
        <v>8</v>
      </c>
      <c r="C7" s="375" t="s">
        <v>1680</v>
      </c>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v>14</v>
      </c>
      <c r="B9" s="219">
        <v>10</v>
      </c>
      <c r="C9" s="375" t="s">
        <v>1681</v>
      </c>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t="s">
        <v>1682</v>
      </c>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t="s">
        <v>1683</v>
      </c>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2021-11-19T15:48:25Z</cp:lastPrinted>
  <dcterms:created xsi:type="dcterms:W3CDTF">1997-12-04T19:04:30Z</dcterms:created>
  <dcterms:modified xsi:type="dcterms:W3CDTF">2021-12-14T19:32:22Z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