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19200" windowHeight="646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D37" i="14" l="1"/>
  <c r="D25" i="14"/>
  <c r="H235" i="1"/>
  <c r="H234" i="1"/>
  <c r="H216" i="1"/>
  <c r="H199" i="1"/>
  <c r="H198" i="1"/>
  <c r="H217" i="1"/>
  <c r="F50" i="1"/>
  <c r="F24" i="1"/>
  <c r="F22" i="1"/>
  <c r="F473" i="1"/>
  <c r="G217" i="1" l="1"/>
  <c r="G235" i="1"/>
  <c r="E26" i="17"/>
  <c r="F15" i="13" l="1"/>
  <c r="F14" i="13"/>
  <c r="D5" i="14" l="1"/>
  <c r="G203" i="1"/>
  <c r="F203" i="1"/>
  <c r="D9" i="13"/>
  <c r="C12" i="12"/>
  <c r="C10" i="12"/>
  <c r="C21" i="12"/>
  <c r="C37" i="12"/>
  <c r="B10" i="12"/>
  <c r="C20" i="12"/>
  <c r="C19" i="12"/>
  <c r="B20" i="12"/>
  <c r="B19" i="12"/>
  <c r="C11" i="12"/>
  <c r="B11" i="12"/>
  <c r="H162" i="1"/>
  <c r="H159" i="1"/>
  <c r="H155" i="1" l="1"/>
  <c r="H110" i="1"/>
  <c r="J522" i="1" l="1"/>
  <c r="I522" i="1"/>
  <c r="H522" i="1"/>
  <c r="G522" i="1"/>
  <c r="F522" i="1"/>
  <c r="H527" i="1" l="1"/>
  <c r="G527" i="1"/>
  <c r="F527" i="1"/>
  <c r="G612" i="1" l="1"/>
  <c r="H605" i="1"/>
  <c r="J208" i="1"/>
  <c r="I208" i="1"/>
  <c r="I205" i="1"/>
  <c r="I204" i="1"/>
  <c r="I203" i="1"/>
  <c r="H245" i="1"/>
  <c r="H227" i="1"/>
  <c r="H209" i="1"/>
  <c r="H208" i="1"/>
  <c r="H205" i="1"/>
  <c r="H203" i="1"/>
  <c r="G198" i="1"/>
  <c r="G205" i="1"/>
  <c r="G204" i="1"/>
  <c r="F205" i="1"/>
  <c r="F204" i="1"/>
  <c r="F12" i="1"/>
  <c r="H282" i="1"/>
  <c r="H12" i="1"/>
  <c r="G22" i="1"/>
  <c r="J469" i="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I121" i="1"/>
  <c r="I136" i="1"/>
  <c r="J121" i="1"/>
  <c r="J136" i="1"/>
  <c r="J140" i="1" s="1"/>
  <c r="F147" i="1"/>
  <c r="F170" i="1" s="1"/>
  <c r="G147" i="1"/>
  <c r="H147" i="1"/>
  <c r="H170" i="1" s="1"/>
  <c r="I147" i="1"/>
  <c r="C13"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3" i="1"/>
  <c r="H653" i="1"/>
  <c r="G654" i="1"/>
  <c r="H654" i="1"/>
  <c r="G655" i="1"/>
  <c r="H655" i="1"/>
  <c r="H656" i="1"/>
  <c r="G62" i="2"/>
  <c r="I170" i="1"/>
  <c r="C110" i="2" l="1"/>
  <c r="G553" i="1"/>
  <c r="J572" i="1"/>
  <c r="J652" i="1"/>
  <c r="E131" i="2"/>
  <c r="D6" i="13"/>
  <c r="C6" i="13" s="1"/>
  <c r="J258" i="1"/>
  <c r="J272" i="1" s="1"/>
  <c r="C125" i="2"/>
  <c r="H663" i="1"/>
  <c r="D15" i="13"/>
  <c r="C15" i="13" s="1"/>
  <c r="E13" i="13"/>
  <c r="C13" i="13" s="1"/>
  <c r="C120" i="2"/>
  <c r="C121" i="2"/>
  <c r="K339" i="1"/>
  <c r="K353" i="1" s="1"/>
  <c r="E125" i="2"/>
  <c r="E121" i="2"/>
  <c r="E120" i="2"/>
  <c r="E112" i="2"/>
  <c r="C12" i="10"/>
  <c r="E119" i="2"/>
  <c r="G339" i="1"/>
  <c r="G353" i="1" s="1"/>
  <c r="E124" i="2"/>
  <c r="E123" i="2"/>
  <c r="A40" i="12"/>
  <c r="E110" i="2"/>
  <c r="H477" i="1"/>
  <c r="H625" i="1" s="1"/>
  <c r="J625" i="1" s="1"/>
  <c r="H140" i="1"/>
  <c r="G662" i="1"/>
  <c r="D50" i="2"/>
  <c r="F409" i="1"/>
  <c r="H644" i="1" s="1"/>
  <c r="I409" i="1"/>
  <c r="H409" i="1"/>
  <c r="H645" i="1" s="1"/>
  <c r="J645" i="1" s="1"/>
  <c r="G409" i="1"/>
  <c r="H646" i="1" s="1"/>
  <c r="J646" i="1" s="1"/>
  <c r="J656" i="1"/>
  <c r="G646"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L572" i="1" l="1"/>
  <c r="I663" i="1"/>
  <c r="H661" i="1"/>
  <c r="H665" i="1" s="1"/>
  <c r="H668" i="1" s="1"/>
  <c r="C81" i="2"/>
  <c r="F194" i="1"/>
  <c r="G628" i="1" s="1"/>
  <c r="J628" i="1" s="1"/>
  <c r="F661" i="1"/>
  <c r="F665" i="1" s="1"/>
  <c r="F668" i="1" s="1"/>
  <c r="E115" i="2"/>
  <c r="E128" i="2"/>
  <c r="H649" i="1"/>
  <c r="J649" i="1" s="1"/>
  <c r="G24" i="14"/>
  <c r="H24" i="14" s="1"/>
  <c r="I24" i="14" s="1"/>
  <c r="H194" i="1"/>
  <c r="G630" i="1" s="1"/>
  <c r="J630" i="1" s="1"/>
  <c r="E51" i="2"/>
  <c r="D51" i="2"/>
  <c r="C141" i="2"/>
  <c r="C144" i="2"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<sst xmlns="http://schemas.openxmlformats.org/spreadsheetml/2006/main" count="5578" uniqueCount="1673">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</sst>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5"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1391</v>
      </c>
      <c r="B2" s="21">
        <v>463</v>
      </c>
      <c r="C2" s="21">
        <v>463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549306.16</v>
      </c>
      <c r="G9" s="18">
        <v>0</v>
      </c>
      <c r="H9" s="18">
        <v>0</v>
      </c>
      <c r="I9" s="18">
        <v>0</v>
      </c>
      <c r="J9" s="67">
        <f>SUM(I440)</f>
        <v>0</v>
      </c>
      <c r="K9" s="24" t="s">
        <v>288</v>
      </c>
      <c r="L9" s="24" t="s">
        <v>288</v>
      </c>
      <c r="M9" s="8"/>
      <c r="N9" s="264"/>
    </row>
    <row r="10" spans="1:14" s="3" customFormat="1" ht="12.2" customHeight="1" x14ac:dyDescent="0.15">
      <c r="A10" s="1" t="s">
        <v>562</v>
      </c>
      <c r="B10" s="2" t="s">
        <v>289</v>
      </c>
      <c r="C10" s="6">
        <v>2</v>
      </c>
      <c r="D10" s="2" t="s">
        <v>428</v>
      </c>
      <c r="E10" s="6">
        <v>110</v>
      </c>
      <c r="F10" s="18">
        <v>1150.29</v>
      </c>
      <c r="G10" s="18">
        <v>0</v>
      </c>
      <c r="H10" s="18">
        <v>0</v>
      </c>
      <c r="I10" s="18">
        <v>0</v>
      </c>
      <c r="J10" s="67">
        <f>SUM(I441)</f>
        <v>538288.74</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762595.51+463703.33+16645.9</f>
        <v>1242944.74</v>
      </c>
      <c r="G12" s="18">
        <v>464453.62</v>
      </c>
      <c r="H12" s="18">
        <f>735476.77-25909.47</f>
        <v>709567.3</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0</v>
      </c>
      <c r="G13" s="18">
        <v>10216</v>
      </c>
      <c r="H13" s="18">
        <v>53871.48</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5498.54</v>
      </c>
      <c r="G14" s="18">
        <v>26159.45</v>
      </c>
      <c r="H14" s="18">
        <v>0</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1798899.73</v>
      </c>
      <c r="G19" s="41">
        <f>SUM(G9:G18)</f>
        <v>500829.07</v>
      </c>
      <c r="H19" s="41">
        <f>SUM(H9:H18)</f>
        <v>763438.78</v>
      </c>
      <c r="I19" s="41">
        <f>SUM(I9:I18)</f>
        <v>0</v>
      </c>
      <c r="J19" s="41">
        <f>SUM(J9:J18)</f>
        <v>538288.74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f>727591.77+472373.56-10593.95</f>
        <v>1189371.3800000001</v>
      </c>
      <c r="G22" s="18">
        <f>460655.65+4057.74</f>
        <v>464713.39</v>
      </c>
      <c r="H22" s="18">
        <v>762882.04</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121127.93+4931.14+9525.6</f>
        <v>135584.66999999998</v>
      </c>
      <c r="G24" s="18">
        <v>0</v>
      </c>
      <c r="H24" s="18">
        <v>288</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2732.15</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1324956.05</v>
      </c>
      <c r="G32" s="41">
        <f>SUM(G22:G31)</f>
        <v>467445.54000000004</v>
      </c>
      <c r="H32" s="41">
        <f>SUM(H22:H31)</f>
        <v>763170.04</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33383.53</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90000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268.74</v>
      </c>
      <c r="I45" s="18">
        <v>0</v>
      </c>
      <c r="J45" s="13">
        <f>I456</f>
        <v>0</v>
      </c>
      <c r="K45" s="24" t="s">
        <v>288</v>
      </c>
      <c r="L45" s="24" t="s">
        <v>288</v>
      </c>
      <c r="M45" s="8"/>
      <c r="N45" s="264"/>
    </row>
    <row r="46" spans="1:14" s="3" customFormat="1" ht="12.2" customHeight="1" x14ac:dyDescent="0.15">
      <c r="A46" s="1" t="s">
        <v>874</v>
      </c>
      <c r="B46" s="6">
        <v>1</v>
      </c>
      <c r="C46" s="6">
        <v>32</v>
      </c>
      <c r="D46" s="2"/>
      <c r="E46" s="6"/>
      <c r="F46" s="18">
        <v>111241</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0</v>
      </c>
      <c r="I48" s="18">
        <v>0</v>
      </c>
      <c r="J48" s="13">
        <f>SUM(I460)</f>
        <v>538288.74</v>
      </c>
      <c r="K48" s="24" t="s">
        <v>288</v>
      </c>
      <c r="L48" s="24" t="s">
        <v>288</v>
      </c>
      <c r="M48" s="8"/>
      <c r="N48" s="264"/>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f>312673.82-52803.91+8000+14358.37-9525.6</f>
        <v>272702.68000000005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473943.68000000005</v>
      </c>
      <c r="G51" s="41">
        <f>SUM(G35:G50)</f>
        <v>33383.53</v>
      </c>
      <c r="H51" s="41">
        <f>SUM(H35:H50)</f>
        <v>268.74</v>
      </c>
      <c r="I51" s="41">
        <f>SUM(I35:I50)</f>
        <v>0</v>
      </c>
      <c r="J51" s="41">
        <f>SUM(J35:J50)</f>
        <v>538288.74</v>
      </c>
      <c r="K51" s="45" t="s">
        <v>288</v>
      </c>
      <c r="L51" s="45" t="s">
        <v>288</v>
      </c>
      <c r="N51" s="262"/>
    </row>
    <row r="52" spans="1:14" s="3" customFormat="1" ht="12.2" customHeight="1" thickTop="1" x14ac:dyDescent="0.15">
      <c r="A52" s="38" t="s">
        <v>455</v>
      </c>
      <c r="B52" s="39" t="s">
        <v>289</v>
      </c>
      <c r="C52" s="6">
        <v>37</v>
      </c>
      <c r="D52" s="39" t="s">
        <v>653</v>
      </c>
      <c r="E52" s="39"/>
      <c r="F52" s="41">
        <f>F51+F32</f>
        <v>1798899.73</v>
      </c>
      <c r="G52" s="41">
        <f>G51+G32</f>
        <v>500829.07000000007</v>
      </c>
      <c r="H52" s="41">
        <f>H51+H32</f>
        <v>763438.78</v>
      </c>
      <c r="I52" s="41">
        <f>I51+I32</f>
        <v>0</v>
      </c>
      <c r="J52" s="41">
        <f>J51+J32</f>
        <v>538288.74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4278504</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4278504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1245.73</v>
      </c>
      <c r="G96" s="18">
        <v>0</v>
      </c>
      <c r="H96" s="18">
        <v>0</v>
      </c>
      <c r="I96" s="18">
        <v>0</v>
      </c>
      <c r="J96" s="18">
        <v>976.86</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-308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55013.82</v>
      </c>
      <c r="G110" s="18">
        <v>0</v>
      </c>
      <c r="H110" s="18">
        <f>3150+250</f>
        <v>3400</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56259.55</v>
      </c>
      <c r="G111" s="41">
        <f>SUM(G96:G110)</f>
        <v>-308</v>
      </c>
      <c r="H111" s="41">
        <f>SUM(H96:H110)</f>
        <v>3400</v>
      </c>
      <c r="I111" s="41">
        <f>SUM(I96:I110)</f>
        <v>0</v>
      </c>
      <c r="J111" s="41">
        <f>SUM(J96:J110)</f>
        <v>976.86</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4334763.55</v>
      </c>
      <c r="G112" s="41">
        <f>G60+G111</f>
        <v>-308</v>
      </c>
      <c r="H112" s="41">
        <f>H60+H79+H94+H111</f>
        <v>3400</v>
      </c>
      <c r="I112" s="41">
        <f>I60+I111</f>
        <v>0</v>
      </c>
      <c r="J112" s="41">
        <f>J60+J111</f>
        <v>976.86</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711224.43</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597229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v>0</v>
      </c>
      <c r="H120" s="18">
        <v>0</v>
      </c>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1310448.6400000001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0</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540.89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540.89</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1310448.6400000001</v>
      </c>
      <c r="G140" s="41">
        <f>G121+SUM(G136:G137)</f>
        <v>540.89</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4414.0200000000004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267.25+9774.96-65.34</f>
        <v>9976.869999999999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35821.71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17.14+14137.95+31270.04+2387.7</f>
        <v>47812.83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138.99</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0</v>
      </c>
      <c r="H161" s="18">
        <v>61400</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f>13054.77</f>
        <v>13054.77</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138.99</v>
      </c>
      <c r="G163" s="41">
        <f>SUM(G150:G162)</f>
        <v>35821.71</v>
      </c>
      <c r="H163" s="41">
        <f>SUM(H150:H162)</f>
        <v>136658.49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138.99</v>
      </c>
      <c r="G170" s="41">
        <f>G147+G163+SUM(G164:G169)</f>
        <v>35821.71</v>
      </c>
      <c r="H170" s="41">
        <f>H147+H163+SUM(H164:H169)</f>
        <v>136658.49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0</v>
      </c>
      <c r="H180" s="18">
        <v>0</v>
      </c>
      <c r="I180" s="18">
        <v>0</v>
      </c>
      <c r="J180" s="18">
        <v>98000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98000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98000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5645351.1799999997</v>
      </c>
      <c r="G194" s="47">
        <f>G112+G140+G170+G193</f>
        <v>36054.6</v>
      </c>
      <c r="H194" s="47">
        <f>H112+H140+H170+H193</f>
        <v>140058.49</v>
      </c>
      <c r="I194" s="47">
        <f>I112+I140+I170+I193</f>
        <v>0</v>
      </c>
      <c r="J194" s="47">
        <f>J112+J140+J193</f>
        <v>98976.86</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875131.91</v>
      </c>
      <c r="G198" s="18">
        <f>366199.05+19458.94</f>
        <v>385657.99</v>
      </c>
      <c r="H198" s="18">
        <f>26892.5+8200.5+7956.27+7518.97</f>
        <v>50568.240000000005</v>
      </c>
      <c r="I198" s="18">
        <v>28353.17</v>
      </c>
      <c r="J198" s="18">
        <v>7230.44</v>
      </c>
      <c r="K198" s="18">
        <v>0</v>
      </c>
      <c r="L198" s="19">
        <f>SUM(F198:K198)</f>
        <v>1346941.7499999998</v>
      </c>
      <c r="M198" s="8"/>
      <c r="N198" s="264"/>
    </row>
    <row r="199" spans="1:14" s="3" customFormat="1" ht="12.2" customHeight="1" x14ac:dyDescent="0.15">
      <c r="A199" s="1" t="s">
        <v>439</v>
      </c>
      <c r="B199" s="2" t="s">
        <v>341</v>
      </c>
      <c r="C199" s="2" t="s">
        <v>291</v>
      </c>
      <c r="D199" s="2" t="s">
        <v>431</v>
      </c>
      <c r="E199" s="6">
        <v>1200</v>
      </c>
      <c r="F199" s="18">
        <v>310262.27</v>
      </c>
      <c r="G199" s="18">
        <v>78766.179999999993</v>
      </c>
      <c r="H199" s="18">
        <f>59666.99-477.75</f>
        <v>59189.24</v>
      </c>
      <c r="I199" s="18">
        <v>2184.62</v>
      </c>
      <c r="J199" s="18">
        <v>2254.9899999999998</v>
      </c>
      <c r="K199" s="18">
        <v>0</v>
      </c>
      <c r="L199" s="19">
        <f>SUM(F199:K199)</f>
        <v>452657.3</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320</v>
      </c>
      <c r="G201" s="18">
        <v>24.48</v>
      </c>
      <c r="H201" s="18">
        <v>0</v>
      </c>
      <c r="I201" s="18">
        <v>0</v>
      </c>
      <c r="J201" s="18">
        <v>0</v>
      </c>
      <c r="K201" s="18">
        <v>0</v>
      </c>
      <c r="L201" s="19">
        <f>SUM(F201:K201)</f>
        <v>344.48</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60246.04+67652+70234</f>
        <v>198132.04</v>
      </c>
      <c r="G203" s="18">
        <f>22332.66+507.64+175.34+78.03+4114.63+10726.04+12600+564+190.58+86.69+4922.03+12041.97+9714.95+564+203.64+86.69+5328.84+12501.58</f>
        <v>96739.31</v>
      </c>
      <c r="H203" s="18">
        <f>37604.89</f>
        <v>37604.89</v>
      </c>
      <c r="I203" s="18">
        <f>110.84+570.59+427.55</f>
        <v>1108.98</v>
      </c>
      <c r="J203" s="18">
        <v>554.6</v>
      </c>
      <c r="K203" s="18">
        <v>0</v>
      </c>
      <c r="L203" s="19">
        <f t="shared" ref="L203:L209" si="0">SUM(F203:K203)</f>
        <v>334139.81999999995</v>
      </c>
      <c r="M203" s="8"/>
      <c r="N203" s="264"/>
    </row>
    <row r="204" spans="1:14" s="3" customFormat="1" ht="12.2" customHeight="1" x14ac:dyDescent="0.15">
      <c r="A204" s="1" t="s">
        <v>443</v>
      </c>
      <c r="B204" s="2" t="s">
        <v>341</v>
      </c>
      <c r="C204" s="2" t="s">
        <v>295</v>
      </c>
      <c r="D204" s="2" t="s">
        <v>431</v>
      </c>
      <c r="E204" s="6">
        <v>2200</v>
      </c>
      <c r="F204" s="18">
        <f>55651.5</f>
        <v>55651.5</v>
      </c>
      <c r="G204" s="18">
        <f>5523.68</f>
        <v>5523.68</v>
      </c>
      <c r="H204" s="18">
        <v>0</v>
      </c>
      <c r="I204" s="18">
        <f>3701.34</f>
        <v>3701.34</v>
      </c>
      <c r="J204" s="18">
        <v>1828.83</v>
      </c>
      <c r="K204" s="18">
        <v>2034.9</v>
      </c>
      <c r="L204" s="19">
        <f t="shared" si="0"/>
        <v>68740.25</v>
      </c>
      <c r="M204" s="8"/>
      <c r="N204" s="264"/>
    </row>
    <row r="205" spans="1:14" s="3" customFormat="1" ht="12.2" customHeight="1" x14ac:dyDescent="0.15">
      <c r="A205" s="1" t="s">
        <v>444</v>
      </c>
      <c r="B205" s="2" t="s">
        <v>341</v>
      </c>
      <c r="C205" s="2" t="s">
        <v>296</v>
      </c>
      <c r="D205" s="2" t="s">
        <v>431</v>
      </c>
      <c r="E205" s="6">
        <v>2300</v>
      </c>
      <c r="F205" s="18">
        <f>6050+2380+1000+15</f>
        <v>9445</v>
      </c>
      <c r="G205" s="18">
        <f>440.9+443.7+76.5</f>
        <v>961.09999999999991</v>
      </c>
      <c r="H205" s="18">
        <f>1600.02+9975+7489+198665+20975</f>
        <v>238704.02</v>
      </c>
      <c r="I205" s="18">
        <f>2217.62</f>
        <v>2217.62</v>
      </c>
      <c r="J205" s="18">
        <v>0</v>
      </c>
      <c r="K205" s="18">
        <v>3259.3</v>
      </c>
      <c r="L205" s="19">
        <f t="shared" si="0"/>
        <v>254587.03999999998</v>
      </c>
      <c r="M205" s="8"/>
      <c r="N205" s="264"/>
    </row>
    <row r="206" spans="1:14" s="3" customFormat="1" ht="12.2" customHeight="1" x14ac:dyDescent="0.15">
      <c r="A206" s="1" t="s">
        <v>445</v>
      </c>
      <c r="B206" s="2" t="s">
        <v>341</v>
      </c>
      <c r="C206" s="2" t="s">
        <v>297</v>
      </c>
      <c r="D206" s="2" t="s">
        <v>431</v>
      </c>
      <c r="E206" s="6">
        <v>2400</v>
      </c>
      <c r="F206" s="18">
        <v>136336.1</v>
      </c>
      <c r="G206" s="18">
        <v>63755.58</v>
      </c>
      <c r="H206" s="18">
        <v>3290.12</v>
      </c>
      <c r="I206" s="18">
        <v>1722.2</v>
      </c>
      <c r="J206" s="18">
        <v>1820.09</v>
      </c>
      <c r="K206" s="18">
        <v>0</v>
      </c>
      <c r="L206" s="19">
        <f t="shared" si="0"/>
        <v>206924.09</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106405.15</v>
      </c>
      <c r="G208" s="18">
        <v>48246.080000000002</v>
      </c>
      <c r="H208" s="18">
        <f>7868+458.97+4740.22+174989.09+32648.84</f>
        <v>220705.12</v>
      </c>
      <c r="I208" s="18">
        <f>12021.7+31122.54</f>
        <v>43144.240000000005</v>
      </c>
      <c r="J208" s="18">
        <f>3555.62+10818.24</f>
        <v>14373.86</v>
      </c>
      <c r="K208" s="18">
        <v>0</v>
      </c>
      <c r="L208" s="19">
        <f t="shared" si="0"/>
        <v>432874.44999999995</v>
      </c>
      <c r="M208" s="8"/>
      <c r="N208" s="264"/>
    </row>
    <row r="209" spans="1:14" s="3" customFormat="1" ht="12.2" customHeight="1" x14ac:dyDescent="0.15">
      <c r="A209" s="1" t="s">
        <v>448</v>
      </c>
      <c r="B209" s="2" t="s">
        <v>341</v>
      </c>
      <c r="C209" s="2" t="s">
        <v>300</v>
      </c>
      <c r="D209" s="2" t="s">
        <v>431</v>
      </c>
      <c r="E209" s="6">
        <v>2700</v>
      </c>
      <c r="F209" s="18">
        <v>0</v>
      </c>
      <c r="G209" s="18">
        <v>0</v>
      </c>
      <c r="H209" s="18">
        <f>99986.12+11513+153.6</f>
        <v>111652.72</v>
      </c>
      <c r="I209" s="18">
        <v>0</v>
      </c>
      <c r="J209" s="18">
        <v>0</v>
      </c>
      <c r="K209" s="18">
        <v>0</v>
      </c>
      <c r="L209" s="19">
        <f t="shared" si="0"/>
        <v>111652.72</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1691683.9700000002</v>
      </c>
      <c r="G212" s="41">
        <f t="shared" si="1"/>
        <v>679674.39999999991</v>
      </c>
      <c r="H212" s="41">
        <f t="shared" si="1"/>
        <v>721714.35</v>
      </c>
      <c r="I212" s="41">
        <f t="shared" si="1"/>
        <v>82432.170000000013</v>
      </c>
      <c r="J212" s="41">
        <f t="shared" si="1"/>
        <v>28062.81</v>
      </c>
      <c r="K212" s="41">
        <f t="shared" si="1"/>
        <v>5294.2000000000007</v>
      </c>
      <c r="L212" s="41">
        <f t="shared" si="1"/>
        <v>3208861.9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0</v>
      </c>
      <c r="G216" s="18">
        <v>0</v>
      </c>
      <c r="H216" s="18">
        <f>429628.6+22744.8+2527.2</f>
        <v>454900.6</v>
      </c>
      <c r="I216" s="18">
        <v>0</v>
      </c>
      <c r="J216" s="18">
        <v>0</v>
      </c>
      <c r="K216" s="18">
        <v>0</v>
      </c>
      <c r="L216" s="19">
        <f>SUM(F216:K216)</f>
        <v>454900.6</v>
      </c>
      <c r="M216" s="8"/>
      <c r="N216" s="264"/>
    </row>
    <row r="217" spans="1:14" s="3" customFormat="1" ht="12.2" customHeight="1" x14ac:dyDescent="0.15">
      <c r="A217" s="1" t="s">
        <v>439</v>
      </c>
      <c r="B217" s="2" t="s">
        <v>346</v>
      </c>
      <c r="C217" s="2" t="s">
        <v>291</v>
      </c>
      <c r="D217" s="2" t="s">
        <v>431</v>
      </c>
      <c r="E217" s="6">
        <v>1200</v>
      </c>
      <c r="F217" s="18">
        <v>15950.49</v>
      </c>
      <c r="G217" s="18">
        <f>375+140.98+47.39+21.67+1204.29+2838.96</f>
        <v>4628.29</v>
      </c>
      <c r="H217" s="18">
        <f>500+139557+388.8</f>
        <v>140445.79999999999</v>
      </c>
      <c r="I217" s="18">
        <v>0</v>
      </c>
      <c r="J217" s="18">
        <v>0</v>
      </c>
      <c r="K217" s="18">
        <v>0</v>
      </c>
      <c r="L217" s="19">
        <f>SUM(F217:K217)</f>
        <v>161024.57999999999</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0</v>
      </c>
      <c r="G221" s="18">
        <v>0</v>
      </c>
      <c r="H221" s="18">
        <v>5452.58</v>
      </c>
      <c r="I221" s="18">
        <v>0</v>
      </c>
      <c r="J221" s="18">
        <v>0</v>
      </c>
      <c r="K221" s="18">
        <v>0</v>
      </c>
      <c r="L221" s="19">
        <f t="shared" ref="L221:L227" si="2">SUM(F221:K221)</f>
        <v>5452.58</v>
      </c>
      <c r="M221" s="8"/>
      <c r="N221" s="2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4"/>
    </row>
    <row r="227" spans="1:14" s="3" customFormat="1" ht="12.2" customHeight="1" x14ac:dyDescent="0.15">
      <c r="A227" s="1" t="s">
        <v>448</v>
      </c>
      <c r="B227" s="2" t="s">
        <v>346</v>
      </c>
      <c r="C227" s="2" t="s">
        <v>300</v>
      </c>
      <c r="D227" s="2" t="s">
        <v>431</v>
      </c>
      <c r="E227" s="6">
        <v>2700</v>
      </c>
      <c r="F227" s="18">
        <v>0</v>
      </c>
      <c r="G227" s="18">
        <v>0</v>
      </c>
      <c r="H227" s="18">
        <f>32367.44</f>
        <v>32367.439999999999</v>
      </c>
      <c r="I227" s="18">
        <v>0</v>
      </c>
      <c r="J227" s="18">
        <v>0</v>
      </c>
      <c r="K227" s="18">
        <v>0</v>
      </c>
      <c r="L227" s="19">
        <f t="shared" si="2"/>
        <v>32367.439999999999</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15950.49</v>
      </c>
      <c r="G230" s="41">
        <f>SUM(G216:G229)</f>
        <v>4628.29</v>
      </c>
      <c r="H230" s="41">
        <f>SUM(H216:H229)</f>
        <v>633166.41999999981</v>
      </c>
      <c r="I230" s="41">
        <f>SUM(I216:I229)</f>
        <v>0</v>
      </c>
      <c r="J230" s="41">
        <f>SUM(J216:J229)</f>
        <v>0</v>
      </c>
      <c r="K230" s="41">
        <f t="shared" si="3"/>
        <v>0</v>
      </c>
      <c r="L230" s="41">
        <f t="shared" si="3"/>
        <v>653745.19999999984</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0</v>
      </c>
      <c r="G234" s="18">
        <v>0</v>
      </c>
      <c r="H234" s="18">
        <f>976293.28+53071.2+5896.8</f>
        <v>1035261.28</v>
      </c>
      <c r="I234" s="18">
        <v>0</v>
      </c>
      <c r="J234" s="18">
        <v>0</v>
      </c>
      <c r="K234" s="18">
        <v>0</v>
      </c>
      <c r="L234" s="19">
        <f>SUM(F234:K234)</f>
        <v>1035261.28</v>
      </c>
      <c r="M234" s="8"/>
      <c r="N234" s="264"/>
    </row>
    <row r="235" spans="1:14" s="3" customFormat="1" ht="12.2" customHeight="1" x14ac:dyDescent="0.15">
      <c r="A235" s="1" t="s">
        <v>439</v>
      </c>
      <c r="B235" s="2" t="s">
        <v>350</v>
      </c>
      <c r="C235" s="2" t="s">
        <v>291</v>
      </c>
      <c r="D235" s="2" t="s">
        <v>431</v>
      </c>
      <c r="E235" s="6">
        <v>1200</v>
      </c>
      <c r="F235" s="18">
        <v>15950.49</v>
      </c>
      <c r="G235" s="18">
        <f>375+140.98+47.39+21.67+1204.29+2838.96</f>
        <v>4628.29</v>
      </c>
      <c r="H235" s="18">
        <f>1320+374247.43+29250+712.8</f>
        <v>405530.23</v>
      </c>
      <c r="I235" s="18">
        <v>0</v>
      </c>
      <c r="J235" s="18">
        <v>0</v>
      </c>
      <c r="K235" s="18">
        <v>0</v>
      </c>
      <c r="L235" s="19">
        <f>SUM(F235:K235)</f>
        <v>426109.01</v>
      </c>
      <c r="M235" s="8"/>
      <c r="N235" s="2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0</v>
      </c>
      <c r="G239" s="18">
        <v>0</v>
      </c>
      <c r="H239" s="18">
        <v>5452.58</v>
      </c>
      <c r="I239" s="18">
        <v>0</v>
      </c>
      <c r="J239" s="18">
        <v>0</v>
      </c>
      <c r="K239" s="18">
        <v>0</v>
      </c>
      <c r="L239" s="19">
        <f t="shared" ref="L239:L245" si="4">SUM(F239:K239)</f>
        <v>5452.58</v>
      </c>
      <c r="M239" s="8"/>
      <c r="N239" s="2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4"/>
    </row>
    <row r="245" spans="1:14" s="3" customFormat="1" ht="12.2" customHeight="1" x14ac:dyDescent="0.15">
      <c r="A245" s="1" t="s">
        <v>448</v>
      </c>
      <c r="B245" s="2" t="s">
        <v>350</v>
      </c>
      <c r="C245" s="2" t="s">
        <v>300</v>
      </c>
      <c r="D245" s="2" t="s">
        <v>431</v>
      </c>
      <c r="E245" s="6">
        <v>2700</v>
      </c>
      <c r="F245" s="18">
        <v>0</v>
      </c>
      <c r="G245" s="18">
        <v>0</v>
      </c>
      <c r="H245" s="18">
        <f>69942.9+43467</f>
        <v>113409.9</v>
      </c>
      <c r="I245" s="18">
        <v>0</v>
      </c>
      <c r="J245" s="18">
        <v>0</v>
      </c>
      <c r="K245" s="18">
        <v>0</v>
      </c>
      <c r="L245" s="19">
        <f t="shared" si="4"/>
        <v>113409.9</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15950.49</v>
      </c>
      <c r="G248" s="41">
        <f t="shared" si="5"/>
        <v>4628.29</v>
      </c>
      <c r="H248" s="41">
        <f t="shared" si="5"/>
        <v>1559653.99</v>
      </c>
      <c r="I248" s="41">
        <f t="shared" si="5"/>
        <v>0</v>
      </c>
      <c r="J248" s="41">
        <f t="shared" si="5"/>
        <v>0</v>
      </c>
      <c r="K248" s="41">
        <f t="shared" si="5"/>
        <v>0</v>
      </c>
      <c r="L248" s="41">
        <f t="shared" si="5"/>
        <v>1580232.77</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1723584.9500000002</v>
      </c>
      <c r="G258" s="41">
        <f t="shared" si="8"/>
        <v>688930.98</v>
      </c>
      <c r="H258" s="41">
        <f t="shared" si="8"/>
        <v>2914534.76</v>
      </c>
      <c r="I258" s="41">
        <f t="shared" si="8"/>
        <v>82432.170000000013</v>
      </c>
      <c r="J258" s="41">
        <f t="shared" si="8"/>
        <v>28062.81</v>
      </c>
      <c r="K258" s="41">
        <f t="shared" si="8"/>
        <v>5294.2000000000007</v>
      </c>
      <c r="L258" s="41">
        <f t="shared" si="8"/>
        <v>5442839.8699999992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98000</v>
      </c>
      <c r="L267" s="19">
        <f t="shared" si="9"/>
        <v>98000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98000</v>
      </c>
      <c r="L271" s="41">
        <f t="shared" si="9"/>
        <v>98000</v>
      </c>
      <c r="M271" s="8"/>
      <c r="N271" s="264"/>
    </row>
    <row r="272" spans="1:14" s="34" customFormat="1" ht="12.2" customHeight="1" thickTop="1" x14ac:dyDescent="0.2">
      <c r="A272" s="43" t="s">
        <v>464</v>
      </c>
      <c r="B272" s="40">
        <v>10</v>
      </c>
      <c r="C272" s="40">
        <v>18</v>
      </c>
      <c r="D272" s="39" t="s">
        <v>431</v>
      </c>
      <c r="E272" s="40"/>
      <c r="F272" s="42">
        <f t="shared" ref="F272:L272" si="11">F258+F271</f>
        <v>1723584.9500000002</v>
      </c>
      <c r="G272" s="42">
        <f t="shared" si="11"/>
        <v>688930.98</v>
      </c>
      <c r="H272" s="42">
        <f t="shared" si="11"/>
        <v>2914534.76</v>
      </c>
      <c r="I272" s="42">
        <f t="shared" si="11"/>
        <v>82432.170000000013</v>
      </c>
      <c r="J272" s="42">
        <f t="shared" si="11"/>
        <v>28062.81</v>
      </c>
      <c r="K272" s="42">
        <f t="shared" si="11"/>
        <v>103294.2</v>
      </c>
      <c r="L272" s="42">
        <f t="shared" si="11"/>
        <v>5540839.8699999992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17966.37</v>
      </c>
      <c r="G277" s="18">
        <v>4757.51</v>
      </c>
      <c r="H277" s="18">
        <v>7500</v>
      </c>
      <c r="I277" s="18">
        <v>1350</v>
      </c>
      <c r="J277" s="18">
        <v>28527.13</v>
      </c>
      <c r="K277" s="18">
        <v>0</v>
      </c>
      <c r="L277" s="19">
        <f>SUM(F277:K277)</f>
        <v>60101.009999999995</v>
      </c>
      <c r="M277" s="8"/>
      <c r="N277" s="264"/>
    </row>
    <row r="278" spans="1:14" s="3" customFormat="1" ht="12.2" customHeight="1" x14ac:dyDescent="0.15">
      <c r="A278" s="1" t="s">
        <v>439</v>
      </c>
      <c r="B278" s="2" t="s">
        <v>357</v>
      </c>
      <c r="C278" s="2" t="s">
        <v>291</v>
      </c>
      <c r="D278" s="2" t="s">
        <v>431</v>
      </c>
      <c r="E278" s="6">
        <v>1200</v>
      </c>
      <c r="F278" s="18">
        <v>25625.7</v>
      </c>
      <c r="G278" s="18">
        <v>5006.3999999999996</v>
      </c>
      <c r="H278" s="18">
        <v>637.94000000000005</v>
      </c>
      <c r="I278" s="18">
        <v>916</v>
      </c>
      <c r="J278" s="18">
        <v>2387.6999999999998</v>
      </c>
      <c r="K278" s="18">
        <v>0</v>
      </c>
      <c r="L278" s="19">
        <f>SUM(F278:K278)</f>
        <v>34573.74</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3300</v>
      </c>
      <c r="G280" s="18">
        <v>839.86</v>
      </c>
      <c r="H280" s="18">
        <v>0</v>
      </c>
      <c r="I280" s="18">
        <v>274.16000000000003</v>
      </c>
      <c r="J280" s="18">
        <v>0</v>
      </c>
      <c r="K280" s="18">
        <v>0</v>
      </c>
      <c r="L280" s="19">
        <f>SUM(F280:K280)</f>
        <v>4414.0199999999995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f>12320.56+901.39</f>
        <v>13221.949999999999</v>
      </c>
      <c r="I282" s="18">
        <v>0</v>
      </c>
      <c r="J282" s="18">
        <v>0</v>
      </c>
      <c r="K282" s="18">
        <v>0</v>
      </c>
      <c r="L282" s="19">
        <f t="shared" ref="L282:L288" si="12">SUM(F282:K282)</f>
        <v>13221.949999999999</v>
      </c>
      <c r="M282" s="8"/>
      <c r="N282" s="264"/>
    </row>
    <row r="283" spans="1:14" s="3" customFormat="1" ht="12.2" customHeight="1" x14ac:dyDescent="0.15">
      <c r="A283" s="1" t="s">
        <v>443</v>
      </c>
      <c r="B283" s="2" t="s">
        <v>357</v>
      </c>
      <c r="C283" s="2" t="s">
        <v>295</v>
      </c>
      <c r="D283" s="2" t="s">
        <v>431</v>
      </c>
      <c r="E283" s="6">
        <v>2200</v>
      </c>
      <c r="F283" s="18">
        <v>8167.5</v>
      </c>
      <c r="G283" s="18">
        <v>1665.81</v>
      </c>
      <c r="H283" s="18">
        <v>-3266.55</v>
      </c>
      <c r="I283" s="18">
        <v>0</v>
      </c>
      <c r="J283" s="18">
        <v>0</v>
      </c>
      <c r="K283" s="18">
        <v>0</v>
      </c>
      <c r="L283" s="19">
        <f t="shared" si="12"/>
        <v>6566.7599999999993</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160.69999999999999</v>
      </c>
      <c r="L286" s="19">
        <f t="shared" si="12"/>
        <v>160.69999999999999</v>
      </c>
      <c r="M286" s="8"/>
      <c r="N286" s="264"/>
    </row>
    <row r="287" spans="1:14" s="3" customFormat="1" ht="12.2" customHeight="1" x14ac:dyDescent="0.15">
      <c r="A287" s="1" t="s">
        <v>447</v>
      </c>
      <c r="B287" s="2" t="s">
        <v>357</v>
      </c>
      <c r="C287" s="2" t="s">
        <v>299</v>
      </c>
      <c r="D287" s="2" t="s">
        <v>431</v>
      </c>
      <c r="E287" s="6">
        <v>2600</v>
      </c>
      <c r="F287" s="18">
        <v>0</v>
      </c>
      <c r="G287" s="18">
        <v>0</v>
      </c>
      <c r="H287" s="18">
        <v>0</v>
      </c>
      <c r="I287" s="18">
        <v>20962.57</v>
      </c>
      <c r="J287" s="18">
        <v>0</v>
      </c>
      <c r="K287" s="18">
        <v>0</v>
      </c>
      <c r="L287" s="19">
        <f t="shared" si="12"/>
        <v>20962.57</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55059.57</v>
      </c>
      <c r="G291" s="42">
        <f t="shared" si="13"/>
        <v>12269.58</v>
      </c>
      <c r="H291" s="42">
        <f t="shared" si="13"/>
        <v>18093.34</v>
      </c>
      <c r="I291" s="42">
        <f t="shared" si="13"/>
        <v>23502.73</v>
      </c>
      <c r="J291" s="42">
        <f t="shared" si="13"/>
        <v>30914.83</v>
      </c>
      <c r="K291" s="42">
        <f t="shared" si="13"/>
        <v>160.69999999999999</v>
      </c>
      <c r="L291" s="41">
        <f t="shared" si="13"/>
        <v>140000.75</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55059.57</v>
      </c>
      <c r="G339" s="41">
        <f t="shared" si="20"/>
        <v>12269.58</v>
      </c>
      <c r="H339" s="41">
        <f t="shared" si="20"/>
        <v>18093.34</v>
      </c>
      <c r="I339" s="41">
        <f t="shared" si="20"/>
        <v>23502.73</v>
      </c>
      <c r="J339" s="41">
        <f t="shared" si="20"/>
        <v>30914.83</v>
      </c>
      <c r="K339" s="41">
        <f t="shared" si="20"/>
        <v>160.69999999999999</v>
      </c>
      <c r="L339" s="41">
        <f t="shared" si="20"/>
        <v>140000.75</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55059.57</v>
      </c>
      <c r="G353" s="41">
        <f>G339</f>
        <v>12269.58</v>
      </c>
      <c r="H353" s="41">
        <f>H339</f>
        <v>18093.34</v>
      </c>
      <c r="I353" s="41">
        <f>I339</f>
        <v>23502.73</v>
      </c>
      <c r="J353" s="41">
        <f>J339</f>
        <v>30914.83</v>
      </c>
      <c r="K353" s="47">
        <f>K339+K352</f>
        <v>160.69999999999999</v>
      </c>
      <c r="L353" s="41">
        <f>L339+L352</f>
        <v>140000.75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0</v>
      </c>
      <c r="G359" s="18">
        <v>0</v>
      </c>
      <c r="H359" s="18">
        <v>0</v>
      </c>
      <c r="I359" s="18">
        <v>2671.55</v>
      </c>
      <c r="J359" s="18">
        <v>0</v>
      </c>
      <c r="K359" s="18">
        <v>0</v>
      </c>
      <c r="L359" s="13">
        <f>SUM(F359:K359)</f>
        <v>2671.55</v>
      </c>
      <c r="M359" s="8"/>
      <c r="N359" s="2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2671.55</v>
      </c>
      <c r="J363" s="47">
        <f t="shared" si="22"/>
        <v>0</v>
      </c>
      <c r="K363" s="47">
        <f t="shared" si="22"/>
        <v>0</v>
      </c>
      <c r="L363" s="47">
        <f t="shared" si="22"/>
        <v>2671.55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2671.55</v>
      </c>
      <c r="G369" s="63">
        <v>0</v>
      </c>
      <c r="H369" s="63">
        <v>0</v>
      </c>
      <c r="I369" s="56">
        <f>SUM(F369:H369)</f>
        <v>2671.55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2671.55</v>
      </c>
      <c r="G370" s="47">
        <f>SUM(G368:G369)</f>
        <v>0</v>
      </c>
      <c r="H370" s="47">
        <f>SUM(H368:H369)</f>
        <v>0</v>
      </c>
      <c r="I370" s="47">
        <f>SUM(I368:I369)</f>
        <v>2671.55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v>0</v>
      </c>
      <c r="G393" s="18">
        <v>98000</v>
      </c>
      <c r="H393" s="18">
        <v>976.86</v>
      </c>
      <c r="I393" s="18">
        <v>0</v>
      </c>
      <c r="J393" s="24" t="s">
        <v>288</v>
      </c>
      <c r="K393" s="24" t="s">
        <v>288</v>
      </c>
      <c r="L393" s="56">
        <f t="shared" si="25"/>
        <v>98976.86</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98000</v>
      </c>
      <c r="H394" s="139">
        <f>SUM(H388:H393)</f>
        <v>976.86</v>
      </c>
      <c r="I394" s="65">
        <f>SUM(I388:I393)</f>
        <v>0</v>
      </c>
      <c r="J394" s="45" t="s">
        <v>288</v>
      </c>
      <c r="K394" s="45" t="s">
        <v>288</v>
      </c>
      <c r="L394" s="47">
        <f>SUM(L388:L393)</f>
        <v>98976.86</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98000</v>
      </c>
      <c r="H409" s="47">
        <f>H394+H402+H408</f>
        <v>976.86</v>
      </c>
      <c r="I409" s="47">
        <f>I394+I402+I408</f>
        <v>0</v>
      </c>
      <c r="J409" s="24" t="s">
        <v>288</v>
      </c>
      <c r="K409" s="24" t="s">
        <v>288</v>
      </c>
      <c r="L409" s="47">
        <f>L394+L402+L408</f>
        <v>98976.86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4"/>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4"/>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4"/>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4"/>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4"/>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2"/>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4"/>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538288.74</v>
      </c>
      <c r="G441" s="18">
        <v>0</v>
      </c>
      <c r="H441" s="18">
        <v>0</v>
      </c>
      <c r="I441" s="56">
        <f t="shared" si="33"/>
        <v>538288.74</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538288.74</v>
      </c>
      <c r="G447" s="13">
        <f>SUM(G440:G446)</f>
        <v>0</v>
      </c>
      <c r="H447" s="13">
        <f>SUM(H440:H446)</f>
        <v>0</v>
      </c>
      <c r="I447" s="13">
        <f>SUM(I440:I446)</f>
        <v>538288.74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538288.74</v>
      </c>
      <c r="G460" s="18">
        <v>0</v>
      </c>
      <c r="H460" s="18">
        <v>0</v>
      </c>
      <c r="I460" s="56">
        <f t="shared" si="34"/>
        <v>538288.74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538288.74</v>
      </c>
      <c r="G461" s="83">
        <f>SUM(G455:G460)</f>
        <v>0</v>
      </c>
      <c r="H461" s="83">
        <f>SUM(H455:H460)</f>
        <v>0</v>
      </c>
      <c r="I461" s="83">
        <f>SUM(I455:I460)</f>
        <v>538288.74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538288.74</v>
      </c>
      <c r="G462" s="42">
        <f>G453+G461</f>
        <v>0</v>
      </c>
      <c r="H462" s="42">
        <f>H453+H461</f>
        <v>0</v>
      </c>
      <c r="I462" s="42">
        <f>I453+I461</f>
        <v>538288.74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369432.37</v>
      </c>
      <c r="G466" s="18">
        <v>0.48</v>
      </c>
      <c r="H466" s="18">
        <v>211</v>
      </c>
      <c r="I466" s="18">
        <v>0</v>
      </c>
      <c r="J466" s="18">
        <v>439311.88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5645351.1799999997</v>
      </c>
      <c r="G469" s="18">
        <v>36054.6</v>
      </c>
      <c r="H469" s="18">
        <v>140058.49</v>
      </c>
      <c r="I469" s="18">
        <v>0</v>
      </c>
      <c r="J469" s="18">
        <f>98000+976.86</f>
        <v>98976.86</v>
      </c>
      <c r="K469" s="24" t="s">
        <v>288</v>
      </c>
      <c r="L469" s="24" t="s">
        <v>288</v>
      </c>
      <c r="N469" s="263"/>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3"/>
    </row>
    <row r="471" spans="1:14" s="52" customFormat="1" ht="12.2" customHeight="1" x14ac:dyDescent="0.2">
      <c r="A471" s="92" t="s">
        <v>425</v>
      </c>
      <c r="B471" s="75">
        <v>19</v>
      </c>
      <c r="C471" s="80">
        <v>4</v>
      </c>
      <c r="D471" s="2" t="s">
        <v>432</v>
      </c>
      <c r="E471" s="80"/>
      <c r="F471" s="53">
        <f>SUM(F469:F470)</f>
        <v>5645351.1799999997</v>
      </c>
      <c r="G471" s="53">
        <f>SUM(G469:G470)</f>
        <v>36054.6</v>
      </c>
      <c r="H471" s="53">
        <f>SUM(H469:H470)</f>
        <v>140058.49</v>
      </c>
      <c r="I471" s="53">
        <f>SUM(I469:I470)</f>
        <v>0</v>
      </c>
      <c r="J471" s="53">
        <f>SUM(J469:J470)</f>
        <v>98976.86</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5531314.27+9525.6</f>
        <v>5540839.8699999992</v>
      </c>
      <c r="G473" s="18">
        <v>2671.55</v>
      </c>
      <c r="H473" s="18">
        <v>140000.75</v>
      </c>
      <c r="I473" s="18">
        <v>0</v>
      </c>
      <c r="J473" s="18">
        <v>0</v>
      </c>
      <c r="K473" s="24" t="s">
        <v>288</v>
      </c>
      <c r="L473" s="24" t="s">
        <v>288</v>
      </c>
      <c r="N473" s="263"/>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3"/>
    </row>
    <row r="475" spans="1:14" s="52" customFormat="1" ht="12.2" customHeight="1" x14ac:dyDescent="0.2">
      <c r="A475" s="92" t="s">
        <v>426</v>
      </c>
      <c r="B475" s="75">
        <v>19</v>
      </c>
      <c r="C475" s="80">
        <v>7</v>
      </c>
      <c r="D475" s="2" t="s">
        <v>432</v>
      </c>
      <c r="E475" s="80"/>
      <c r="F475" s="53">
        <f>SUM(F473:F474)</f>
        <v>5540839.8699999992</v>
      </c>
      <c r="G475" s="53">
        <f>SUM(G473:G474)</f>
        <v>2671.55</v>
      </c>
      <c r="H475" s="53">
        <f>SUM(H473:H474)</f>
        <v>140000.75</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473943.68000000063</v>
      </c>
      <c r="G477" s="53">
        <f>(G466+G471)- G475</f>
        <v>33383.53</v>
      </c>
      <c r="H477" s="53">
        <f>(H466+H471)- H475</f>
        <v>268.73999999999069</v>
      </c>
      <c r="I477" s="53">
        <f>(I466+I471)- I475</f>
        <v>0</v>
      </c>
      <c r="J477" s="53">
        <f>(J466+J471)- J475</f>
        <v>538288.74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0</v>
      </c>
      <c r="G491" s="154">
        <v>0</v>
      </c>
      <c r="H491" s="154">
        <v>0</v>
      </c>
      <c r="I491" s="154">
        <v>0</v>
      </c>
      <c r="J491" s="154">
        <v>0</v>
      </c>
      <c r="K491" s="24" t="s">
        <v>288</v>
      </c>
      <c r="L491" s="24" t="s">
        <v>288</v>
      </c>
      <c r="N491" s="263"/>
    </row>
    <row r="492" spans="1:14" s="52" customFormat="1" ht="12.2" customHeight="1" x14ac:dyDescent="0.2">
      <c r="A492" s="22" t="s">
        <v>615</v>
      </c>
      <c r="B492" s="75">
        <v>20</v>
      </c>
      <c r="C492" s="115">
        <v>2</v>
      </c>
      <c r="D492" s="2" t="s">
        <v>432</v>
      </c>
      <c r="E492" s="115"/>
      <c r="F492" s="155" t="s">
        <v>1672</v>
      </c>
      <c r="G492" s="155" t="s">
        <v>1672</v>
      </c>
      <c r="H492" s="154">
        <v>0</v>
      </c>
      <c r="I492" s="154">
        <v>0</v>
      </c>
      <c r="J492" s="154">
        <v>0</v>
      </c>
      <c r="K492" s="24" t="s">
        <v>288</v>
      </c>
      <c r="L492" s="24" t="s">
        <v>288</v>
      </c>
      <c r="N492" s="263"/>
    </row>
    <row r="493" spans="1:14" s="52" customFormat="1" ht="12.2" customHeight="1" x14ac:dyDescent="0.2">
      <c r="A493" s="22" t="s">
        <v>616</v>
      </c>
      <c r="B493" s="75">
        <v>20</v>
      </c>
      <c r="C493" s="115">
        <v>3</v>
      </c>
      <c r="D493" s="2" t="s">
        <v>432</v>
      </c>
      <c r="E493" s="115"/>
      <c r="F493" s="155" t="s">
        <v>1672</v>
      </c>
      <c r="G493" s="155" t="s">
        <v>1672</v>
      </c>
      <c r="H493" s="154">
        <v>0</v>
      </c>
      <c r="I493" s="154">
        <v>0</v>
      </c>
      <c r="J493" s="154">
        <v>0</v>
      </c>
      <c r="K493" s="24" t="s">
        <v>288</v>
      </c>
      <c r="L493" s="24" t="s">
        <v>288</v>
      </c>
      <c r="N493" s="263"/>
    </row>
    <row r="494" spans="1:14" s="52" customFormat="1" ht="12.2" customHeight="1" x14ac:dyDescent="0.2">
      <c r="A494" s="22" t="s">
        <v>617</v>
      </c>
      <c r="B494" s="75">
        <v>20</v>
      </c>
      <c r="C494" s="115">
        <v>4</v>
      </c>
      <c r="D494" s="2" t="s">
        <v>432</v>
      </c>
      <c r="E494" s="115"/>
      <c r="F494" s="18">
        <v>0</v>
      </c>
      <c r="G494" s="18">
        <v>0</v>
      </c>
      <c r="H494" s="18">
        <v>0</v>
      </c>
      <c r="I494" s="18">
        <v>0</v>
      </c>
      <c r="J494" s="18">
        <v>0</v>
      </c>
      <c r="K494" s="24" t="s">
        <v>288</v>
      </c>
      <c r="L494" s="24" t="s">
        <v>288</v>
      </c>
      <c r="N494" s="263"/>
    </row>
    <row r="495" spans="1:14" s="52" customFormat="1" ht="12.2" customHeight="1" x14ac:dyDescent="0.2">
      <c r="A495" s="22" t="s">
        <v>618</v>
      </c>
      <c r="B495" s="75">
        <v>20</v>
      </c>
      <c r="C495" s="115">
        <v>5</v>
      </c>
      <c r="D495" s="2" t="s">
        <v>432</v>
      </c>
      <c r="E495" s="115"/>
      <c r="F495" s="18">
        <v>0</v>
      </c>
      <c r="G495" s="18">
        <v>0</v>
      </c>
      <c r="H495" s="18">
        <v>0</v>
      </c>
      <c r="I495" s="18">
        <v>0</v>
      </c>
      <c r="J495" s="18">
        <v>0</v>
      </c>
      <c r="K495" s="24" t="s">
        <v>288</v>
      </c>
      <c r="L495" s="24" t="s">
        <v>288</v>
      </c>
      <c r="N495" s="263"/>
    </row>
    <row r="496" spans="1:14" s="52" customFormat="1" ht="12.2" customHeight="1" x14ac:dyDescent="0.2">
      <c r="A496" s="22" t="s">
        <v>619</v>
      </c>
      <c r="B496" s="75">
        <v>20</v>
      </c>
      <c r="C496" s="115">
        <v>6</v>
      </c>
      <c r="D496" s="2" t="s">
        <v>432</v>
      </c>
      <c r="E496" s="115"/>
      <c r="F496" s="18">
        <v>0</v>
      </c>
      <c r="G496" s="18">
        <v>0</v>
      </c>
      <c r="H496" s="18">
        <v>0</v>
      </c>
      <c r="I496" s="18">
        <v>0</v>
      </c>
      <c r="J496" s="18">
        <v>0</v>
      </c>
      <c r="K496" s="53">
        <f>SUM(F496:J496)</f>
        <v>0</v>
      </c>
      <c r="L496" s="24" t="s">
        <v>288</v>
      </c>
      <c r="N496" s="263"/>
    </row>
    <row r="497" spans="1:14" s="52" customFormat="1" ht="12.2" customHeight="1" x14ac:dyDescent="0.2">
      <c r="A497" s="22" t="s">
        <v>620</v>
      </c>
      <c r="B497" s="75">
        <v>20</v>
      </c>
      <c r="C497" s="115">
        <v>7</v>
      </c>
      <c r="D497" s="2" t="s">
        <v>432</v>
      </c>
      <c r="E497" s="115"/>
      <c r="F497" s="18">
        <v>0</v>
      </c>
      <c r="G497" s="18">
        <v>0</v>
      </c>
      <c r="H497" s="18">
        <v>0</v>
      </c>
      <c r="I497" s="18">
        <v>0</v>
      </c>
      <c r="J497" s="18">
        <v>0</v>
      </c>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0</v>
      </c>
      <c r="G498" s="18">
        <v>0</v>
      </c>
      <c r="H498" s="18">
        <v>0</v>
      </c>
      <c r="I498" s="18">
        <v>0</v>
      </c>
      <c r="J498" s="18">
        <v>0</v>
      </c>
      <c r="K498" s="53">
        <f t="shared" si="35"/>
        <v>0</v>
      </c>
      <c r="L498" s="24" t="s">
        <v>288</v>
      </c>
      <c r="N498" s="263"/>
    </row>
    <row r="499" spans="1:14" s="52" customFormat="1" ht="12.2" customHeight="1" x14ac:dyDescent="0.2">
      <c r="A499" s="200" t="s">
        <v>622</v>
      </c>
      <c r="B499" s="201">
        <v>20</v>
      </c>
      <c r="C499" s="202">
        <v>9</v>
      </c>
      <c r="D499" s="203" t="s">
        <v>432</v>
      </c>
      <c r="E499" s="202"/>
      <c r="F499" s="204">
        <v>0</v>
      </c>
      <c r="G499" s="204">
        <v>0</v>
      </c>
      <c r="H499" s="204">
        <v>0</v>
      </c>
      <c r="I499" s="204">
        <v>0</v>
      </c>
      <c r="J499" s="204">
        <v>0</v>
      </c>
      <c r="K499" s="205">
        <f t="shared" si="35"/>
        <v>0</v>
      </c>
      <c r="L499" s="206" t="s">
        <v>288</v>
      </c>
      <c r="N499" s="263"/>
    </row>
    <row r="500" spans="1:14" s="52" customFormat="1" ht="12.2" customHeight="1" thickBot="1" x14ac:dyDescent="0.25">
      <c r="A500" s="22" t="s">
        <v>623</v>
      </c>
      <c r="B500" s="75">
        <v>20</v>
      </c>
      <c r="C500" s="115">
        <v>10</v>
      </c>
      <c r="D500" s="2" t="s">
        <v>432</v>
      </c>
      <c r="E500" s="115"/>
      <c r="F500" s="18">
        <v>0</v>
      </c>
      <c r="G500" s="18">
        <v>0</v>
      </c>
      <c r="H500" s="18">
        <v>0</v>
      </c>
      <c r="I500" s="18">
        <v>0</v>
      </c>
      <c r="J500" s="18">
        <v>0</v>
      </c>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v>0</v>
      </c>
      <c r="G502" s="204">
        <v>0</v>
      </c>
      <c r="H502" s="204">
        <v>0</v>
      </c>
      <c r="I502" s="204">
        <v>0</v>
      </c>
      <c r="J502" s="204">
        <v>0</v>
      </c>
      <c r="K502" s="205">
        <f t="shared" si="35"/>
        <v>0</v>
      </c>
      <c r="L502" s="206" t="s">
        <v>288</v>
      </c>
      <c r="N502" s="263"/>
    </row>
    <row r="503" spans="1:14" s="52" customFormat="1" ht="12.2" customHeight="1" thickBot="1" x14ac:dyDescent="0.25">
      <c r="A503" s="22" t="s">
        <v>625</v>
      </c>
      <c r="B503" s="75">
        <v>20</v>
      </c>
      <c r="C503" s="115">
        <v>13</v>
      </c>
      <c r="D503" s="2" t="s">
        <v>432</v>
      </c>
      <c r="E503" s="115"/>
      <c r="F503" s="18">
        <v>0</v>
      </c>
      <c r="G503" s="18">
        <v>0</v>
      </c>
      <c r="H503" s="18">
        <v>0</v>
      </c>
      <c r="I503" s="18">
        <v>0</v>
      </c>
      <c r="J503" s="18">
        <v>0</v>
      </c>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310262.27+25625.7</f>
        <v>335887.97000000003</v>
      </c>
      <c r="G522" s="18">
        <f>78766.18+2417.06+2589.34</f>
        <v>83772.579999999987</v>
      </c>
      <c r="H522" s="18">
        <f>59189.24+637.94+12320.56</f>
        <v>72147.740000000005</v>
      </c>
      <c r="I522" s="18">
        <f>2184.62+916</f>
        <v>3100.62</v>
      </c>
      <c r="J522" s="18">
        <f>2254.99+2387.7</f>
        <v>4642.6899999999996</v>
      </c>
      <c r="K522" s="18">
        <v>0</v>
      </c>
      <c r="L522" s="88">
        <f>SUM(F522:K522)</f>
        <v>499551.60000000003</v>
      </c>
      <c r="N522" s="263"/>
    </row>
    <row r="523" spans="1:14" s="52" customFormat="1" ht="12.2" customHeight="1" x14ac:dyDescent="0.2">
      <c r="A523" s="22" t="s">
        <v>634</v>
      </c>
      <c r="B523" s="105">
        <v>21</v>
      </c>
      <c r="C523" s="115">
        <v>2</v>
      </c>
      <c r="D523" s="2" t="s">
        <v>432</v>
      </c>
      <c r="E523" s="115"/>
      <c r="F523" s="18">
        <v>15950.49</v>
      </c>
      <c r="G523" s="18">
        <v>4628.29</v>
      </c>
      <c r="H523" s="18">
        <v>140057</v>
      </c>
      <c r="I523" s="18">
        <v>0</v>
      </c>
      <c r="J523" s="18">
        <v>0</v>
      </c>
      <c r="K523" s="18">
        <v>0</v>
      </c>
      <c r="L523" s="88">
        <f>SUM(F523:K523)</f>
        <v>160635.78</v>
      </c>
      <c r="N523" s="263"/>
    </row>
    <row r="524" spans="1:14" s="52" customFormat="1" ht="12.2" customHeight="1" thickBot="1" x14ac:dyDescent="0.25">
      <c r="A524" s="22" t="s">
        <v>635</v>
      </c>
      <c r="B524" s="105">
        <v>21</v>
      </c>
      <c r="C524" s="115">
        <v>3</v>
      </c>
      <c r="D524" s="2" t="s">
        <v>432</v>
      </c>
      <c r="E524" s="115"/>
      <c r="F524" s="18">
        <v>15950.49</v>
      </c>
      <c r="G524" s="18">
        <v>4628.29</v>
      </c>
      <c r="H524" s="18">
        <v>404817.43</v>
      </c>
      <c r="I524" s="18">
        <v>0</v>
      </c>
      <c r="J524" s="18">
        <v>0</v>
      </c>
      <c r="K524" s="18">
        <v>0</v>
      </c>
      <c r="L524" s="88">
        <f>SUM(F524:K524)</f>
        <v>425396.20999999996</v>
      </c>
      <c r="N524" s="263"/>
    </row>
    <row r="525" spans="1:14" s="52" customFormat="1" ht="12.2" customHeight="1" thickTop="1" x14ac:dyDescent="0.2">
      <c r="A525" s="139" t="s">
        <v>63</v>
      </c>
      <c r="B525" s="107">
        <v>21</v>
      </c>
      <c r="C525" s="195">
        <v>4</v>
      </c>
      <c r="D525" s="196" t="s">
        <v>432</v>
      </c>
      <c r="E525" s="195"/>
      <c r="F525" s="108">
        <f>SUM(F522:F524)</f>
        <v>367788.95</v>
      </c>
      <c r="G525" s="108">
        <f t="shared" ref="G525:L525" si="36">SUM(G522:G524)</f>
        <v>93029.159999999974</v>
      </c>
      <c r="H525" s="108">
        <f t="shared" si="36"/>
        <v>617022.16999999993</v>
      </c>
      <c r="I525" s="108">
        <f t="shared" si="36"/>
        <v>3100.62</v>
      </c>
      <c r="J525" s="108">
        <f t="shared" si="36"/>
        <v>4642.6899999999996</v>
      </c>
      <c r="K525" s="108">
        <f t="shared" si="36"/>
        <v>0</v>
      </c>
      <c r="L525" s="89">
        <f t="shared" si="36"/>
        <v>1085583.5899999999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70234</f>
        <v>70234</v>
      </c>
      <c r="G527" s="18">
        <f>9715+564+204+87+5329+12502</f>
        <v>28401</v>
      </c>
      <c r="H527" s="18">
        <f>37605</f>
        <v>37605</v>
      </c>
      <c r="I527" s="18">
        <v>428</v>
      </c>
      <c r="J527" s="18">
        <v>0</v>
      </c>
      <c r="K527" s="18">
        <v>0</v>
      </c>
      <c r="L527" s="88">
        <f>SUM(F527:K527)</f>
        <v>136668</v>
      </c>
      <c r="M527" s="8"/>
      <c r="N527" s="264"/>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4"/>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4"/>
    </row>
    <row r="530" spans="1:14" s="3" customFormat="1" ht="12.2" customHeight="1" thickTop="1" x14ac:dyDescent="0.15">
      <c r="A530" s="139" t="s">
        <v>65</v>
      </c>
      <c r="B530" s="107">
        <v>21</v>
      </c>
      <c r="C530" s="107">
        <v>8</v>
      </c>
      <c r="D530" s="158" t="s">
        <v>432</v>
      </c>
      <c r="E530" s="107"/>
      <c r="F530" s="89">
        <f>SUM(F527:F529)</f>
        <v>70234</v>
      </c>
      <c r="G530" s="89">
        <f t="shared" ref="G530:L530" si="37">SUM(G527:G529)</f>
        <v>28401</v>
      </c>
      <c r="H530" s="89">
        <f t="shared" si="37"/>
        <v>37605</v>
      </c>
      <c r="I530" s="89">
        <f t="shared" si="37"/>
        <v>428</v>
      </c>
      <c r="J530" s="89">
        <f t="shared" si="37"/>
        <v>0</v>
      </c>
      <c r="K530" s="89">
        <f t="shared" si="37"/>
        <v>0</v>
      </c>
      <c r="L530" s="89">
        <f t="shared" si="37"/>
        <v>136668</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36968</v>
      </c>
      <c r="G532" s="18">
        <v>19270</v>
      </c>
      <c r="H532" s="18">
        <v>0</v>
      </c>
      <c r="I532" s="18">
        <v>0</v>
      </c>
      <c r="J532" s="18">
        <v>0</v>
      </c>
      <c r="K532" s="18">
        <v>0</v>
      </c>
      <c r="L532" s="88">
        <f>SUM(F532:K532)</f>
        <v>56238</v>
      </c>
      <c r="M532" s="8"/>
      <c r="N532" s="264"/>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4"/>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4"/>
    </row>
    <row r="535" spans="1:14" s="3" customFormat="1" ht="12.2" customHeight="1" thickTop="1" x14ac:dyDescent="0.15">
      <c r="A535" s="139" t="s">
        <v>67</v>
      </c>
      <c r="B535" s="107">
        <v>21</v>
      </c>
      <c r="C535" s="107">
        <v>12</v>
      </c>
      <c r="D535" s="158" t="s">
        <v>432</v>
      </c>
      <c r="E535" s="107"/>
      <c r="F535" s="89">
        <f>SUM(F532:F534)</f>
        <v>36968</v>
      </c>
      <c r="G535" s="89">
        <f t="shared" ref="G535:L535" si="38">SUM(G532:G534)</f>
        <v>19270</v>
      </c>
      <c r="H535" s="89">
        <f t="shared" si="38"/>
        <v>0</v>
      </c>
      <c r="I535" s="89">
        <f t="shared" si="38"/>
        <v>0</v>
      </c>
      <c r="J535" s="89">
        <f t="shared" si="38"/>
        <v>0</v>
      </c>
      <c r="K535" s="89">
        <f t="shared" si="38"/>
        <v>0</v>
      </c>
      <c r="L535" s="89">
        <f t="shared" si="38"/>
        <v>56238</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4"/>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4"/>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11513</v>
      </c>
      <c r="I542" s="18">
        <v>0</v>
      </c>
      <c r="J542" s="18">
        <v>0</v>
      </c>
      <c r="K542" s="18">
        <v>0</v>
      </c>
      <c r="L542" s="88">
        <f>SUM(F542:K542)</f>
        <v>11513</v>
      </c>
      <c r="M542" s="8"/>
      <c r="N542" s="264"/>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4"/>
    </row>
    <row r="544" spans="1:14" s="3" customFormat="1" ht="12.2" customHeight="1" thickBot="1" x14ac:dyDescent="0.2">
      <c r="A544" s="22" t="s">
        <v>635</v>
      </c>
      <c r="B544" s="105">
        <v>21</v>
      </c>
      <c r="C544" s="105">
        <v>19</v>
      </c>
      <c r="D544" s="2" t="s">
        <v>432</v>
      </c>
      <c r="E544" s="105"/>
      <c r="F544" s="18">
        <v>0</v>
      </c>
      <c r="G544" s="18">
        <v>0</v>
      </c>
      <c r="H544" s="18">
        <v>43467</v>
      </c>
      <c r="I544" s="18">
        <v>0</v>
      </c>
      <c r="J544" s="18">
        <v>0</v>
      </c>
      <c r="K544" s="18">
        <v>0</v>
      </c>
      <c r="L544" s="88">
        <f>SUM(F544:K544)</f>
        <v>43467</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54980</v>
      </c>
      <c r="I545" s="193">
        <f t="shared" si="40"/>
        <v>0</v>
      </c>
      <c r="J545" s="193">
        <f t="shared" si="40"/>
        <v>0</v>
      </c>
      <c r="K545" s="193">
        <f t="shared" si="40"/>
        <v>0</v>
      </c>
      <c r="L545" s="193">
        <f t="shared" si="40"/>
        <v>54980</v>
      </c>
      <c r="M545" s="8"/>
      <c r="N545" s="264"/>
    </row>
    <row r="546" spans="1:14" s="3" customFormat="1" ht="12.2" customHeight="1" thickTop="1" x14ac:dyDescent="0.15">
      <c r="A546" s="98" t="s">
        <v>72</v>
      </c>
      <c r="B546" s="107">
        <v>21</v>
      </c>
      <c r="C546" s="107">
        <v>21</v>
      </c>
      <c r="D546" s="158" t="s">
        <v>432</v>
      </c>
      <c r="E546" s="107"/>
      <c r="F546" s="89">
        <f>F525+F530+F535+F540+F545</f>
        <v>474990.95</v>
      </c>
      <c r="G546" s="89">
        <f t="shared" ref="G546:L546" si="41">G525+G530+G535+G540+G545</f>
        <v>140700.15999999997</v>
      </c>
      <c r="H546" s="89">
        <f t="shared" si="41"/>
        <v>709607.16999999993</v>
      </c>
      <c r="I546" s="89">
        <f t="shared" si="41"/>
        <v>3528.62</v>
      </c>
      <c r="J546" s="89">
        <f t="shared" si="41"/>
        <v>4642.6899999999996</v>
      </c>
      <c r="K546" s="89">
        <f t="shared" si="41"/>
        <v>0</v>
      </c>
      <c r="L546" s="89">
        <f t="shared" si="41"/>
        <v>1333469.5899999999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499551.60000000003</v>
      </c>
      <c r="G550" s="87">
        <f>L527</f>
        <v>136668</v>
      </c>
      <c r="H550" s="87">
        <f>L532</f>
        <v>56238</v>
      </c>
      <c r="I550" s="87">
        <f>L537</f>
        <v>0</v>
      </c>
      <c r="J550" s="87">
        <f>L542</f>
        <v>11513</v>
      </c>
      <c r="K550" s="87">
        <f>SUM(F550:J550)</f>
        <v>703970.60000000009</v>
      </c>
      <c r="L550" s="24" t="s">
        <v>288</v>
      </c>
      <c r="M550" s="8"/>
      <c r="N550" s="264"/>
    </row>
    <row r="551" spans="1:14" s="3" customFormat="1" ht="12.2" customHeight="1" x14ac:dyDescent="0.15">
      <c r="A551" s="22" t="s">
        <v>634</v>
      </c>
      <c r="B551" s="75">
        <v>21</v>
      </c>
      <c r="C551" s="75">
        <v>23</v>
      </c>
      <c r="D551" s="2" t="s">
        <v>432</v>
      </c>
      <c r="E551" s="75"/>
      <c r="F551" s="87">
        <f>L523</f>
        <v>160635.78</v>
      </c>
      <c r="G551" s="87">
        <f>L528</f>
        <v>0</v>
      </c>
      <c r="H551" s="87">
        <f>L533</f>
        <v>0</v>
      </c>
      <c r="I551" s="87">
        <f>L538</f>
        <v>0</v>
      </c>
      <c r="J551" s="87">
        <f>L543</f>
        <v>0</v>
      </c>
      <c r="K551" s="87">
        <f>SUM(F551:J551)</f>
        <v>160635.78</v>
      </c>
      <c r="L551" s="24" t="s">
        <v>288</v>
      </c>
      <c r="M551" s="8"/>
      <c r="N551" s="264"/>
    </row>
    <row r="552" spans="1:14" s="3" customFormat="1" ht="12.2" customHeight="1" thickBot="1" x14ac:dyDescent="0.2">
      <c r="A552" s="22" t="s">
        <v>635</v>
      </c>
      <c r="B552" s="75">
        <v>21</v>
      </c>
      <c r="C552" s="75">
        <v>24</v>
      </c>
      <c r="D552" s="2" t="s">
        <v>432</v>
      </c>
      <c r="E552" s="75"/>
      <c r="F552" s="87">
        <f>L524</f>
        <v>425396.20999999996</v>
      </c>
      <c r="G552" s="87">
        <f>L529</f>
        <v>0</v>
      </c>
      <c r="H552" s="87">
        <f>L534</f>
        <v>0</v>
      </c>
      <c r="I552" s="87">
        <f>L539</f>
        <v>0</v>
      </c>
      <c r="J552" s="87">
        <f>L544</f>
        <v>43467</v>
      </c>
      <c r="K552" s="87">
        <f>SUM(F552:J552)</f>
        <v>468863.20999999996</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1085583.5899999999</v>
      </c>
      <c r="G553" s="89">
        <f t="shared" si="42"/>
        <v>136668</v>
      </c>
      <c r="H553" s="89">
        <f t="shared" si="42"/>
        <v>56238</v>
      </c>
      <c r="I553" s="89">
        <f t="shared" si="42"/>
        <v>0</v>
      </c>
      <c r="J553" s="89">
        <f t="shared" si="42"/>
        <v>54980</v>
      </c>
      <c r="K553" s="89">
        <f t="shared" si="42"/>
        <v>1333469.5900000001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4"/>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4"/>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429628.6</v>
      </c>
      <c r="H577" s="18">
        <v>976293.28</v>
      </c>
      <c r="I577" s="87">
        <f t="shared" ref="I577:I588" si="47">SUM(F577:H577)</f>
        <v>1405921.88</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0</v>
      </c>
      <c r="H580" s="18">
        <v>0</v>
      </c>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139557</v>
      </c>
      <c r="H581" s="18">
        <v>374247.43</v>
      </c>
      <c r="I581" s="87">
        <f t="shared" si="47"/>
        <v>513804.43</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-477.75</v>
      </c>
      <c r="G583" s="18">
        <v>0</v>
      </c>
      <c r="H583" s="18">
        <v>29250</v>
      </c>
      <c r="I583" s="87">
        <f t="shared" si="47"/>
        <v>28772.25</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99986.12</v>
      </c>
      <c r="I592" s="18">
        <v>32367.439999999999</v>
      </c>
      <c r="J592" s="18">
        <v>69942.899999999994</v>
      </c>
      <c r="K592" s="104">
        <f t="shared" ref="K592:K598" si="48">SUM(H592:J592)</f>
        <v>202296.46</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11513</v>
      </c>
      <c r="I593" s="18">
        <v>0</v>
      </c>
      <c r="J593" s="18">
        <v>43467</v>
      </c>
      <c r="K593" s="104">
        <f t="shared" si="48"/>
        <v>54980</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153.6</v>
      </c>
      <c r="I596" s="18">
        <v>0</v>
      </c>
      <c r="J596" s="18">
        <v>0</v>
      </c>
      <c r="K596" s="104">
        <f t="shared" si="48"/>
        <v>153.6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111652.72</v>
      </c>
      <c r="I599" s="108">
        <f>SUM(I592:I598)</f>
        <v>32367.439999999999</v>
      </c>
      <c r="J599" s="108">
        <f>SUM(J592:J598)</f>
        <v>113409.9</v>
      </c>
      <c r="K599" s="108">
        <f>SUM(K592:K598)</f>
        <v>257430.06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3142.26+15968.32+7500+1916.55+2387.7+28062.81</f>
        <v>58977.64</v>
      </c>
      <c r="I605" s="18">
        <v>0</v>
      </c>
      <c r="J605" s="18">
        <v>0</v>
      </c>
      <c r="K605" s="104">
        <f>SUM(H605:J605)</f>
        <v>58977.64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58977.64</v>
      </c>
      <c r="I606" s="108">
        <f>SUM(I603:I605)</f>
        <v>0</v>
      </c>
      <c r="J606" s="108">
        <f>SUM(J603:J605)</f>
        <v>0</v>
      </c>
      <c r="K606" s="108">
        <f>SUM(K603:K605)</f>
        <v>58977.64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3300</v>
      </c>
      <c r="G612" s="18">
        <f>252.45+587.41</f>
        <v>839.8599999999999</v>
      </c>
      <c r="H612" s="18">
        <v>0</v>
      </c>
      <c r="I612" s="18">
        <v>274.16000000000003</v>
      </c>
      <c r="J612" s="18">
        <v>0</v>
      </c>
      <c r="K612" s="18">
        <v>0</v>
      </c>
      <c r="L612" s="88">
        <f>SUM(F612:K612)</f>
        <v>4414.0199999999995</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3300</v>
      </c>
      <c r="G615" s="108">
        <f t="shared" si="49"/>
        <v>839.8599999999999</v>
      </c>
      <c r="H615" s="108">
        <f t="shared" si="49"/>
        <v>0</v>
      </c>
      <c r="I615" s="108">
        <f t="shared" si="49"/>
        <v>274.16000000000003</v>
      </c>
      <c r="J615" s="108">
        <f t="shared" si="49"/>
        <v>0</v>
      </c>
      <c r="K615" s="108">
        <f t="shared" si="49"/>
        <v>0</v>
      </c>
      <c r="L615" s="89">
        <f t="shared" si="49"/>
        <v>4414.0199999999995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1798899.73</v>
      </c>
      <c r="H618" s="109">
        <f>SUM(F52)</f>
        <v>1798899.73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500829.07</v>
      </c>
      <c r="H619" s="109">
        <f>SUM(G52)</f>
        <v>500829.07000000007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763438.78</v>
      </c>
      <c r="H620" s="109">
        <f>SUM(H52)</f>
        <v>763438.78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538288.74</v>
      </c>
      <c r="H622" s="109">
        <f>SUM(J52)</f>
        <v>538288.74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473943.68000000005</v>
      </c>
      <c r="H623" s="109">
        <f>F477</f>
        <v>473943.68000000063</v>
      </c>
      <c r="I623" s="121" t="s">
        <v>101</v>
      </c>
      <c r="J623" s="109">
        <f t="shared" ref="J623:J656" si="50">G623-H623</f>
        <v>-5.8207660913467407E-10</v>
      </c>
      <c r="K623" s="109"/>
      <c r="L623" s="109"/>
      <c r="M623" s="8"/>
    </row>
    <row r="624" spans="1:14" s="3" customFormat="1" ht="12.2" customHeight="1" x14ac:dyDescent="0.15">
      <c r="A624" s="97"/>
      <c r="B624" s="105"/>
      <c r="C624" s="119"/>
      <c r="D624" s="119"/>
      <c r="E624" s="119"/>
      <c r="F624" s="119" t="s">
        <v>866</v>
      </c>
      <c r="G624" s="109">
        <f>G51</f>
        <v>33383.53</v>
      </c>
      <c r="H624" s="109">
        <f>G477</f>
        <v>33383.53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268.74</v>
      </c>
      <c r="H625" s="109">
        <f>H477</f>
        <v>268.73999999999069</v>
      </c>
      <c r="I625" s="121" t="s">
        <v>103</v>
      </c>
      <c r="J625" s="109">
        <f t="shared" si="50"/>
        <v>9.3223206931725144E-12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538288.74</v>
      </c>
      <c r="H627" s="109">
        <f>J477</f>
        <v>538288.74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5645351.1799999997</v>
      </c>
      <c r="H628" s="104">
        <f>SUM(F469)</f>
        <v>5645351.1799999997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36054.6</v>
      </c>
      <c r="H629" s="104">
        <f>SUM(G469)</f>
        <v>36054.6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140058.49</v>
      </c>
      <c r="H630" s="104">
        <f>SUM(H469)</f>
        <v>140058.49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98976.86</v>
      </c>
      <c r="H632" s="104">
        <f>SUM(J469)</f>
        <v>98976.86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5540839.8699999992</v>
      </c>
      <c r="H633" s="104">
        <f>SUM(F473)</f>
        <v>5540839.8699999992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140000.75</v>
      </c>
      <c r="H634" s="104">
        <f>SUM(H473)</f>
        <v>140000.75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2671.55</v>
      </c>
      <c r="H635" s="104">
        <f>I370</f>
        <v>2671.55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2671.55</v>
      </c>
      <c r="H636" s="104">
        <f>SUM(G473)</f>
        <v>2671.55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98976.86</v>
      </c>
      <c r="H638" s="164">
        <f>SUM(J469)</f>
        <v>98976.86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538288.74</v>
      </c>
      <c r="H640" s="104">
        <f>SUM(F462)</f>
        <v>538288.74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538288.74</v>
      </c>
      <c r="H643" s="104">
        <f>SUM(I462)</f>
        <v>538288.74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976.86</v>
      </c>
      <c r="H645" s="104">
        <f>H409</f>
        <v>976.86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98000</v>
      </c>
      <c r="H646" s="104">
        <f>G409</f>
        <v>98000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98976.86</v>
      </c>
      <c r="H647" s="104">
        <f>L409</f>
        <v>98976.86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257430.06</v>
      </c>
      <c r="H648" s="104">
        <f>L209+L227+L245</f>
        <v>257430.06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58977.64</v>
      </c>
      <c r="H649" s="104">
        <f>(J258+J339)-(J256+J337)</f>
        <v>58977.64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111652.72</v>
      </c>
      <c r="H650" s="104">
        <f>H599</f>
        <v>111652.72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32367.439999999999</v>
      </c>
      <c r="H651" s="104">
        <f>I599</f>
        <v>32367.439999999999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113409.9</v>
      </c>
      <c r="H652" s="104">
        <f>J599</f>
        <v>113409.9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98000</v>
      </c>
      <c r="H656" s="104">
        <f>K267+K348</f>
        <v>98000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3351534.1999999997</v>
      </c>
      <c r="G661" s="19">
        <f>(L230+L310+L360)</f>
        <v>653745.19999999984</v>
      </c>
      <c r="H661" s="19">
        <f>(L248+L329+L361)</f>
        <v>1580232.77</v>
      </c>
      <c r="I661" s="19">
        <f>SUM(F661:H661)</f>
        <v>5585512.1699999999</v>
      </c>
      <c r="J661" s="13"/>
      <c r="K661" s="13"/>
      <c r="L661" s="13"/>
      <c r="M661" s="9"/>
    </row>
    <row r="662" spans="1:13" s="3" customFormat="1" ht="12.2" customHeight="1" x14ac:dyDescent="0.2">
      <c r="A662" s="1" t="s">
        <v>127</v>
      </c>
      <c r="F662" s="19">
        <f>(L359/IF(SUM(L359:L361)=0,1,SUM(L359:L361))*(SUM(G97:G110)))</f>
        <v>-308</v>
      </c>
      <c r="G662" s="19">
        <f>(L360/IF(SUM(L359:L361)=0,1,SUM(L359:L361))*(SUM(G97:G110)))</f>
        <v>0</v>
      </c>
      <c r="H662" s="19">
        <f>(L361/IF(SUM(L359:L361)=0,1,SUM(L359:L361))*(SUM(G97:G110)))</f>
        <v>0</v>
      </c>
      <c r="I662" s="19">
        <f>SUM(F662:H662)</f>
        <v>-308</v>
      </c>
      <c r="J662"/>
      <c r="K662" s="13"/>
      <c r="L662" s="13"/>
      <c r="M662" s="8"/>
    </row>
    <row r="663" spans="1:13" s="3" customFormat="1" ht="12.2" customHeight="1" x14ac:dyDescent="0.2">
      <c r="A663" s="1" t="s">
        <v>128</v>
      </c>
      <c r="F663" s="19">
        <f>(L209+L288)-(J209+J288)</f>
        <v>111652.72</v>
      </c>
      <c r="G663" s="19">
        <f>(L227+L307)-(J227+J307)</f>
        <v>32367.439999999999</v>
      </c>
      <c r="H663" s="19">
        <f>(L245+L326)-(J245+J326)</f>
        <v>113409.9</v>
      </c>
      <c r="I663" s="19">
        <f>SUM(F663:H663)</f>
        <v>257430.06</v>
      </c>
      <c r="J663"/>
      <c r="K663" s="13"/>
      <c r="L663" s="13"/>
      <c r="M663" s="9"/>
    </row>
    <row r="664" spans="1:13" s="3" customFormat="1" ht="12.2" customHeight="1" x14ac:dyDescent="0.15">
      <c r="A664" s="198" t="s">
        <v>129</v>
      </c>
      <c r="B664" s="169"/>
      <c r="C664" s="169"/>
      <c r="D664" s="169"/>
      <c r="E664" s="169"/>
      <c r="F664" s="199">
        <f>SUM(F576:F588)+SUM(H603:H605)+SUM(L612)</f>
        <v>62913.909999999996</v>
      </c>
      <c r="G664" s="199">
        <f>SUM(G576:G588)+SUM(I603:I605)+L613</f>
        <v>569185.6</v>
      </c>
      <c r="H664" s="199">
        <f>SUM(H576:H588)+SUM(J603:J605)+L614</f>
        <v>1379790.71</v>
      </c>
      <c r="I664" s="19">
        <f>SUM(F664:H664)</f>
        <v>2011890.22</v>
      </c>
      <c r="J664" s="13"/>
      <c r="K664" s="13"/>
      <c r="L664" s="13"/>
      <c r="M664" s="9"/>
    </row>
    <row r="665" spans="1:13" s="3" customFormat="1" ht="12.2" customHeight="1" x14ac:dyDescent="0.15">
      <c r="A665" s="1" t="s">
        <v>130</v>
      </c>
      <c r="F665" s="19">
        <f>F661-SUM(F662:F664)</f>
        <v>3177275.57</v>
      </c>
      <c r="G665" s="19">
        <f>G661-SUM(G662:G664)</f>
        <v>52192.159999999916</v>
      </c>
      <c r="H665" s="19">
        <f>H661-SUM(H662:H664)</f>
        <v>87032.160000000149</v>
      </c>
      <c r="I665" s="19">
        <f>I661-SUM(I662:I664)</f>
        <v>3316499.89</v>
      </c>
      <c r="J665" s="13"/>
      <c r="K665" s="13"/>
      <c r="L665" s="13"/>
      <c r="M665" s="8"/>
    </row>
    <row r="666" spans="1:13" s="3" customFormat="1" ht="12.2" customHeight="1" x14ac:dyDescent="0.25">
      <c r="A666" s="1" t="s">
        <v>131</v>
      </c>
      <c r="F666" s="391">
        <v>138.33000000000001</v>
      </c>
      <c r="G666" s="391">
        <v>0</v>
      </c>
      <c r="H666" s="391">
        <v>0</v>
      </c>
      <c r="I666" s="19">
        <f>SUM(F666:H666)</f>
        <v>138.33000000000001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22968.81</v>
      </c>
      <c r="G668" s="19" t="e">
        <f>ROUND(G665/G666,2)</f>
        <v>#DIV/0!</v>
      </c>
      <c r="H668" s="19" t="e">
        <f>ROUND(H665/H666,2)</f>
        <v>#DIV/0!</v>
      </c>
      <c r="I668" s="19">
        <f>ROUND(I665/I666,2)</f>
        <v>23975.279999999999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-52192.160000000003</v>
      </c>
      <c r="H670" s="18">
        <v>-87032.16</v>
      </c>
      <c r="I670" s="19">
        <f>SUM(F670:H670)</f>
        <v>-139224.32000000001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22968.81</v>
      </c>
      <c r="G673" s="19" t="e">
        <f>ROUND((G665+G670)/(G666+G671),2)</f>
        <v>#DIV/0!</v>
      </c>
      <c r="H673" s="19" t="e">
        <f>ROUND((H665+H670)/(H666+H671),2)</f>
        <v>#DIV/0!</v>
      </c>
      <c r="I673" s="19">
        <f>ROUND((I665+I670)/(I666+I671),2)</f>
        <v>22968.81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2" sqref="E22"/>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13054.77</v>
      </c>
      <c r="F7" s="346"/>
    </row>
    <row r="8" spans="2:6" x14ac:dyDescent="0.25">
      <c r="B8" s="346"/>
      <c r="C8" s="346"/>
      <c r="D8" s="346"/>
      <c r="E8" s="346"/>
      <c r="F8" s="346"/>
    </row>
    <row r="9" spans="2:6" x14ac:dyDescent="0.25">
      <c r="B9" s="346"/>
      <c r="C9" s="346" t="s">
        <v>1650</v>
      </c>
      <c r="D9" s="346" t="s">
        <v>1651</v>
      </c>
      <c r="E9" s="341">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61400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E24+E26</f>
        <v>66954.76999999999</v>
      </c>
      <c r="F22" s="346"/>
    </row>
    <row r="23" spans="2:8" x14ac:dyDescent="0.25">
      <c r="B23" s="346"/>
      <c r="C23" s="346"/>
      <c r="D23" s="346"/>
      <c r="E23" s="346"/>
      <c r="F23" s="346"/>
    </row>
    <row r="24" spans="2:8" ht="26.25" customHeight="1" x14ac:dyDescent="0.25">
      <c r="B24" s="346"/>
      <c r="C24" s="348" t="s">
        <v>1661</v>
      </c>
      <c r="D24" s="346"/>
      <c r="E24" s="341">
        <v>45992.2</v>
      </c>
      <c r="F24" s="346"/>
    </row>
    <row r="25" spans="2:8" ht="18" x14ac:dyDescent="0.25">
      <c r="B25" s="346"/>
      <c r="C25" s="349"/>
      <c r="D25" s="346"/>
      <c r="E25" s="346"/>
      <c r="F25" s="346"/>
    </row>
    <row r="26" spans="2:8" ht="27.75" customHeight="1" x14ac:dyDescent="0.25">
      <c r="B26" s="346"/>
      <c r="C26" s="348" t="s">
        <v>1662</v>
      </c>
      <c r="D26" s="346"/>
      <c r="E26" s="341">
        <f>5554.77+15407.8</f>
        <v>20962.57</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7500</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402</v>
      </c>
      <c r="C3" s="320"/>
      <c r="D3" s="320"/>
      <c r="E3" s="320"/>
      <c r="F3" s="320"/>
      <c r="G3" s="320"/>
      <c r="H3" s="320"/>
      <c r="I3" t="s">
        <v>1621</v>
      </c>
    </row>
    <row r="4" spans="1:9" x14ac:dyDescent="0.2">
      <c r="I4" t="s">
        <v>1622</v>
      </c>
    </row>
    <row r="5" spans="1:9" ht="15.75" x14ac:dyDescent="0.25">
      <c r="A5" s="316" t="s">
        <v>908</v>
      </c>
      <c r="B5" s="361" t="str">
        <f>'DOE25'!A2</f>
        <v>Rollinsford</v>
      </c>
      <c r="C5" s="362"/>
      <c r="D5" s="362"/>
      <c r="E5" s="362"/>
      <c r="F5" s="362"/>
    </row>
    <row r="8" spans="1:9" ht="18" x14ac:dyDescent="0.25">
      <c r="A8" s="317" t="s">
        <v>1576</v>
      </c>
      <c r="F8" s="324" t="s">
        <v>1594</v>
      </c>
    </row>
    <row r="9" spans="1:9" ht="15" x14ac:dyDescent="0.2">
      <c r="A9" s="315" t="s">
        <v>1577</v>
      </c>
      <c r="B9" s="318">
        <f>'DOE25'!G97</f>
        <v>-308</v>
      </c>
      <c r="F9" s="315" t="s">
        <v>1590</v>
      </c>
    </row>
    <row r="10" spans="1:9" ht="15" x14ac:dyDescent="0.2">
      <c r="A10" s="315" t="s">
        <v>1578</v>
      </c>
      <c r="B10" s="318">
        <f>'DOE25'!G112-'DOE25'!G97</f>
        <v>0</v>
      </c>
      <c r="F10" s="315" t="s">
        <v>1591</v>
      </c>
    </row>
    <row r="11" spans="1:9" ht="15" x14ac:dyDescent="0.2">
      <c r="A11" s="315" t="s">
        <v>1579</v>
      </c>
      <c r="B11" s="318">
        <f>'DOE25'!G140</f>
        <v>540.89</v>
      </c>
      <c r="F11" s="315" t="s">
        <v>1592</v>
      </c>
    </row>
    <row r="12" spans="1:9" ht="15" x14ac:dyDescent="0.2">
      <c r="A12" s="315" t="s">
        <v>1580</v>
      </c>
      <c r="B12" s="318">
        <f>'DOE25'!G170</f>
        <v>35821.71</v>
      </c>
      <c r="F12" s="315" t="s">
        <v>1593</v>
      </c>
    </row>
    <row r="13" spans="1:9" ht="15" x14ac:dyDescent="0.2">
      <c r="A13" s="315" t="s">
        <v>1581</v>
      </c>
      <c r="B13" s="318">
        <f>'DOE25'!G193-'DOE25'!G180</f>
        <v>0</v>
      </c>
      <c r="F13" s="315" t="s">
        <v>1603</v>
      </c>
    </row>
    <row r="14" spans="1:9" ht="18" x14ac:dyDescent="0.25">
      <c r="A14" s="317" t="s">
        <v>732</v>
      </c>
      <c r="B14" s="319">
        <f>SUM(B9:B13)</f>
        <v>36054.6</v>
      </c>
    </row>
    <row r="16" spans="1:9" ht="18" x14ac:dyDescent="0.25">
      <c r="A16" s="317" t="s">
        <v>786</v>
      </c>
      <c r="F16" s="324" t="s">
        <v>1595</v>
      </c>
    </row>
    <row r="17" spans="1:6" ht="15" x14ac:dyDescent="0.2">
      <c r="A17" s="315" t="s">
        <v>1582</v>
      </c>
      <c r="B17" s="318">
        <f>'DOE25'!L363-'DOE25'!L362</f>
        <v>2671.55</v>
      </c>
      <c r="F17" s="315" t="s">
        <v>1596</v>
      </c>
    </row>
    <row r="18" spans="1:6" ht="15" x14ac:dyDescent="0.2">
      <c r="A18" s="315" t="s">
        <v>1583</v>
      </c>
      <c r="B18" s="328">
        <v>0</v>
      </c>
      <c r="F18" s="324" t="s">
        <v>1620</v>
      </c>
    </row>
    <row r="19" spans="1:6" ht="18" x14ac:dyDescent="0.25">
      <c r="A19" s="317" t="s">
        <v>725</v>
      </c>
      <c r="B19" s="319">
        <f>SUM(B17:B18)</f>
        <v>2671.55</v>
      </c>
    </row>
    <row r="21" spans="1:6" ht="18.75" thickBot="1" x14ac:dyDescent="0.3">
      <c r="A21" s="317" t="s">
        <v>1584</v>
      </c>
    </row>
    <row r="22" spans="1:6" ht="18.75" thickTop="1" x14ac:dyDescent="0.25">
      <c r="A22" s="317" t="s">
        <v>1585</v>
      </c>
      <c r="B22" s="323">
        <f>B14-B19</f>
        <v>33383.049999999996</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0.48</v>
      </c>
      <c r="F31" s="315" t="s">
        <v>1600</v>
      </c>
    </row>
    <row r="33" spans="1:6" ht="15" x14ac:dyDescent="0.2">
      <c r="A33" s="315" t="s">
        <v>1629</v>
      </c>
      <c r="B33" s="318">
        <f>'DOE25'!G477</f>
        <v>33383.53</v>
      </c>
      <c r="F33" s="315" t="s">
        <v>1601</v>
      </c>
    </row>
    <row r="36" spans="1:6" ht="15" x14ac:dyDescent="0.2">
      <c r="A36" s="315" t="s">
        <v>1587</v>
      </c>
      <c r="B36" s="329">
        <v>3350.69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8" sqref="B1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Rollinsford</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893098.28</v>
      </c>
      <c r="C9" s="229">
        <f>'DOE25'!G198+'DOE25'!G216+'DOE25'!G234+'DOE25'!G277+'DOE25'!G296+'DOE25'!G315</f>
        <v>390415.5</v>
      </c>
    </row>
    <row r="10" spans="1:3" x14ac:dyDescent="0.2">
      <c r="A10" t="s">
        <v>775</v>
      </c>
      <c r="B10" s="240">
        <f>775627.6+17966.37</f>
        <v>793593.97</v>
      </c>
      <c r="C10" s="240">
        <f>171476.27+4355.12+2182.65+1243.35+495.37+57614.68+114970.41+1374.42+3183.09+19458.94</f>
        <v>376354.3</v>
      </c>
    </row>
    <row r="11" spans="1:3" x14ac:dyDescent="0.2">
      <c r="A11" t="s">
        <v>776</v>
      </c>
      <c r="B11" s="240">
        <f>62796.26+16558.05</f>
        <v>79354.31</v>
      </c>
      <c r="C11" s="240">
        <f>4803.94+1266.62+5916.2+321.7</f>
        <v>12308.46</v>
      </c>
    </row>
    <row r="12" spans="1:3" x14ac:dyDescent="0.2">
      <c r="A12" t="s">
        <v>777</v>
      </c>
      <c r="B12" s="240">
        <v>20150</v>
      </c>
      <c r="C12" s="240">
        <f>1541.58+11.16+200</f>
        <v>1752.74</v>
      </c>
    </row>
    <row r="13" spans="1:3" x14ac:dyDescent="0.2">
      <c r="A13" t="str">
        <f>IF(B9=B13,IF(C9=C13,"Check Total OK","Check Total Error"),"Check Total Error")</f>
        <v>Check Total OK</v>
      </c>
      <c r="B13" s="231">
        <f>SUM(B10:B12)</f>
        <v>893098.28</v>
      </c>
      <c r="C13" s="231">
        <f>SUM(C10:C12)</f>
        <v>390415.5</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367788.95</v>
      </c>
      <c r="C18" s="229">
        <f>'DOE25'!G199+'DOE25'!G217+'DOE25'!G235+'DOE25'!G278+'DOE25'!G297+'DOE25'!G316</f>
        <v>93029.159999999974</v>
      </c>
    </row>
    <row r="19" spans="1:3" x14ac:dyDescent="0.2">
      <c r="A19" t="s">
        <v>775</v>
      </c>
      <c r="B19" s="240">
        <f>132680.13+15950.49+15950.49</f>
        <v>164581.10999999999</v>
      </c>
      <c r="C19" s="240">
        <f>10464.95+375+375+846.04+140.98+140.98+321.17+47.39+47.39+128.85+21.67+21.67+10093.71+1204.29+1204.29+23617.53+2838.96+2838.96</f>
        <v>54728.83</v>
      </c>
    </row>
    <row r="20" spans="1:3" x14ac:dyDescent="0.2">
      <c r="A20" t="s">
        <v>776</v>
      </c>
      <c r="B20" s="240">
        <f>25567.2+152014.94</f>
        <v>177582.14</v>
      </c>
      <c r="C20" s="240">
        <f>1955.91+11443.06+787.34+2855.86+14600.16+1651.6</f>
        <v>33293.93</v>
      </c>
    </row>
    <row r="21" spans="1:3" x14ac:dyDescent="0.2">
      <c r="A21" t="s">
        <v>777</v>
      </c>
      <c r="B21" s="240">
        <v>25625.7</v>
      </c>
      <c r="C21" s="240">
        <f>2417.06+2589.34</f>
        <v>5006.3999999999996</v>
      </c>
    </row>
    <row r="22" spans="1:3" x14ac:dyDescent="0.2">
      <c r="A22" t="str">
        <f>IF(B18=B22,IF(C18=C22,"Check Total OK","Check Total Error"),"Check Total Error")</f>
        <v>Check Total OK</v>
      </c>
      <c r="B22" s="231">
        <f>SUM(B19:B21)</f>
        <v>367788.95</v>
      </c>
      <c r="C22" s="231">
        <f>SUM(C19:C21)</f>
        <v>93029.16</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3620</v>
      </c>
      <c r="C36" s="235">
        <f>'DOE25'!G201+'DOE25'!G219+'DOE25'!G237+'DOE25'!G280+'DOE25'!G299+'DOE25'!G318</f>
        <v>864.34</v>
      </c>
    </row>
    <row r="37" spans="1:3" x14ac:dyDescent="0.2">
      <c r="A37" t="s">
        <v>775</v>
      </c>
      <c r="B37" s="240">
        <v>3300</v>
      </c>
      <c r="C37" s="240">
        <f>252.45+587.41</f>
        <v>839.8599999999999</v>
      </c>
    </row>
    <row r="38" spans="1:3" x14ac:dyDescent="0.2">
      <c r="A38" t="s">
        <v>776</v>
      </c>
      <c r="B38" s="240">
        <v>0</v>
      </c>
      <c r="C38" s="240">
        <v>0</v>
      </c>
    </row>
    <row r="39" spans="1:3" x14ac:dyDescent="0.2">
      <c r="A39" t="s">
        <v>777</v>
      </c>
      <c r="B39" s="240">
        <v>320</v>
      </c>
      <c r="C39" s="240">
        <v>24.48</v>
      </c>
    </row>
    <row r="40" spans="1:3" x14ac:dyDescent="0.2">
      <c r="A40" t="str">
        <f>IF(B36=B40,IF(C36=C40,"Check Total OK","Check Total Error"),"Check Total Error")</f>
        <v>Check Total OK</v>
      </c>
      <c r="B40" s="231">
        <f>SUM(B37:B39)</f>
        <v>3620</v>
      </c>
      <c r="C40" s="231">
        <f>SUM(C37:C39)</f>
        <v>864.33999999999992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Rollinsford</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3877239</v>
      </c>
      <c r="D5" s="20">
        <f>SUM('DOE25'!L198:L201)+SUM('DOE25'!L216:L219)+SUM('DOE25'!L234:L237)-F5-G5-H5</f>
        <v>3866413.57</v>
      </c>
      <c r="E5" s="243"/>
      <c r="F5" s="244">
        <v>1340</v>
      </c>
      <c r="G5" s="53">
        <f>SUM('DOE25'!J198:J201)+SUM('DOE25'!J216:J219)+SUM('DOE25'!J234:J237)</f>
        <v>9485.43</v>
      </c>
      <c r="H5" s="53">
        <f>SUM('DOE25'!K198:K201)+SUM('DOE25'!K216:K219)+SUM('DOE25'!K234:K237)</f>
        <v>0</v>
      </c>
      <c r="I5" s="254"/>
    </row>
    <row r="6" spans="1:9" x14ac:dyDescent="0.2">
      <c r="A6" s="32">
        <v>2100</v>
      </c>
      <c r="B6" t="s">
        <v>796</v>
      </c>
      <c r="C6" s="273">
        <f t="shared" si="0"/>
        <v>345044.98</v>
      </c>
      <c r="D6" s="20">
        <f>'DOE25'!L203+'DOE25'!L221+'DOE25'!L239-F6-G6-H6</f>
        <v>332729.24</v>
      </c>
      <c r="E6" s="243"/>
      <c r="F6" s="244">
        <v>11761.14</v>
      </c>
      <c r="G6" s="53">
        <f>'DOE25'!J203+'DOE25'!J221+'DOE25'!J239</f>
        <v>554.6</v>
      </c>
      <c r="H6" s="53">
        <f>'DOE25'!K203+'DOE25'!K221+'DOE25'!K239</f>
        <v>0</v>
      </c>
      <c r="I6" s="254"/>
    </row>
    <row r="7" spans="1:9" x14ac:dyDescent="0.2">
      <c r="A7" s="32">
        <v>2200</v>
      </c>
      <c r="B7" t="s">
        <v>821</v>
      </c>
      <c r="C7" s="273">
        <f t="shared" si="0"/>
        <v>68740.249999999985</v>
      </c>
      <c r="D7" s="20">
        <f>'DOE25'!L204+'DOE25'!L222+'DOE25'!L240-F7-G7-H7</f>
        <v>64876.52</v>
      </c>
      <c r="E7" s="243"/>
      <c r="F7" s="244">
        <v>0</v>
      </c>
      <c r="G7" s="53">
        <f>'DOE25'!J204+'DOE25'!J222+'DOE25'!J240</f>
        <v>1828.83</v>
      </c>
      <c r="H7" s="53">
        <f>'DOE25'!K204+'DOE25'!K222+'DOE25'!K240</f>
        <v>2034.9</v>
      </c>
      <c r="I7" s="254"/>
    </row>
    <row r="8" spans="1:9" x14ac:dyDescent="0.2">
      <c r="A8" s="32">
        <v>2300</v>
      </c>
      <c r="B8" t="s">
        <v>797</v>
      </c>
      <c r="C8" s="273">
        <f t="shared" si="0"/>
        <v>172710.77999999997</v>
      </c>
      <c r="D8" s="243"/>
      <c r="E8" s="20">
        <f>'DOE25'!L205+'DOE25'!L223+'DOE25'!L241-F8-G8-H8-D9-D11</f>
        <v>169451.47999999998</v>
      </c>
      <c r="F8" s="244">
        <v>0</v>
      </c>
      <c r="G8" s="53">
        <f>'DOE25'!J205+'DOE25'!J223+'DOE25'!J241</f>
        <v>0</v>
      </c>
      <c r="H8" s="53">
        <f>'DOE25'!K205+'DOE25'!K223+'DOE25'!K241</f>
        <v>3259.3</v>
      </c>
      <c r="I8" s="254"/>
    </row>
    <row r="9" spans="1:9" ht="14.25" x14ac:dyDescent="0.2">
      <c r="A9" s="32">
        <v>2310</v>
      </c>
      <c r="B9" s="185" t="s">
        <v>888</v>
      </c>
      <c r="C9" s="273">
        <f t="shared" si="0"/>
        <v>16406.54</v>
      </c>
      <c r="D9" s="244">
        <f>3259.3+10311.34+2820.9+15</f>
        <v>16406.54</v>
      </c>
      <c r="E9" s="243"/>
      <c r="F9" s="251"/>
      <c r="G9" s="251"/>
      <c r="H9" s="251"/>
      <c r="I9" s="254"/>
    </row>
    <row r="10" spans="1:9" ht="14.25" x14ac:dyDescent="0.2">
      <c r="A10" s="32">
        <v>2317</v>
      </c>
      <c r="B10" s="185" t="s">
        <v>889</v>
      </c>
      <c r="C10" s="273">
        <f t="shared" si="0"/>
        <v>9975</v>
      </c>
      <c r="D10" s="243"/>
      <c r="E10" s="244">
        <v>9975</v>
      </c>
      <c r="F10" s="251"/>
      <c r="G10" s="251"/>
      <c r="H10" s="251"/>
      <c r="I10" s="254"/>
    </row>
    <row r="11" spans="1:9" ht="14.25" x14ac:dyDescent="0.2">
      <c r="A11" s="32">
        <v>2321</v>
      </c>
      <c r="B11" s="185" t="s">
        <v>890</v>
      </c>
      <c r="C11" s="273">
        <f t="shared" si="0"/>
        <v>65469.72</v>
      </c>
      <c r="D11" s="244">
        <v>65469.72</v>
      </c>
      <c r="E11" s="243"/>
      <c r="F11" s="251"/>
      <c r="G11" s="251"/>
      <c r="H11" s="251"/>
      <c r="I11" s="254"/>
    </row>
    <row r="12" spans="1:9" x14ac:dyDescent="0.2">
      <c r="A12" s="32">
        <v>2400</v>
      </c>
      <c r="B12" t="s">
        <v>711</v>
      </c>
      <c r="C12" s="273">
        <f t="shared" si="0"/>
        <v>206924.09</v>
      </c>
      <c r="D12" s="20">
        <f>'DOE25'!L206+'DOE25'!L224+'DOE25'!L242-F12-G12-H12</f>
        <v>205104</v>
      </c>
      <c r="E12" s="243"/>
      <c r="F12" s="244">
        <v>0</v>
      </c>
      <c r="G12" s="53">
        <f>'DOE25'!J206+'DOE25'!J224+'DOE25'!J242</f>
        <v>1820.09</v>
      </c>
      <c r="H12" s="53">
        <f>'DOE25'!K206+'DOE25'!K224+'DOE25'!K242</f>
        <v>0</v>
      </c>
      <c r="I12" s="254"/>
    </row>
    <row r="13" spans="1:9" x14ac:dyDescent="0.2">
      <c r="A13" s="32">
        <v>2500</v>
      </c>
      <c r="B13" t="s">
        <v>798</v>
      </c>
      <c r="C13" s="273">
        <f t="shared" si="0"/>
        <v>0</v>
      </c>
      <c r="D13" s="243"/>
      <c r="E13" s="20">
        <f>'DOE25'!L207+'DOE25'!L225+'DOE25'!L243-F13-G13-H13</f>
        <v>0</v>
      </c>
      <c r="F13" s="244">
        <v>0</v>
      </c>
      <c r="G13" s="53">
        <f>'DOE25'!J207+'DOE25'!J225+'DOE25'!J243</f>
        <v>0</v>
      </c>
      <c r="H13" s="53">
        <f>'DOE25'!K207+'DOE25'!K225+'DOE25'!K243</f>
        <v>0</v>
      </c>
      <c r="I13" s="254"/>
    </row>
    <row r="14" spans="1:9" x14ac:dyDescent="0.2">
      <c r="A14" s="32">
        <v>2600</v>
      </c>
      <c r="B14" t="s">
        <v>819</v>
      </c>
      <c r="C14" s="273">
        <f t="shared" si="0"/>
        <v>432874.44999999995</v>
      </c>
      <c r="D14" s="20">
        <f>'DOE25'!L208+'DOE25'!L226+'DOE25'!L244-F14-G14-H14</f>
        <v>384257.58999999997</v>
      </c>
      <c r="E14" s="243"/>
      <c r="F14" s="244">
        <f>12935+21308</f>
        <v>34243</v>
      </c>
      <c r="G14" s="53">
        <f>'DOE25'!J208+'DOE25'!J226+'DOE25'!J244</f>
        <v>14373.86</v>
      </c>
      <c r="H14" s="53">
        <f>'DOE25'!K208+'DOE25'!K226+'DOE25'!K244</f>
        <v>0</v>
      </c>
      <c r="I14" s="254"/>
    </row>
    <row r="15" spans="1:9" x14ac:dyDescent="0.2">
      <c r="A15" s="32">
        <v>2700</v>
      </c>
      <c r="B15" t="s">
        <v>799</v>
      </c>
      <c r="C15" s="273">
        <f t="shared" si="0"/>
        <v>257430.06</v>
      </c>
      <c r="D15" s="20">
        <f>'DOE25'!L209+'DOE25'!L227+'DOE25'!L245-F15-G15-H15</f>
        <v>54958.600000000006</v>
      </c>
      <c r="E15" s="243"/>
      <c r="F15" s="244">
        <f>177296.46+25175</f>
        <v>202471.46</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v>0</v>
      </c>
      <c r="G16" s="53">
        <f>'DOE25'!J210+'DOE25'!J228+'DOE25'!J246</f>
        <v>0</v>
      </c>
      <c r="H16" s="53">
        <f>'DOE25'!K210+'DOE25'!K228+'DOE25'!K246</f>
        <v>0</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2671.55</v>
      </c>
      <c r="D29" s="281">
        <f>'DOE25'!L359+'DOE25'!L360+'DOE25'!L361-'DOE25'!I368-F29-G29-H29</f>
        <v>2671.55</v>
      </c>
      <c r="E29" s="243"/>
      <c r="F29" s="244">
        <v>0</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140000.75</v>
      </c>
      <c r="D31" s="20">
        <f>'DOE25'!L291+'DOE25'!L310+'DOE25'!L329+'DOE25'!L334+'DOE25'!L335+'DOE25'!L336-F31-G31-H31</f>
        <v>108925.22</v>
      </c>
      <c r="E31" s="243"/>
      <c r="F31" s="244">
        <v>0</v>
      </c>
      <c r="G31" s="53">
        <f>'DOE25'!J291+'DOE25'!J310+'DOE25'!J329+'DOE25'!J334+'DOE25'!J335+'DOE25'!J336</f>
        <v>30914.83</v>
      </c>
      <c r="H31" s="53">
        <f>'DOE25'!K291+'DOE25'!K310+'DOE25'!K329+'DOE25'!K334+'DOE25'!K335+'DOE25'!K336</f>
        <v>160.69999999999999</v>
      </c>
      <c r="I31" s="254"/>
    </row>
    <row r="32" spans="1:9" ht="12" thickBot="1" x14ac:dyDescent="0.25">
      <c r="C32" s="274"/>
      <c r="G32" s="249"/>
      <c r="H32" s="249"/>
      <c r="I32" s="256"/>
    </row>
    <row r="33" spans="1:9" ht="12" thickTop="1" x14ac:dyDescent="0.2">
      <c r="B33" t="s">
        <v>809</v>
      </c>
      <c r="D33" s="245">
        <f t="shared" ref="D33:I33" si="1">SUM(D5:D31)</f>
        <v>5101812.549999998</v>
      </c>
      <c r="E33" s="245">
        <f t="shared" si="1"/>
        <v>179426.47999999998</v>
      </c>
      <c r="F33" s="245">
        <f t="shared" si="1"/>
        <v>249815.59999999998</v>
      </c>
      <c r="G33" s="245">
        <f t="shared" si="1"/>
        <v>58977.64</v>
      </c>
      <c r="H33" s="245">
        <f t="shared" si="1"/>
        <v>5454.9000000000005</v>
      </c>
      <c r="I33" s="245">
        <f t="shared" si="1"/>
        <v>0</v>
      </c>
    </row>
    <row r="35" spans="1:9" ht="12" thickBot="1" x14ac:dyDescent="0.25">
      <c r="B35" s="249" t="s">
        <v>831</v>
      </c>
      <c r="D35" s="250">
        <f>E33</f>
        <v>179426.47999999998</v>
      </c>
      <c r="E35" s="246"/>
      <c r="F35" s="333" t="s">
        <v>1632</v>
      </c>
      <c r="G35" s="334"/>
      <c r="H35" s="334"/>
      <c r="I35" s="334"/>
    </row>
    <row r="36" spans="1:9" ht="12" thickTop="1" x14ac:dyDescent="0.2">
      <c r="B36" t="s">
        <v>810</v>
      </c>
      <c r="D36" s="20">
        <f>D33</f>
        <v>5101812.549999998</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5" sqref="A1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Rollinsford</v>
      </c>
      <c r="B2" s="126">
        <f>'DOE25'!B2</f>
        <v>463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3348862.65</v>
      </c>
      <c r="G4" s="300">
        <f>'DOE25'!L212+'DOE25'!L291</f>
        <v>3348862.65</v>
      </c>
      <c r="H4" s="353">
        <f>F4-G4</f>
        <v>0</v>
      </c>
      <c r="I4" s="370" t="str">
        <f>IF(H4=0,"","ISSUES!! Please review page 7 and 11 totals in comparison with total on this page")</f>
        <v/>
      </c>
      <c r="N4"/>
    </row>
    <row r="5" spans="1:18" x14ac:dyDescent="0.2">
      <c r="A5" s="21" t="s">
        <v>1392</v>
      </c>
      <c r="B5" s="301">
        <f>IFERROR(VLOOKUP(A5,'School Tables'!$C$3:$D$365,2,FALSE),"")</f>
        <v>22810</v>
      </c>
      <c r="C5" s="294" t="str">
        <f>IFERROR(INDEX('School Tables'!$B$3:$B$365,MATCH('School Level Expenditures'!B5,'School Tables'!$D$3:$D$365,0)),"")</f>
        <v>Rollinsford</v>
      </c>
      <c r="D5" s="291">
        <f>3306861.9-98000</f>
        <v>3208861.9</v>
      </c>
      <c r="E5" s="291">
        <v>140000.75</v>
      </c>
      <c r="F5" s="304">
        <f>D5+E5</f>
        <v>3348862.65</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3208861.9</v>
      </c>
      <c r="E21" s="351">
        <f>SUM(E5:E20)</f>
        <v>140000.75</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653745.19999999995</v>
      </c>
      <c r="G24" s="300">
        <f>'DOE25'!L230+'DOE25'!L310</f>
        <v>653745.19999999984</v>
      </c>
      <c r="H24" s="353">
        <f>F24-G24</f>
        <v>0</v>
      </c>
      <c r="I24" s="370"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f>650829.2+2916</f>
        <v>653745.19999999995</v>
      </c>
      <c r="E25" s="291">
        <v>0</v>
      </c>
      <c r="F25" s="304">
        <f>D25+E25</f>
        <v>653745.19999999995</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653745.19999999995</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1580232.77</v>
      </c>
      <c r="G36" s="300">
        <f>'DOE25'!L248+'DOE25'!L329</f>
        <v>1580232.77</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f>1573623.17+6609.6</f>
        <v>1580232.77</v>
      </c>
      <c r="E37" s="291">
        <v>0</v>
      </c>
      <c r="F37" s="304">
        <f t="shared" ref="F37:F42" si="2">D37+E37</f>
        <v>1580232.77</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1580232.77</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Rollinsford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549306.16</v>
      </c>
      <c r="D8" s="95">
        <f>'DOE25'!G9</f>
        <v>0</v>
      </c>
      <c r="E8" s="95">
        <f>'DOE25'!H9</f>
        <v>0</v>
      </c>
      <c r="F8" s="95">
        <f>'DOE25'!I9</f>
        <v>0</v>
      </c>
      <c r="G8" s="95">
        <f>'DOE25'!J9</f>
        <v>0</v>
      </c>
      <c r="H8" s="124"/>
      <c r="I8" s="124"/>
    </row>
    <row r="9" spans="1:9" x14ac:dyDescent="0.2">
      <c r="A9" s="1" t="s">
        <v>140</v>
      </c>
      <c r="B9" s="6">
        <v>110</v>
      </c>
      <c r="C9" s="95">
        <f>'DOE25'!F10</f>
        <v>1150.29</v>
      </c>
      <c r="D9" s="95">
        <f>'DOE25'!G10</f>
        <v>0</v>
      </c>
      <c r="E9" s="95">
        <f>'DOE25'!H10</f>
        <v>0</v>
      </c>
      <c r="F9" s="95">
        <f>'DOE25'!I10</f>
        <v>0</v>
      </c>
      <c r="G9" s="95">
        <f>'DOE25'!J10</f>
        <v>538288.74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1242944.74</v>
      </c>
      <c r="D11" s="95">
        <f>'DOE25'!G12</f>
        <v>464453.62</v>
      </c>
      <c r="E11" s="95">
        <f>'DOE25'!H12</f>
        <v>709567.3</v>
      </c>
      <c r="F11" s="95">
        <f>'DOE25'!I12</f>
        <v>0</v>
      </c>
      <c r="G11" s="95">
        <f>'DOE25'!J12</f>
        <v>0</v>
      </c>
      <c r="H11" s="124"/>
      <c r="I11" s="124"/>
    </row>
    <row r="12" spans="1:9" x14ac:dyDescent="0.2">
      <c r="A12" s="1" t="s">
        <v>143</v>
      </c>
      <c r="B12" s="6">
        <v>140</v>
      </c>
      <c r="C12" s="95">
        <f>'DOE25'!F13</f>
        <v>0</v>
      </c>
      <c r="D12" s="95">
        <f>'DOE25'!G13</f>
        <v>10216</v>
      </c>
      <c r="E12" s="95">
        <f>'DOE25'!H13</f>
        <v>53871.48</v>
      </c>
      <c r="F12" s="95">
        <f>'DOE25'!I13</f>
        <v>0</v>
      </c>
      <c r="G12" s="95">
        <f>'DOE25'!J13</f>
        <v>0</v>
      </c>
      <c r="H12" s="124"/>
      <c r="I12" s="124"/>
    </row>
    <row r="13" spans="1:9" x14ac:dyDescent="0.2">
      <c r="A13" s="1" t="s">
        <v>144</v>
      </c>
      <c r="B13" s="6">
        <v>150</v>
      </c>
      <c r="C13" s="95">
        <f>'DOE25'!F14</f>
        <v>5498.54</v>
      </c>
      <c r="D13" s="95">
        <f>'DOE25'!G14</f>
        <v>26159.45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1798899.73</v>
      </c>
      <c r="D18" s="41">
        <f>SUM(D8:D17)</f>
        <v>500829.07</v>
      </c>
      <c r="E18" s="41">
        <f>SUM(E8:E17)</f>
        <v>763438.78</v>
      </c>
      <c r="F18" s="41">
        <f>SUM(F8:F17)</f>
        <v>0</v>
      </c>
      <c r="G18" s="41">
        <f>SUM(G8:G17)</f>
        <v>538288.74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1189371.3800000001</v>
      </c>
      <c r="D21" s="95">
        <f>'DOE25'!G22</f>
        <v>464713.39</v>
      </c>
      <c r="E21" s="95">
        <f>'DOE25'!H22</f>
        <v>762882.04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135584.66999999998</v>
      </c>
      <c r="D23" s="95">
        <f>'DOE25'!G24</f>
        <v>0</v>
      </c>
      <c r="E23" s="95">
        <f>'DOE25'!H24</f>
        <v>288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2732.15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1324956.05</v>
      </c>
      <c r="D31" s="41">
        <f>SUM(D21:D30)</f>
        <v>467445.54000000004</v>
      </c>
      <c r="E31" s="41">
        <f>SUM(E21:E30)</f>
        <v>763170.04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33383.53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90000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268.74</v>
      </c>
      <c r="F44" s="95">
        <f>'DOE25'!I45</f>
        <v>0</v>
      </c>
      <c r="G44" s="95">
        <f>'DOE25'!J45</f>
        <v>0</v>
      </c>
      <c r="H44" s="124"/>
      <c r="I44" s="124"/>
    </row>
    <row r="45" spans="1:9" x14ac:dyDescent="0.2">
      <c r="A45" s="1" t="s">
        <v>880</v>
      </c>
      <c r="B45" s="6"/>
      <c r="C45" s="95">
        <f>'DOE25'!F46</f>
        <v>111241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538288.74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272702.68000000005</v>
      </c>
      <c r="D49" s="24" t="s">
        <v>288</v>
      </c>
      <c r="E49" s="24" t="s">
        <v>288</v>
      </c>
      <c r="F49" s="24" t="s">
        <v>288</v>
      </c>
      <c r="G49" s="24" t="s">
        <v>288</v>
      </c>
      <c r="H49" s="124"/>
      <c r="I49" s="124"/>
    </row>
    <row r="50" spans="1:9" ht="12.75" thickTop="1" thickBot="1" x14ac:dyDescent="0.25">
      <c r="A50" s="38" t="s">
        <v>884</v>
      </c>
      <c r="B50" s="48"/>
      <c r="C50" s="41">
        <f>SUM(C34:C49)</f>
        <v>473943.68000000005</v>
      </c>
      <c r="D50" s="41">
        <f>SUM(D34:D49)</f>
        <v>33383.53</v>
      </c>
      <c r="E50" s="41">
        <f>SUM(E34:E49)</f>
        <v>268.74</v>
      </c>
      <c r="F50" s="41">
        <f>SUM(F34:F49)</f>
        <v>0</v>
      </c>
      <c r="G50" s="41">
        <f>SUM(G34:G49)</f>
        <v>538288.74</v>
      </c>
      <c r="H50" s="124"/>
      <c r="I50" s="124"/>
    </row>
    <row r="51" spans="1:9" ht="12" thickTop="1" x14ac:dyDescent="0.2">
      <c r="A51" s="38" t="s">
        <v>885</v>
      </c>
      <c r="B51" s="2"/>
      <c r="C51" s="41">
        <f>C50+C31</f>
        <v>1798899.73</v>
      </c>
      <c r="D51" s="41">
        <f>D50+D31</f>
        <v>500829.07000000007</v>
      </c>
      <c r="E51" s="41">
        <f>E50+E31</f>
        <v>763438.78</v>
      </c>
      <c r="F51" s="41">
        <f>F50+F31</f>
        <v>0</v>
      </c>
      <c r="G51" s="41">
        <f>G50+G31</f>
        <v>538288.74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4278504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1245.73</v>
      </c>
      <c r="D59" s="95">
        <f>'DOE25'!G96</f>
        <v>0</v>
      </c>
      <c r="E59" s="95">
        <f>'DOE25'!H96</f>
        <v>0</v>
      </c>
      <c r="F59" s="95">
        <f>'DOE25'!I96</f>
        <v>0</v>
      </c>
      <c r="G59" s="95">
        <f>'DOE25'!J96</f>
        <v>976.86</v>
      </c>
      <c r="H59"/>
      <c r="I59"/>
    </row>
    <row r="60" spans="1:9" x14ac:dyDescent="0.2">
      <c r="A60" s="1" t="s">
        <v>170</v>
      </c>
      <c r="B60" s="118" t="s">
        <v>171</v>
      </c>
      <c r="C60" s="24" t="s">
        <v>288</v>
      </c>
      <c r="D60" s="95">
        <f>'DOE25'!G97</f>
        <v>-308</v>
      </c>
      <c r="E60" s="24" t="s">
        <v>288</v>
      </c>
      <c r="F60" s="24" t="s">
        <v>288</v>
      </c>
      <c r="G60" s="24" t="s">
        <v>288</v>
      </c>
      <c r="H60"/>
      <c r="I60"/>
    </row>
    <row r="61" spans="1:9" ht="12" thickBot="1" x14ac:dyDescent="0.25">
      <c r="A61" s="1" t="s">
        <v>172</v>
      </c>
      <c r="B61" s="118" t="s">
        <v>173</v>
      </c>
      <c r="C61" s="95">
        <f>SUM('DOE25'!F98:F110)</f>
        <v>55013.82</v>
      </c>
      <c r="D61" s="95">
        <f>SUM('DOE25'!G98:G110)</f>
        <v>0</v>
      </c>
      <c r="E61" s="95">
        <f>SUM('DOE25'!H98:H110)</f>
        <v>3400</v>
      </c>
      <c r="F61" s="95">
        <f>SUM('DOE25'!I98:I110)</f>
        <v>0</v>
      </c>
      <c r="G61" s="95">
        <f>SUM('DOE25'!J98:J110)</f>
        <v>0</v>
      </c>
      <c r="H61"/>
      <c r="I61"/>
    </row>
    <row r="62" spans="1:9" ht="12.75" thickTop="1" thickBot="1" x14ac:dyDescent="0.25">
      <c r="A62" s="29" t="s">
        <v>174</v>
      </c>
      <c r="B62" s="6"/>
      <c r="C62" s="130">
        <f>SUM(C57:C61)</f>
        <v>56259.55</v>
      </c>
      <c r="D62" s="130">
        <f>SUM(D57:D61)</f>
        <v>-308</v>
      </c>
      <c r="E62" s="130">
        <f>SUM(E57:E61)</f>
        <v>3400</v>
      </c>
      <c r="F62" s="130">
        <f>SUM(F57:F61)</f>
        <v>0</v>
      </c>
      <c r="G62" s="130">
        <f>SUM(G57:G61)</f>
        <v>976.86</v>
      </c>
      <c r="H62"/>
      <c r="I62"/>
    </row>
    <row r="63" spans="1:9" ht="12" thickTop="1" x14ac:dyDescent="0.2">
      <c r="A63" s="29" t="s">
        <v>175</v>
      </c>
      <c r="B63" s="6"/>
      <c r="C63" s="22">
        <f>C56+C62</f>
        <v>4334763.55</v>
      </c>
      <c r="D63" s="22">
        <f>D56+D62</f>
        <v>-308</v>
      </c>
      <c r="E63" s="22">
        <f>E56+E62</f>
        <v>3400</v>
      </c>
      <c r="F63" s="22">
        <f>F56+F62</f>
        <v>0</v>
      </c>
      <c r="G63" s="22">
        <f>G56+G62</f>
        <v>976.86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711224.43</v>
      </c>
      <c r="D66" s="24" t="s">
        <v>288</v>
      </c>
      <c r="E66" s="24" t="s">
        <v>288</v>
      </c>
      <c r="F66" s="24" t="s">
        <v>288</v>
      </c>
      <c r="G66" s="24" t="s">
        <v>288</v>
      </c>
      <c r="H66"/>
      <c r="I66"/>
    </row>
    <row r="67" spans="1:9" x14ac:dyDescent="0.2">
      <c r="A67" s="1" t="s">
        <v>770</v>
      </c>
      <c r="B67" s="6">
        <v>3112</v>
      </c>
      <c r="C67" s="95">
        <f>'DOE25'!F118</f>
        <v>597229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1310448.6400000001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540.89</v>
      </c>
      <c r="E77" s="95">
        <f>SUM('DOE25'!H131:H135)</f>
        <v>0</v>
      </c>
      <c r="F77" s="95">
        <f>SUM('DOE25'!I131:I135)</f>
        <v>0</v>
      </c>
      <c r="G77" s="95">
        <f>SUM('DOE25'!J131:J135)</f>
        <v>0</v>
      </c>
      <c r="H77"/>
      <c r="I77"/>
    </row>
    <row r="78" spans="1:9" ht="12.75" thickTop="1" thickBot="1" x14ac:dyDescent="0.25">
      <c r="A78" s="29" t="s">
        <v>259</v>
      </c>
      <c r="B78" s="6"/>
      <c r="C78" s="130">
        <f>SUM(C72:C77)</f>
        <v>0</v>
      </c>
      <c r="D78" s="130">
        <f>SUM(D72:D77)</f>
        <v>540.89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1310448.6400000001</v>
      </c>
      <c r="D81" s="130">
        <f>SUM(D79:D80)+D78+D70</f>
        <v>540.89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138.99</v>
      </c>
      <c r="D88" s="331">
        <f>SUM('DOE25'!G153:G162)</f>
        <v>35821.71</v>
      </c>
      <c r="E88" s="331">
        <f>SUM('DOE25'!H153:H162)</f>
        <v>136658.49</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138.99</v>
      </c>
      <c r="D91" s="131">
        <f>SUM(D85:D90)</f>
        <v>35821.71</v>
      </c>
      <c r="E91" s="131">
        <f>SUM(E85:E90)</f>
        <v>136658.49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98000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98000</v>
      </c>
    </row>
    <row r="104" spans="1:7" ht="12.75" thickTop="1" thickBot="1" x14ac:dyDescent="0.25">
      <c r="A104" s="33" t="s">
        <v>761</v>
      </c>
      <c r="C104" s="86">
        <f>C63+C81+C91+C103</f>
        <v>5645351.1799999997</v>
      </c>
      <c r="D104" s="86">
        <f>D63+D81+D91+D103</f>
        <v>36054.6</v>
      </c>
      <c r="E104" s="86">
        <f>E63+E81+E91+E103</f>
        <v>140058.49</v>
      </c>
      <c r="F104" s="86">
        <f>F63+F81+F91+F103</f>
        <v>0</v>
      </c>
      <c r="G104" s="86">
        <f>G63+G81+G103</f>
        <v>98976.86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2837103.63</v>
      </c>
      <c r="D109" s="24" t="s">
        <v>288</v>
      </c>
      <c r="E109" s="95">
        <f>('DOE25'!L277)+('DOE25'!L296)+('DOE25'!L315)</f>
        <v>60101.009999999995</v>
      </c>
      <c r="F109" s="24" t="s">
        <v>288</v>
      </c>
      <c r="G109" s="24" t="s">
        <v>288</v>
      </c>
    </row>
    <row r="110" spans="1:7" x14ac:dyDescent="0.2">
      <c r="A110" t="s">
        <v>198</v>
      </c>
      <c r="B110" s="32" t="s">
        <v>199</v>
      </c>
      <c r="C110" s="95">
        <f>('DOE25'!L199)+('DOE25'!L217)+('DOE25'!L235)</f>
        <v>1039790.89</v>
      </c>
      <c r="D110" s="24" t="s">
        <v>288</v>
      </c>
      <c r="E110" s="95">
        <f>('DOE25'!L278)+('DOE25'!L297)+('DOE25'!L316)</f>
        <v>34573.74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344.48</v>
      </c>
      <c r="D112" s="24" t="s">
        <v>288</v>
      </c>
      <c r="E112" s="95">
        <f>+('DOE25'!L280)+('DOE25'!L299)+('DOE25'!L318)</f>
        <v>4414.0199999999995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3877239</v>
      </c>
      <c r="D115" s="86">
        <f>SUM(D109:D114)</f>
        <v>0</v>
      </c>
      <c r="E115" s="86">
        <f>SUM(E109:E114)</f>
        <v>99088.77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345044.98</v>
      </c>
      <c r="D118" s="24" t="s">
        <v>288</v>
      </c>
      <c r="E118" s="95">
        <f>+('DOE25'!L282)+('DOE25'!L301)+('DOE25'!L320)</f>
        <v>13221.949999999999</v>
      </c>
      <c r="F118" s="24" t="s">
        <v>288</v>
      </c>
      <c r="G118" s="24" t="s">
        <v>288</v>
      </c>
    </row>
    <row r="119" spans="1:7" x14ac:dyDescent="0.2">
      <c r="A119" t="s">
        <v>208</v>
      </c>
      <c r="B119" s="32" t="s">
        <v>209</v>
      </c>
      <c r="C119" s="95">
        <f>('DOE25'!L204)+('DOE25'!L222)+('DOE25'!L240)</f>
        <v>68740.25</v>
      </c>
      <c r="D119" s="24" t="s">
        <v>288</v>
      </c>
      <c r="E119" s="95">
        <f>+('DOE25'!L283)+('DOE25'!L302)+('DOE25'!L321)</f>
        <v>6566.7599999999993</v>
      </c>
      <c r="F119" s="24" t="s">
        <v>288</v>
      </c>
      <c r="G119" s="24" t="s">
        <v>288</v>
      </c>
    </row>
    <row r="120" spans="1:7" x14ac:dyDescent="0.2">
      <c r="A120" t="s">
        <v>210</v>
      </c>
      <c r="B120" s="32" t="s">
        <v>211</v>
      </c>
      <c r="C120" s="95">
        <f>('DOE25'!L205)+('DOE25'!L223)+('DOE25'!L241)</f>
        <v>254587.03999999998</v>
      </c>
      <c r="D120" s="24" t="s">
        <v>288</v>
      </c>
      <c r="E120" s="95">
        <f>+('DOE25'!L284)+('DOE25'!L303)+('DOE25'!L322)</f>
        <v>0</v>
      </c>
      <c r="F120" s="24" t="s">
        <v>288</v>
      </c>
      <c r="G120" s="24" t="s">
        <v>288</v>
      </c>
    </row>
    <row r="121" spans="1:7" x14ac:dyDescent="0.2">
      <c r="A121" t="s">
        <v>212</v>
      </c>
      <c r="B121" s="32" t="s">
        <v>213</v>
      </c>
      <c r="C121" s="95">
        <f>('DOE25'!L206)+('DOE25'!L224)+('DOE25'!L242)</f>
        <v>206924.09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160.69999999999999</v>
      </c>
      <c r="F122" s="24" t="s">
        <v>288</v>
      </c>
      <c r="G122" s="24" t="s">
        <v>288</v>
      </c>
    </row>
    <row r="123" spans="1:7" x14ac:dyDescent="0.2">
      <c r="A123" t="s">
        <v>216</v>
      </c>
      <c r="B123" s="32" t="s">
        <v>217</v>
      </c>
      <c r="C123" s="95">
        <f>('DOE25'!L208)+('DOE25'!L226)+('DOE25'!L244)</f>
        <v>432874.44999999995</v>
      </c>
      <c r="D123" s="24" t="s">
        <v>288</v>
      </c>
      <c r="E123" s="95">
        <f>+('DOE25'!L287)+('DOE25'!L306)+('DOE25'!L325)</f>
        <v>20962.57</v>
      </c>
      <c r="F123" s="24" t="s">
        <v>288</v>
      </c>
      <c r="G123" s="24" t="s">
        <v>288</v>
      </c>
    </row>
    <row r="124" spans="1:7" x14ac:dyDescent="0.2">
      <c r="A124" t="s">
        <v>218</v>
      </c>
      <c r="B124" s="32" t="s">
        <v>219</v>
      </c>
      <c r="C124" s="95">
        <f>('DOE25'!L209)+('DOE25'!L227)+('DOE25'!L245+'DOE25'!L255)</f>
        <v>257430.06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2671.55</v>
      </c>
      <c r="E127" s="24" t="s">
        <v>288</v>
      </c>
      <c r="F127" s="24" t="s">
        <v>288</v>
      </c>
      <c r="G127" s="24" t="s">
        <v>288</v>
      </c>
    </row>
    <row r="128" spans="1:7" ht="12.75" thickTop="1" thickBot="1" x14ac:dyDescent="0.25">
      <c r="A128" s="33" t="s">
        <v>226</v>
      </c>
      <c r="C128" s="86">
        <f>SUM(C118:C127)</f>
        <v>1565600.87</v>
      </c>
      <c r="D128" s="86">
        <f>SUM(D118:D127)</f>
        <v>2671.55</v>
      </c>
      <c r="E128" s="86">
        <f>SUM(E118:E127)</f>
        <v>40911.979999999996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98976.86</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-976.86000000000058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98000</v>
      </c>
      <c r="D144" s="141">
        <f>SUM(D130:D143)</f>
        <v>0</v>
      </c>
      <c r="E144" s="141">
        <f>SUM(E130:E143)</f>
        <v>0</v>
      </c>
      <c r="F144" s="141">
        <f>SUM(F130:F143)</f>
        <v>0</v>
      </c>
      <c r="G144" s="141">
        <f>SUM(G130:G143)</f>
        <v>0</v>
      </c>
    </row>
    <row r="145" spans="1:9" ht="12.75" thickTop="1" thickBot="1" x14ac:dyDescent="0.25">
      <c r="A145" s="33" t="s">
        <v>244</v>
      </c>
      <c r="C145" s="86">
        <f>(C115+C128+C144)</f>
        <v>5540839.8700000001</v>
      </c>
      <c r="D145" s="86">
        <f>(D115+D128+D144)</f>
        <v>2671.55</v>
      </c>
      <c r="E145" s="86">
        <f>(E115+E128+E144)</f>
        <v>140000.75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t="str">
        <f>'DOE25'!F492</f>
        <v>0</v>
      </c>
      <c r="C152" s="152" t="str">
        <f>'DOE25'!G492</f>
        <v>0</v>
      </c>
      <c r="D152" s="152">
        <f>'DOE25'!H492</f>
        <v>0</v>
      </c>
      <c r="E152" s="152">
        <f>'DOE25'!I492</f>
        <v>0</v>
      </c>
      <c r="F152" s="152">
        <f>'DOE25'!J492</f>
        <v>0</v>
      </c>
      <c r="G152" s="24" t="s">
        <v>288</v>
      </c>
    </row>
    <row r="153" spans="1:9" x14ac:dyDescent="0.2">
      <c r="A153" s="136" t="s">
        <v>29</v>
      </c>
      <c r="B153" s="152" t="str">
        <f>'DOE25'!F493</f>
        <v>0</v>
      </c>
      <c r="C153" s="152" t="str">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O49" sqref="O4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Rollinsford</v>
      </c>
    </row>
    <row r="3" spans="1:4" x14ac:dyDescent="0.2">
      <c r="B3" s="188" t="s">
        <v>1666</v>
      </c>
    </row>
    <row r="4" spans="1:4" x14ac:dyDescent="0.2">
      <c r="B4" t="s">
        <v>61</v>
      </c>
      <c r="C4" s="179">
        <f>IF('DOE25'!F666+'DOE25'!F671=0,0,ROUND('DOE25'!F673,0))</f>
        <v>22969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22969</v>
      </c>
    </row>
    <row r="9" spans="1:4" x14ac:dyDescent="0.2">
      <c r="A9" s="187" t="s">
        <v>94</v>
      </c>
      <c r="B9" s="188" t="s">
        <v>1671</v>
      </c>
      <c r="C9" s="181" t="s">
        <v>720</v>
      </c>
      <c r="D9" s="181" t="s">
        <v>721</v>
      </c>
    </row>
    <row r="10" spans="1:4" x14ac:dyDescent="0.2">
      <c r="A10">
        <v>1100</v>
      </c>
      <c r="B10" t="s">
        <v>702</v>
      </c>
      <c r="C10" s="179">
        <f>ROUND('DOE25'!L198+'DOE25'!L216+'DOE25'!L234+'DOE25'!L277+'DOE25'!L296+'DOE25'!L315,0)</f>
        <v>2897205</v>
      </c>
      <c r="D10" s="182">
        <f>ROUND((C10/$C$28)*100,1)</f>
        <v>51.9</v>
      </c>
    </row>
    <row r="11" spans="1:4" x14ac:dyDescent="0.2">
      <c r="A11">
        <v>1200</v>
      </c>
      <c r="B11" t="s">
        <v>703</v>
      </c>
      <c r="C11" s="179">
        <f>ROUND('DOE25'!L199+'DOE25'!L217+'DOE25'!L235+'DOE25'!L278+'DOE25'!L297+'DOE25'!L316,0)</f>
        <v>1074365</v>
      </c>
      <c r="D11" s="182">
        <f>ROUND((C11/$C$28)*100,1)</f>
        <v>19.2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4759</v>
      </c>
      <c r="D13" s="182">
        <f>ROUND((C13/$C$28)*100,1)</f>
        <v>0.1</v>
      </c>
    </row>
    <row r="14" spans="1:4" x14ac:dyDescent="0.2">
      <c r="D14" s="182"/>
    </row>
    <row r="15" spans="1:4" x14ac:dyDescent="0.2">
      <c r="A15">
        <v>2100</v>
      </c>
      <c r="B15" t="s">
        <v>706</v>
      </c>
      <c r="C15" s="179">
        <f>ROUND('DOE25'!L203+'DOE25'!L221+'DOE25'!L239+'DOE25'!L282+'DOE25'!L301+'DOE25'!L320,0)</f>
        <v>358267</v>
      </c>
      <c r="D15" s="182">
        <f t="shared" ref="D15:D27" si="0">ROUND((C15/$C$28)*100,1)</f>
        <v>6.4</v>
      </c>
    </row>
    <row r="16" spans="1:4" x14ac:dyDescent="0.2">
      <c r="A16">
        <v>2200</v>
      </c>
      <c r="B16" t="s">
        <v>707</v>
      </c>
      <c r="C16" s="179">
        <f>ROUND('DOE25'!L204+'DOE25'!L222+'DOE25'!L240+'DOE25'!L283+'DOE25'!L302+'DOE25'!L321,0)</f>
        <v>75307</v>
      </c>
      <c r="D16" s="182">
        <f t="shared" si="0"/>
        <v>1.3</v>
      </c>
    </row>
    <row r="17" spans="1:4" x14ac:dyDescent="0.2">
      <c r="A17" s="183" t="s">
        <v>723</v>
      </c>
      <c r="B17" t="s">
        <v>738</v>
      </c>
      <c r="C17" s="179">
        <f>ROUND('DOE25'!L205+'DOE25'!L210+'DOE25'!L223+'DOE25'!L228+'DOE25'!L241+'DOE25'!L246+'DOE25'!L284+'DOE25'!L289+'DOE25'!L303+'DOE25'!L308+'DOE25'!L322+'DOE25'!L327,0)</f>
        <v>254587</v>
      </c>
      <c r="D17" s="182">
        <f t="shared" si="0"/>
        <v>4.5999999999999996</v>
      </c>
    </row>
    <row r="18" spans="1:4" x14ac:dyDescent="0.2">
      <c r="A18">
        <v>2400</v>
      </c>
      <c r="B18" t="s">
        <v>711</v>
      </c>
      <c r="C18" s="179">
        <f>ROUND('DOE25'!L206+'DOE25'!L224+'DOE25'!L242+'DOE25'!L285+'DOE25'!L304+'DOE25'!L323,0)</f>
        <v>206924</v>
      </c>
      <c r="D18" s="182">
        <f t="shared" si="0"/>
        <v>3.7</v>
      </c>
    </row>
    <row r="19" spans="1:4" x14ac:dyDescent="0.2">
      <c r="A19">
        <v>2500</v>
      </c>
      <c r="B19" t="s">
        <v>708</v>
      </c>
      <c r="C19" s="179">
        <f>ROUND('DOE25'!L207+'DOE25'!L225+'DOE25'!L243+'DOE25'!L286+'DOE25'!L305+'DOE25'!L324,0)</f>
        <v>161</v>
      </c>
      <c r="D19" s="182">
        <f t="shared" si="0"/>
        <v>0</v>
      </c>
    </row>
    <row r="20" spans="1:4" x14ac:dyDescent="0.2">
      <c r="A20">
        <v>2600</v>
      </c>
      <c r="B20" t="s">
        <v>709</v>
      </c>
      <c r="C20" s="179">
        <f>ROUND('DOE25'!L208+'DOE25'!L226+'DOE25'!L244+'DOE25'!L287+'DOE25'!L306+'DOE25'!L325,0)</f>
        <v>453837</v>
      </c>
      <c r="D20" s="182">
        <f t="shared" si="0"/>
        <v>8.1</v>
      </c>
    </row>
    <row r="21" spans="1:4" x14ac:dyDescent="0.2">
      <c r="A21">
        <v>2700</v>
      </c>
      <c r="B21" t="s">
        <v>710</v>
      </c>
      <c r="C21" s="179">
        <f>ROUND('DOE25'!L209+'DOE25'!L227+'DOE25'!L245+'DOE25'!L288+'DOE25'!L307+'DOE25'!L326,0)</f>
        <v>257430</v>
      </c>
      <c r="D21" s="182">
        <f t="shared" si="0"/>
        <v>4.5999999999999996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2980</v>
      </c>
      <c r="D27" s="182">
        <f t="shared" si="0"/>
        <v>0.1</v>
      </c>
    </row>
    <row r="28" spans="1:4" x14ac:dyDescent="0.2">
      <c r="B28" s="187" t="s">
        <v>719</v>
      </c>
      <c r="C28" s="180">
        <f>SUM(C10:C27)</f>
        <v>5585822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5585822</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4278504</v>
      </c>
      <c r="D35" s="182">
        <f t="shared" ref="D35:D40" si="1">ROUND((C35/$C$41)*100,1)</f>
        <v>73.5</v>
      </c>
    </row>
    <row r="36" spans="1:4" x14ac:dyDescent="0.2">
      <c r="B36" s="185" t="s">
        <v>739</v>
      </c>
      <c r="C36" s="179">
        <f>SUM('DOE25'!F112:J112)-SUM('DOE25'!G97:G110)+('DOE25'!F175+'DOE25'!F176+'DOE25'!I175+'DOE25'!I176)-C35</f>
        <v>60636.410000000149</v>
      </c>
      <c r="D36" s="182">
        <f t="shared" si="1"/>
        <v>1</v>
      </c>
    </row>
    <row r="37" spans="1:4" x14ac:dyDescent="0.2">
      <c r="A37" s="183" t="s">
        <v>835</v>
      </c>
      <c r="B37" s="185" t="s">
        <v>728</v>
      </c>
      <c r="C37" s="179">
        <f>ROUND('DOE25'!F117+'DOE25'!F118,0)</f>
        <v>1308453</v>
      </c>
      <c r="D37" s="182">
        <f t="shared" si="1"/>
        <v>22.5</v>
      </c>
    </row>
    <row r="38" spans="1:4" x14ac:dyDescent="0.2">
      <c r="A38" s="183" t="s">
        <v>734</v>
      </c>
      <c r="B38" s="185" t="s">
        <v>729</v>
      </c>
      <c r="C38" s="179">
        <f>ROUND(SUM('DOE25'!F140:J140)-SUM('DOE25'!F117:F119),0)</f>
        <v>2536</v>
      </c>
      <c r="D38" s="182">
        <f t="shared" si="1"/>
        <v>0</v>
      </c>
    </row>
    <row r="39" spans="1:4" x14ac:dyDescent="0.2">
      <c r="A39">
        <v>4000</v>
      </c>
      <c r="B39" s="185" t="s">
        <v>730</v>
      </c>
      <c r="C39" s="179">
        <f>ROUND('DOE25'!F170+'DOE25'!G170+'DOE25'!H170+'DOE25'!I170,0)</f>
        <v>172619</v>
      </c>
      <c r="D39" s="182">
        <f t="shared" si="1"/>
        <v>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5822748.4100000001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Rollinsford</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2021-08-25T17:00:03Z</cp:lastPrinted>
  <dcterms:created xsi:type="dcterms:W3CDTF">1997-12-04T19:04:30Z</dcterms:created>
  <dcterms:modified xsi:type="dcterms:W3CDTF">2021-12-09T13:15:14Z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