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413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7" i="1" l="1"/>
  <c r="F500" i="1"/>
  <c r="F503" i="1"/>
  <c r="E5" i="14" l="1"/>
  <c r="D5" i="14"/>
  <c r="E26" i="17"/>
  <c r="E24" i="17"/>
  <c r="E22" i="17"/>
  <c r="F6" i="13"/>
  <c r="F29" i="13"/>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C112" i="2" s="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G62" i="2"/>
  <c r="I170" i="1"/>
  <c r="G553" i="1" l="1"/>
  <c r="H409" i="1"/>
  <c r="H645" i="1" s="1"/>
  <c r="G662" i="1"/>
  <c r="K339" i="1"/>
  <c r="K353" i="1" s="1"/>
  <c r="C121" i="2"/>
  <c r="C120" i="2"/>
  <c r="D6" i="13"/>
  <c r="C6" i="13" s="1"/>
  <c r="C13" i="10"/>
  <c r="A40" i="12"/>
  <c r="J258" i="1"/>
  <c r="H649" i="1" s="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H665" i="1"/>
  <c r="H668" i="1" s="1"/>
  <c r="E128" i="2"/>
  <c r="E145" i="2" s="1"/>
  <c r="F661" i="1"/>
  <c r="F665" i="1" s="1"/>
  <c r="F668" i="1" s="1"/>
  <c r="J272" i="1"/>
  <c r="C81" i="2"/>
  <c r="F194" i="1"/>
  <c r="G628" i="1" s="1"/>
  <c r="J628" i="1" s="1"/>
  <c r="E51" i="2"/>
  <c r="F51" i="2"/>
  <c r="I36" i="14"/>
  <c r="G36" i="14"/>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<sst xmlns="http://schemas.openxmlformats.org/spreadsheetml/2006/main" count="5573" uniqueCount="1675">
  <si>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</si>
  <si>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</si>
  <si>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</si>
  <si>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</si>
  <si>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</si>
  <si>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</si>
  <si>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</si>
  <si>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</si>
  <si>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</si>
  <si>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</si>
  <si>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</si>
  <si>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</si>
  <si>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</si>
  <si>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</si>
  <si>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</si>
  <si>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</si>
  <si>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</si>
  <si>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</si>
  <si>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</si>
  <si>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</si>
  <si>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</si>
  <si>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</si>
  <si>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</si>
  <si>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</si>
  <si>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</si>
  <si>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</si>
  <si>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</si>
  <si>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</si>
  <si>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</si>
  <si>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</si>
  <si>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</si>
  <si>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</si>
  <si>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</si>
  <si>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</si>
  <si>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</si>
  <si>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</si>
  <si>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</si>
  <si>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</si>
  <si>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</si>
  <si>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</si>
  <si>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</si>
  <si>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</si>
  <si>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</si>
  <si>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</si>
  <si>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</si>
  <si>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</si>
  <si>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</si>
  <si>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</si>
  <si>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</si>
  <si>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</si>
  <si>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</si>
  <si>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</si>
  <si>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</si>
  <si>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</si>
  <si>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</si>
  <si>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</si>
  <si>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</si>
  <si>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</si>
  <si>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</si>
  <si>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</si>
  <si>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</si>
  <si>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</si>
  <si>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</si>
  <si>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</si>
  <si>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</si>
  <si>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</si>
  <si>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</si>
  <si>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</si>
  <si>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</si>
  <si>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</si>
  <si>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</si>
  <si>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</si>
  <si>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</si>
  <si>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</si>
  <si>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</si>
  <si>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</si>
  <si>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</si>
  <si>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</si>
  <si>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</si>
  <si>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</si>
  <si>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</si>
  <si>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</si>
  <si>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</si>
  <si>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</si>
  <si>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</si>
  <si>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</si>
  <si>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</si>
  <si>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</si>
  <si>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</si>
  <si>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</si>
  <si>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</si>
  <si>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</si>
  <si>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</si>
  <si>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</si>
  <si>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</si>
  <si>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</si>
  <si>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</si>
  <si>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</si>
  <si>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</si>
  <si>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</si>
  <si>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</si>
  <si>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</si>
  <si>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</si>
  <si>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</si>
  <si>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</si>
  <si>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</si>
  <si>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</si>
  <si>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</si>
  <si>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</si>
  <si>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</si>
  <si>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</si>
  <si>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</si>
  <si>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</si>
  <si>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</si>
  <si>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</si>
  <si>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</si>
  <si>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</si>
  <si>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</si>
  <si>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</si>
  <si>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</si>
  <si>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</si>
  <si>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</si>
  <si>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</si>
  <si>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</si>
  <si>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</si>
  <si>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</si>
  <si>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</si>
  <si>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</si>
  <si>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</si>
  <si>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</si>
  <si>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</si>
  <si>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</si>
  <si>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</si>
  <si>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</si>
  <si>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</si>
  <si>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</si>
  <si>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</si>
  <si>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</si>
  <si>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</si>
  <si>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</si>
  <si>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</si>
  <si>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</si>
  <si>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</si>
  <si>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</si>
  <si>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</si>
  <si>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</si>
  <si>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</si>
  <si>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</si>
  <si>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</si>
  <si>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</si>
  <si>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</si>
  <si>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</si>
  <si>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</si>
  <si>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</si>
  <si>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</si>
  <si>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</si>
  <si>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</si>
  <si>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</si>
  <si>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</si>
  <si>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</si>
  <si>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</si>
  <si>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</si>
  <si>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</si>
  <si>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</si>
  <si>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</si>
  <si>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</si>
  <si>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</si>
  <si>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</si>
  <si>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</si>
  <si>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</si>
  <si>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</si>
  <si>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</si>
  <si>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</si>
  <si>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</si>
  <si>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</si>
  <si>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</si>
  <si>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</si>
  <si>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</si>
  <si>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</si>
  <si>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</si>
  <si>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</si>
  <si>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</si>
  <si>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</si>
  <si>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</si>
  <si>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</si>
  <si>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</si>
  <si>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</si>
  <si>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</si>
  <si>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</si>
  <si>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</si>
  <si>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</si>
  <si>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</si>
  <si>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</si>
  <si>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</si>
  <si>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</si>
  <si>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</si>
  <si>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</si>
  <si>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</si>
  <si>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</si>
  <si>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</si>
  <si>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</si>
  <si>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</si>
  <si>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</si>
  <si>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</si>
  <si>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</si>
  <si>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</si>
  <si>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</si>
  <si>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</si>
  <si>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</si>
  <si>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</si>
  <si>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</si>
  <si>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</si>
  <si>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</si>
  <si>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</si>
  <si>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</si>
  <si>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</si>
  <si>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</si>
  <si>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</si>
  <si>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</si>
  <si>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</si>
  <si>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</si>
  <si>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</si>
  <si>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</si>
  <si>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</si>
  <si>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</si>
  <si>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</si>
  <si>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</si>
  <si>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</si>
  <si>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</si>
  <si>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</si>
  <si>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</si>
  <si>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</si>
  <si>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</si>
  <si>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</si>
  <si>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</si>
  <si>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</si>
  <si>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</si>
  <si>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</si>
  <si>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</si>
  <si>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</si>
  <si>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</si>
  <si>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</si>
  <si>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</si>
  <si>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</si>
  <si>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</si>
  <si>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</si>
  <si>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</si>
  <si>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</si>
  <si>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</si>
  <si>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</si>
  <si>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</si>
  <si>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</si>
  <si>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</si>
  <si>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</si>
  <si>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</si>
  <si>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</si>
  <si>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</si>
  <si>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</si>
  <si>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</si>
  <si>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</si>
  <si>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</si>
  <si>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</si>
  <si>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</si>
  <si>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</si>
  <si>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</si>
  <si>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</si>
  <si>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</si>
  <si>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</si>
  <si>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</si>
  <si>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</si>
  <si>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</si>
  <si>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</si>
  <si>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</si>
  <si>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</si>
  <si>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</si>
  <si>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</si>
  <si>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</si>
  <si>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</si>
  <si>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</si>
  <si>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</si>
  <si>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</si>
  <si>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</si>
  <si>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</si>
  <si>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</si>
  <si>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</si>
  <si>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</si>
  <si>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</si>
  <si>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</si>
  <si>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</si>
  <si>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</si>
  <si>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</si>
  <si>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</si>
  <si>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</si>
  <si>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</si>
  <si>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</si>
  <si>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</si>
  <si>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</si>
  <si>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</si>
  <si>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</si>
  <si>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</si>
  <si>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</si>
  <si>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</si>
  <si>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</si>
  <si>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</si>
  <si>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</si>
  <si>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</si>
  <si>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</si>
  <si>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</si>
  <si>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</si>
  <si>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</si>
  <si>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</si>
  <si>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</si>
  <si>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</si>
  <si>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</si>
  <si>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</si>
  <si>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</si>
  <si>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</si>
  <si>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</si>
  <si>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</si>
  <si>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</si>
  <si>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</si>
  <si>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</si>
  <si>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</si>
  <si>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</si>
  <si>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</si>
  <si>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</si>
  <si>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</si>
  <si>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</si>
  <si>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</si>
  <si>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</si>
  <si>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</si>
  <si>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</si>
  <si>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</si>
  <si>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</si>
  <si>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</si>
  <si>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</si>
  <si>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</si>
  <si>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</si>
  <si>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</si>
  <si>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</si>
  <si>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</si>
  <si>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</si>
  <si>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</si>
  <si>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</si>
  <si>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</si>
  <si>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</si>
  <si>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</si>
  <si>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</si>
  <si>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</si>
  <si>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</si>
  <si>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</si>
  <si>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</si>
  <si>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</si>
  <si>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</si>
  <si>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</si>
  <si>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</si>
  <si>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</si>
  <si>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</si>
  <si>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</si>
  <si>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</si>
  <si>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</si>
  <si>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</si>
  <si>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</si>
  <si>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</si>
  <si>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</si>
  <si>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</si>
  <si>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</si>
  <si>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</si>
  <si>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</si>
  <si>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</si>
  <si>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</si>
  <si>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</si>
  <si>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</si>
  <si>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</si>
  <si>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</si>
  <si>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</si>
  <si>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</si>
  <si>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</si>
  <si>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</si>
  <si>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</si>
  <si>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</si>
  <si>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</si>
  <si>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</si>
  <si>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</si>
  <si>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</si>
  <si>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</si>
  <si>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</si>
  <si>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</si>
  <si>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</si>
  <si>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</si>
  <si>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</si>
  <si>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</si>
  <si>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</si>
  <si>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</si>
  <si>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</si>
  <si>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</si>
  <si>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</si>
  <si>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</si>
  <si>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</si>
  <si>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</si>
  <si>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</si>
  <si>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</si>
  <si>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</si>
  <si>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</si>
  <si>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</si>
  <si>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</si>
  <si>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</si>
  <si>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</si>
  <si>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</si>
  <si>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</si>
  <si>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</si>
  <si>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</si>
  <si>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</si>
  <si>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</si>
  <si>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</si>
  <si>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</si>
  <si>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</si>
  <si>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</si>
  <si>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</si>
  <si>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</si>
  <si>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</si>
  <si>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</si>
  <si>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</si>
  <si>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</si>
  <si>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</si>
  <si>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</si>
  <si>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</si>
  <si>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</si>
  <si>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</si>
  <si>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</si>
  <si>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</si>
  <si>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</si>
  <si>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</si>
  <si>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</si>
  <si>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</si>
  <si>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</si>
  <si>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</si>
  <si>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</si>
  <si>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</si>
  <si>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</si>
  <si>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</si>
  <si>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</si>
  <si>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</si>
  <si>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</si>
  <si>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</si>
  <si>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</si>
  <si>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</si>
  <si>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</si>
  <si>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</si>
  <si>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</si>
  <si>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</si>
  <si>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</si>
  <si>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</si>
  <si>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</si>
  <si>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</si>
  <si>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</si>
  <si>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</si>
  <si>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</si>
  <si>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</si>
  <si>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</si>
  <si>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</si>
  <si>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</si>
  <si>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</si>
  <si>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</si>
  <si>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</si>
  <si>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</si>
  <si>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</si>
  <si>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</si>
  <si>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</si>
  <si>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</si>
  <si>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</si>
  <si>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</si>
  <si>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</si>
  <si>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</si>
  <si>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</si>
  <si>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</si>
  <si>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</si>
  <si>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</si>
  <si>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</si>
  <si>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</si>
  <si>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</si>
  <si>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</si>
  <si>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</si>
  <si>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</si>
  <si>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</si>
  <si>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</si>
  <si>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</si>
  <si>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</si>
  <si>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</si>
  <si>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</si>
  <si>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</si>
  <si>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</si>
  <si>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</si>
  <si>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</si>
  <si>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</si>
  <si>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</si>
  <si>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</si>
  <si>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</si>
  <si>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</si>
  <si>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</si>
  <si>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</si>
  <si>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</si>
  <si>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</si>
  <si>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</si>
  <si>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</si>
  <si>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</si>
  <si>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</si>
  <si>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</si>
  <si>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</si>
  <si>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</si>
  <si>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</si>
  <si>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</si>
  <si>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</si>
  <si>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</si>
  <si>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</si>
  <si>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</si>
  <si>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</si>
  <si>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</si>
  <si>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</si>
  <si>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</si>
  <si>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</si>
  <si>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</si>
  <si>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</si>
  <si>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</si>
  <si>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</si>
  <si>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</si>
  <si>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</si>
  <si>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</si>
  <si>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</si>
  <si>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</si>
  <si>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</si>
  <si>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</si>
  <si>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</si>
  <si>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</si>
  <si>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</si>
  <si>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</si>
  <si>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</si>
  <si>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</si>
  <si>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</si>
  <si>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</si>
  <si>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</si>
  <si>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</si>
  <si>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</si>
  <si>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</si>
  <si>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</si>
  <si>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</si>
  <si>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</si>
  <si>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</si>
  <si>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</si>
  <si>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</si>
  <si>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</si>
  <si>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</si>
  <si>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</si>
  <si>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</si>
  <si>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</si>
  <si>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</si>
  <si>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</si>
  <si>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</si>
  <si>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</si>
  <si>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</si>
  <si>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</si>
  <si>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</si>
  <si>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</si>
  <si>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</si>
  <si>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</si>
  <si>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</si>
  <si>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</si>
  <si>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</si>
  <si>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</si>
  <si>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</si>
  <si>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</si>
  <si>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</si>
  <si>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</si>
  <si>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</si>
  <si>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</si>
  <si>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</si>
  <si>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</si>
  <si>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</si>
  <si>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</si>
  <si>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</si>
  <si>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</si>
  <si>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</si>
  <si>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</si>
  <si>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</si>
  <si>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</si>
  <si>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</si>
  <si>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</si>
  <si>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</si>
  <si>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</si>
  <si>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</si>
  <si>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</si>
  <si>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</si>
  <si>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</si>
  <si>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</si>
  <si>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</si>
  <si>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</si>
  <si>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</si>
  <si>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</si>
  <si>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</si>
  <si>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</si>
  <si>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</si>
  <si>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</si>
  <si>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</si>
  <si>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</si>
  <si>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</si>
  <si>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</si>
  <si>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</si>
  <si>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</si>
  <si>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</si>
  <si>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</si>
  <si>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</si>
  <si>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</si>
  <si>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</si>
  <si>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</si>
  <si>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</si>
  <si>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</si>
  <si>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</si>
  <si>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</si>
  <si>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</si>
  <si>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</si>
  <si>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</si>
  <si>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</si>
  <si>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</si>
  <si>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</si>
  <si>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</si>
  <si>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</si>
  <si>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</si>
  <si>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</si>
  <si>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</si>
  <si>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</si>
  <si>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</si>
  <si>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</si>
  <si>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</si>
  <si>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</si>
  <si>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</si>
  <si>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</si>
  <si>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</si>
  <si>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</si>
  <si>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</si>
  <si>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</si>
  <si>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</si>
  <si>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</si>
  <si>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</si>
  <si>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</si>
  <si>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</si>
  <si>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</si>
  <si>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</si>
  <si>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</si>
  <si>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</si>
  <si>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</si>
  <si>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</si>
  <si>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</si>
  <si>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</si>
  <si>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</si>
  <si>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</si>
  <si>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</si>
  <si>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</si>
  <si>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</si>
  <si>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</si>
  <si>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</si>
  <si>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</si>
  <si>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</si>
  <si>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</si>
  <si>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</si>
  <si>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</si>
  <si>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</si>
  <si>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</si>
  <si>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</si>
  <si>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</si>
  <si>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</si>
  <si>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</si>
  <si>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</si>
  <si>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</si>
  <si>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</si>
  <si>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</si>
  <si>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</si>
  <si>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</si>
  <si>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</si>
  <si>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</si>
  <si>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</si>
  <si>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</si>
  <si>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</si>
  <si>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</si>
  <si>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</si>
  <si>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</si>
  <si>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</si>
  <si>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</si>
  <si>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</si>
  <si>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</si>
  <si>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</si>
  <si>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</si>
  <si>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</si>
  <si>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</si>
  <si>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</si>
  <si>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</si>
  <si>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</si>
  <si>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</si>
  <si>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</si>
  <si>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</si>
  <si>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</si>
  <si>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</si>
  <si>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</si>
  <si>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</si>
  <si>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</si>
  <si>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</si>
  <si>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</si>
  <si>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</si>
  <si>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</si>
  <si>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</si>
  <si>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</si>
  <si>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</si>
  <si>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</si>
  <si>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</si>
  <si>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</si>
  <si>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</si>
  <si>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</si>
  <si>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</si>
  <si>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</si>
  <si>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</si>
  <si>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</si>
  <si>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</si>
  <si>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</si>
  <si>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</si>
  <si>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</si>
  <si>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</si>
  <si>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</si>
  <si>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</si>
  <si>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</si>
  <si>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</si>
  <si>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</si>
  <si>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</si>
  <si>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</si>
  <si>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</si>
  <si>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</si>
  <si>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</si>
  <si>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</si>
  <si>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</si>
  <si>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</si>
  <si>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</si>
  <si>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</si>
  <si>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</si>
  <si>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</si>
  <si>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</si>
  <si>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</si>
  <si>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</si>
  <si>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</si>
  <si>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</si>
  <si>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</si>
  <si>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</si>
  <si>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</si>
  <si>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</si>
  <si>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</si>
  <si>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</si>
  <si>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</si>
  <si>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</si>
  <si>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</si>
  <si>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</si>
  <si>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</si>
  <si>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</si>
  <si>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</si>
  <si>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</si>
  <si>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</si>
  <si>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</si>
  <si>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</si>
  <si>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</si>
  <si>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</si>
  <si>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</si>
  <si>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</si>
  <si>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</si>
  <si>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</si>
  <si>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</si>
  <si>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</si>
  <si>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</si>
  <si>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</si>
  <si>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</si>
  <si>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</si>
  <si>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</si>
  <si>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</si>
  <si>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</si>
  <si>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</si>
  <si>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</si>
  <si>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</si>
  <si>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</si>
  <si>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</si>
  <si>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</si>
  <si>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</si>
  <si>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</si>
  <si>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</si>
  <si>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</si>
  <si>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</si>
  <si>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</si>
  <si>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</si>
  <si>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</si>
  <si>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</si>
  <si>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</si>
  <si>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</si>
  <si>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</si>
  <si>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</si>
  <si>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</si>
  <si>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</si>
  <si>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</si>
  <si>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</si>
  <si>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</si>
  <si>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</si>
  <si>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</si>
  <si>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</si>
  <si>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</si>
  <si>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</si>
  <si>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</si>
  <si>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</si>
  <si>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</si>
  <si>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</si>
  <si>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</si>
  <si>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</si>
  <si>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</si>
  <si>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</si>
  <si>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</si>
  <si>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</si>
  <si>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</si>
  <si>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</si>
  <si>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</si>
  <si>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</si>
  <si>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</si>
  <si>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</si>
  <si>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</si>
  <si>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</si>
  <si>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</si>
  <si>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</si>
  <si>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</si>
  <si>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</si>
  <si>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</si>
  <si>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</si>
  <si>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</si>
  <si>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</si>
  <si>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</si>
  <si>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</si>
  <si>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</si>
  <si>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</si>
  <si>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</si>
  <si>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</si>
  <si>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</si>
  <si>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</si>
  <si>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</si>
  <si>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</si>
  <si>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</si>
  <si>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</si>
  <si>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</si>
  <si>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</si>
  <si>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</si>
  <si>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</si>
  <si>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</si>
  <si>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</si>
  <si>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</si>
  <si>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</si>
  <si>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</si>
  <si>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</si>
  <si>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</si>
  <si>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</si>
  <si>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</si>
  <si>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</si>
  <si>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</si>
  <si>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</si>
  <si>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</si>
  <si>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</si>
  <si>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</si>
  <si>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</si>
  <si>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</si>
  <si>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</si>
  <si>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</si>
  <si>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</si>
  <si>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</si>
  <si>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</si>
  <si>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</si>
  <si>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</si>
  <si>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</si>
  <si>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</si>
  <si>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</si>
  <si>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</si>
  <si>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</si>
  <si>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</si>
  <si>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</si>
  <si>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</si>
  <si>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</si>
  <si>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</si>
  <si>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</si>
  <si>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</si>
  <si>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</si>
  <si>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</si>
  <si>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</si>
  <si>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</si>
  <si>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</si>
  <si>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</si>
  <si>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</si>
  <si>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</si>
  <si>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</si>
  <si>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</si>
  <si>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</si>
  <si>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</si>
  <si>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</si>
  <si>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</si>
  <si>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</si>
  <si>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</si>
  <si>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</si>
  <si>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</si>
  <si>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</si>
  <si>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</si>
  <si>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</si>
  <si>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</si>
  <si>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</si>
  <si>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</si>
  <si>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</si>
  <si>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</si>
  <si>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</si>
  <si>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</si>
  <si>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</si>
  <si>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</si>
  <si>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</si>
  <si>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</si>
  <si>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</si>
  <si>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</si>
  <si>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</si>
  <si>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</si>
  <si>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</si>
  <si>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</si>
  <si>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</si>
  <si>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</si>
  <si>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</si>
  <si>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</si>
  <si>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</si>
  <si>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</si>
  <si>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</si>
  <si>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</si>
  <si>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</si>
  <si>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</si>
  <si>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</si>
  <si>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</si>
  <si>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</si>
  <si>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</si>
  <si>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</si>
  <si>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</si>
  <si>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</si>
  <si>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</si>
  <si>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</si>
  <si>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</si>
  <si>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</si>
  <si>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</si>
  <si>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</si>
  <si>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</si>
  <si>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</si>
  <si>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</si>
  <si>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</si>
  <si>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</si>
  <si>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</si>
  <si>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</si>
  <si>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</si>
  <si>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</si>
  <si>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</si>
  <si>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</si>
  <si>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</si>
  <si>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</si>
  <si>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</si>
  <si>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</si>
  <si>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</si>
  <si>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</si>
  <si>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</si>
  <si>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</si>
  <si>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</si>
  <si>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</si>
  <si>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</si>
  <si>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</si>
  <si>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</si>
  <si>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</si>
  <si>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</si>
  <si>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</si>
  <si>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</si>
  <si>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</si>
  <si>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</si>
  <si>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</si>
  <si>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</si>
  <si>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</si>
  <si>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</si>
  <si>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</si>
  <si>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</si>
  <si>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</si>
  <si>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</si>
  <si>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</si>
  <si>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</si>
  <si>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</si>
  <si>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</si>
  <si>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</si>
  <si>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</si>
  <si>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</si>
  <si>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</si>
  <si>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</si>
  <si>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</si>
  <si>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</si>
  <si>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</si>
  <si>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</si>
  <si>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</si>
  <si>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</si>
  <si>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</si>
  <si>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</si>
  <si>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</si>
  <si>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</si>
  <si>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</si>
  <si>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</si>
  <si>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</si>
  <si>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</si>
  <si>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</si>
  <si>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</si>
  <si>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</si>
  <si>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</si>
  <si>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</si>
  <si>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</si>
  <si>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</si>
  <si>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</si>
  <si>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</si>
  <si>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</si>
  <si>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</si>
  <si>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</si>
  <si>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</si>
  <si>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</si>
  <si>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</si>
  <si>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</si>
  <si>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</si>
  <si>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</si>
  <si>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</si>
  <si>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</si>
  <si>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</si>
  <si>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</si>
  <si>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</si>
  <si>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</si>
  <si>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</si>
  <si>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</si>
  <si>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</si>
  <si>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</si>
  <si>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</si>
  <si>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</si>
  <si>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</si>
  <si>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</si>
  <si>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</si>
  <si>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</si>
  <si>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</si>
  <si>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</si>
  <si>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</si>
  <si>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</si>
  <si>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</si>
  <si>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</si>
  <si>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</si>
  <si>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</si>
  <si>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</si>
  <si>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</si>
  <si>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</si>
  <si>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</si>
  <si>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</si>
  <si>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</si>
  <si>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</si>
  <si>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</si>
  <si>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</si>
  <si>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</si>
  <si>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</si>
  <si>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</si>
  <si>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</si>
  <si>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</si>
  <si>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</si>
  <si>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</si>
  <si>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</si>
  <si>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</si>
  <si>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</si>
  <si>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</si>
  <si>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</si>
  <si>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</si>
  <si>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</si>
  <si>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</si>
  <si>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</si>
  <si>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</si>
  <si>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</si>
  <si>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</si>
  <si>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</si>
  <si>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</si>
  <si>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</si>
  <si>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</si>
  <si>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</si>
  <si>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</si>
  <si>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</si>
  <si>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</si>
  <si>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</si>
  <si>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</si>
  <si>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</si>
  <si>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</si>
  <si>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</si>
  <si>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</si>
  <si>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</si>
  <si>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</si>
  <si>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</si>
  <si>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</si>
  <si>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</si>
  <si>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</si>
  <si>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</si>
  <si>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</si>
  <si>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</si>
  <si>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</si>
  <si>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</si>
  <si>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</si>
  <si>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</si>
  <si>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</si>
  <si>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</si>
  <si>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</si>
  <si>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</si>
  <si>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</si>
  <si>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</si>
  <si>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</si>
  <si>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</si>
  <si>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</si>
  <si>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</si>
  <si>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</si>
  <si>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</si>
  <si>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</si>
  <si>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</si>
  <si>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</si>
  <si>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</si>
  <si>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</si>
  <si>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</si>
  <si>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</si>
  <si>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</si>
  <si>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</si>
  <si>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</si>
  <si>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</si>
  <si>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</si>
  <si>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</si>
  <si>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</si>
  <si>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</si>
  <si>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</si>
  <si>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</si>
  <si>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</si>
  <si>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</si>
  <si>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</si>
  <si>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</si>
  <si>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</si>
  <si>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</si>
  <si>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</si>
  <si>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</si>
  <si>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</si>
  <si>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</si>
  <si>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</si>
  <si>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</si>
  <si>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</si>
  <si>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</si>
  <si>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</si>
  <si>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</si>
  <si>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</si>
  <si>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</si>
  <si>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</si>
  <si>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</si>
  <si>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</si>
  <si>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</si>
  <si>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</si>
  <si>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</si>
  <si>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</si>
  <si>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</si>
  <si>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</si>
  <si>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</si>
  <si>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</si>
  <si>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</si>
  <si>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</si>
  <si>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</si>
  <si>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</si>
  <si>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</si>
  <si>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</si>
  <si>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</si>
  <si>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</si>
  <si>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</si>
  <si>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</si>
  <si>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</si>
  <si>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</si>
  <si>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</si>
  <si>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</si>
  <si>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</si>
  <si>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</si>
  <si>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</si>
  <si>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</si>
  <si>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</si>
  <si>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</si>
  <si>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</si>
  <si>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</si>
  <si>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</si>
  <si>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</si>
  <si>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</si>
  <si>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</si>
  <si>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</si>
  <si>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</si>
  <si>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</si>
  <si>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</si>
  <si>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</si>
  <si>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</si>
  <si>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</si>
  <si>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</si>
  <si>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</si>
  <si>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</si>
  <si>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</si>
  <si>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</si>
  <si>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</si>
  <si>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</si>
  <si>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</si>
  <si>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</si>
  <si>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</si>
  <si>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</si>
  <si>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</si>
  <si>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</si>
  <si>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</si>
  <si>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</si>
  <si>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</si>
  <si>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</si>
  <si>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</si>
  <si>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</si>
  <si>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</si>
  <si>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</si>
  <si>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</si>
  <si>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</si>
  <si>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</si>
  <si>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</si>
  <si>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</si>
  <si>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</si>
  <si>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</si>
  <si>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</si>
  <si>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</si>
  <si>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</si>
  <si>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</si>
  <si>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</si>
  <si>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</si>
  <si>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</si>
  <si>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</si>
  <si>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</si>
  <si>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</si>
  <si>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</si>
  <si>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</si>
  <si>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</si>
  <si>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</si>
  <si>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</si>
  <si>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</si>
  <si>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</si>
  <si>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</si>
  <si>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</si>
  <si>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</si>
  <si>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</si>
  <si>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</si>
  <si>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</si>
  <si>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</si>
  <si>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</si>
  <si>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</si>
  <si>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</si>
  <si>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</si>
  <si>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</si>
  <si>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</si>
  <si>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</si>
  <si>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</si>
  <si>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</si>
  <si>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</si>
  <si>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</si>
  <si>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</si>
  <si>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</si>
  <si>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</si>
  <si>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</si>
  <si>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</si>
  <si>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</si>
  <si>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</si>
  <si>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</si>
  <si>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</si>
  <si>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</si>
  <si>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</si>
  <si>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</si>
  <si>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</si>
  <si>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</si>
  <si>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</si>
  <si>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</si>
  <si>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</si>
  <si>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</si>
  <si>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</si>
  <si>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</si>
  <si>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</si>
  <si>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</si>
  <si>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</si>
  <si>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</si>
  <si>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</si>
  <si>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</si>
  <si>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</si>
  <si>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</si>
  <si>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</si>
  <si>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</si>
  <si>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</si>
  <si>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</si>
  <si>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</si>
  <si>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</si>
  <si>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</si>
  <si>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</si>
  <si>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</si>
  <si>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</si>
  <si>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</si>
  <si>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</si>
  <si>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</si>
  <si>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</si>
  <si>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</si>
  <si>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</si>
  <si>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</si>
  <si>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</si>
  <si>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</si>
  <si>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</si>
  <si>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</si>
  <si>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</si>
  <si>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</si>
  <si>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</si>
  <si>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</si>
  <si>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</si>
  <si>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</si>
  <si>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</si>
  <si>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</si>
  <si>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</si>
  <si>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</si>
  <si>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</si>
  <si>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</si>
  <si>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</si>
  <si>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</si>
  <si>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</si>
  <si>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</si>
  <si>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</si>
  <si>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</si>
  <si>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</si>
  <si>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</si>
  <si>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</si>
  <si>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</si>
  <si>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</si>
  <si>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</si>
  <si>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</si>
  <si>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</si>
  <si>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</si>
  <si>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</si>
  <si>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</si>
  <si>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</si>
  <si>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</si>
  <si>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</si>
  <si>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</si>
  <si>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</si>
  <si>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</si>
  <si>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</si>
  <si>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</si>
  <si>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</si>
  <si>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</si>
  <si>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</si>
  <si>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</si>
  <si>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</si>
  <si>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</si>
  <si>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</si>
  <si>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</si>
  <si>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</si>
  <si>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</si>
  <si>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</si>
  <si>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</si>
  <si>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</si>
  <si>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</si>
  <si>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</si>
  <si>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</si>
  <si>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</si>
  <si>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</si>
  <si>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</si>
  <si>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</si>
  <si>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</si>
  <si>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</si>
  <si>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</si>
  <si>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</si>
  <si>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</si>
  <si>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</si>
  <si>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</si>
  <si>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</si>
  <si>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</si>
  <si>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</si>
  <si>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</si>
  <si>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</si>
  <si>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</si>
  <si>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</si>
  <si>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</si>
  <si>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</si>
  <si>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</si>
  <si>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</si>
  <si>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</si>
  <si>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</si>
  <si>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</si>
  <si>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</si>
  <si>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</si>
  <si>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</si>
  <si>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</si>
  <si>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</si>
  <si>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</si>
  <si>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</si>
  <si>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</si>
  <si>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</si>
  <si>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</si>
  <si>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</si>
  <si>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</si>
  <si>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</si>
  <si>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</si>
  <si>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</si>
  <si>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</si>
  <si>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</si>
  <si>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</si>
  <si>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</si>
  <si>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</si>
  <si>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</si>
  <si>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</si>
  <si>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</si>
  <si>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</si>
  <si>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</si>
  <si>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</si>
  <si>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</si>
  <si>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</si>
  <si>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</si>
  <si>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</si>
  <si>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</si>
  <si>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</si>
  <si>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</si>
  <si>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</si>
  <si>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</si>
  <si>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</si>
  <si>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</si>
  <si>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</si>
  <si>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</si>
  <si>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</si>
  <si>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</si>
  <si>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</si>
  <si>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</si>
  <si>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</si>
  <si>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</si>
  <si>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</si>
  <si>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</si>
  <si>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</si>
  <si>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</si>
  <si>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</si>
  <si>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</si>
  <si>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</si>
  <si>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</si>
  <si>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</si>
  <si>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</si>
  <si>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</si>
  <si>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</si>
  <si>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</si>
  <si>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</si>
  <si>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</si>
  <si>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</si>
  <si>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</si>
  <si>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</si>
  <si>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</si>
  <si>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</si>
  <si>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</si>
  <si>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</si>
  <si>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</si>
  <si>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</si>
  <si>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</si>
  <si>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</si>
  <si>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</si>
  <si>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</si>
  <si>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</si>
  <si>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</si>
  <si>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</si>
  <si>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</si>
  <si>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</si>
  <si>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</si>
  <si>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</si>
  <si>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</si>
  <si>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</si>
  <si>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</si>
  <si>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</si>
  <si>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</si>
  <si>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</si>
  <si>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</si>
  <si>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</si>
  <si>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</si>
  <si>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</si>
  <si>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</si>
  <si>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</si>
  <si>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</si>
  <si>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</si>
  <si>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</si>
  <si>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</si>
  <si>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</si>
  <si>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</si>
  <si>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</si>
  <si>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</si>
  <si>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</si>
  <si>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</si>
  <si>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</si>
  <si>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</si>
  <si>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</si>
  <si>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</si>
  <si>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</si>
  <si>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</si>
  <si>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</si>
  <si>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</si>
  <si>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</si>
  <si>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</si>
  <si>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</si>
  <si>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</si>
  <si>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</si>
  <si>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</si>
  <si>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</si>
  <si>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</si>
  <si>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</si>
  <si>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</si>
  <si>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</si>
  <si>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</si>
  <si>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</si>
  <si>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</si>
  <si>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</si>
  <si>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</si>
  <si>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</si>
  <si>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</si>
  <si>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</si>
  <si>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</si>
  <si>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</si>
  <si>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</si>
  <si>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</si>
  <si>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</si>
  <si>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</si>
  <si>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</si>
  <si>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</si>
  <si>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</si>
  <si>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</si>
  <si>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</si>
  <si>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</si>
  <si>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</si>
  <si>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</si>
  <si>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</si>
  <si>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</si>
  <si>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</si>
  <si>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</si>
  <si>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</si>
  <si>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</si>
  <si>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</si>
  <si>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</si>
  <si>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</si>
  <si>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</si>
  <si>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</si>
  <si>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</si>
  <si>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</si>
  <si>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</si>
  <si>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</si>
  <si>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</si>
  <si>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</si>
  <si>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</si>
  <si>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</si>
  <si>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</si>
  <si>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</si>
  <si>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</si>
  <si>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</si>
  <si>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</si>
  <si>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</si>
  <si>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</si>
  <si>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</si>
  <si>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</si>
  <si>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</si>
  <si>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</si>
  <si>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</si>
  <si>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</si>
  <si>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</si>
  <si>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</si>
  <si>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</si>
  <si>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</si>
  <si>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</si>
  <si>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</si>
  <si>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</si>
  <si>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</si>
  <si>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</si>
  <si>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</si>
  <si>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</si>
  <si>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</si>
  <si>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</si>
  <si>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</si>
  <si>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</si>
  <si>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</si>
  <si>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</si>
  <si>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</si>
  <si>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</si>
  <si>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</si>
  <si>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</si>
  <si>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</si>
  <si>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</si>
  <si>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</si>
  <si>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</si>
  <si>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</si>
  <si>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</si>
  <si>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</si>
  <si>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</si>
  <si>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</si>
  <si>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</si>
  <si>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</si>
  <si>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</si>
  <si>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</si>
  <si>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</si>
  <si>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</si>
  <si>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</si>
  <si>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</si>
  <si>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</si>
  <si>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</si>
  <si>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</si>
  <si>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</si>
  <si>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</si>
  <si>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</si>
  <si>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</si>
  <si>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</si>
  <si>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</si>
  <si>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</si>
  <si>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</si>
  <si>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</si>
  <si>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</si>
  <si>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</si>
  <si>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</si>
  <si>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</si>
  <si>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</si>
  <si>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</si>
  <si>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</si>
  <si>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</si>
  <si>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</si>
  <si>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</si>
  <si>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</si>
  <si>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</si>
  <si>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</si>
  <si>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</si>
  <si>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</si>
  <si>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</si>
  <si>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</si>
  <si>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</si>
  <si>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</si>
  <si>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</si>
  <si>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</si>
  <si>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</si>
  <si>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</si>
  <si>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</si>
  <si>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</si>
  <si>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</si>
  <si>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</si>
  <si>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</si>
  <si>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</si>
  <si>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</si>
  <si>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</si>
  <si>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</si>
  <si>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</si>
  <si>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</si>
  <si>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</si>
  <si>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</si>
  <si>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</si>
  <si>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</si>
  <si>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</si>
  <si>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</si>
  <si>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</si>
  <si>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</si>
  <si>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</si>
  <si>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</si>
  <si>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</si>
  <si>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</si>
  <si>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</si>
  <si>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</si>
  <si>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</si>
  <si>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</si>
  <si>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</si>
  <si>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</si>
  <si>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</si>
  <si>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</si>
  <si>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</si>
  <si>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</si>
  <si>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</si>
  <si>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</si>
  <si>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</si>
  <si>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</si>
  <si>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</si>
  <si>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Rumney School District</t>
  </si>
  <si>
    <t>08/20</t>
  </si>
  <si>
    <t>08/40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</si>
</sst>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640" zoomScale="120" zoomScaleNormal="120" workbookViewId="0">
      <selection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467</v>
      </c>
      <c r="C2" s="21">
        <v>467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278481.40999999997</v>
      </c>
      <c r="G9" s="18">
        <v>-7089.3</v>
      </c>
      <c r="H9" s="18">
        <v>-28616.58</v>
      </c>
      <c r="I9" s="18">
        <v>329226.67</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229273.33</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542.20000000000005</v>
      </c>
      <c r="G13" s="18">
        <v>9575.1200000000008</v>
      </c>
      <c r="H13" s="18">
        <v>36500.46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45084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135708.85</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459816.45999999996</v>
      </c>
      <c r="G19" s="41">
        <f>SUM(G9:G18)</f>
        <v>2485.8200000000006</v>
      </c>
      <c r="H19" s="41">
        <f>SUM(H9:H18)</f>
        <v>7883.8799999999974</v>
      </c>
      <c r="I19" s="41">
        <f>SUM(I9:I18)</f>
        <v>329226.67</v>
      </c>
      <c r="J19" s="41">
        <f>SUM(J9:J18)</f>
        <v>229273.33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73268.679999999993</v>
      </c>
      <c r="G24" s="18">
        <v>2069.75</v>
      </c>
      <c r="H24" s="18">
        <v>7516.43</v>
      </c>
      <c r="I24" s="18">
        <v>194885</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367.45</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73268.679999999993</v>
      </c>
      <c r="G32" s="41">
        <f>SUM(G22:G31)</f>
        <v>2069.75</v>
      </c>
      <c r="H32" s="41">
        <f>SUM(H22:H31)</f>
        <v>7883.88</v>
      </c>
      <c r="I32" s="41">
        <f>SUM(I22:I31)</f>
        <v>194885</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416.07</v>
      </c>
      <c r="H48" s="18">
        <v>-13068.29</v>
      </c>
      <c r="I48" s="18">
        <v>134341.67000000001</v>
      </c>
      <c r="J48" s="13">
        <f>SUM(I460)</f>
        <v>229273.33</v>
      </c>
      <c r="K48" s="24" t="s">
        <v>288</v>
      </c>
      <c r="L48" s="24" t="s">
        <v>288</v>
      </c>
      <c r="M48" s="8"/>
      <c r="N48" s="264"/>
    </row>
    <row r="49" spans="1:14" s="3" customFormat="1" ht="12.2" customHeight="1" x14ac:dyDescent="0.15">
      <c r="A49" s="1" t="s">
        <v>859</v>
      </c>
      <c r="B49" s="2" t="s">
        <v>289</v>
      </c>
      <c r="C49" s="6">
        <v>34</v>
      </c>
      <c r="D49" s="2"/>
      <c r="E49" s="6">
        <v>753</v>
      </c>
      <c r="F49" s="18">
        <v>343115.7</v>
      </c>
      <c r="G49" s="18"/>
      <c r="H49" s="18">
        <v>13068.29</v>
      </c>
      <c r="I49" s="18"/>
      <c r="J49" s="13">
        <f>I455</f>
        <v>0</v>
      </c>
      <c r="K49" s="24"/>
      <c r="L49" s="24"/>
      <c r="M49" s="8"/>
      <c r="N49" s="264"/>
    </row>
    <row r="50" spans="1:14" s="3" customFormat="1" ht="12.2" customHeight="1" thickBot="1" x14ac:dyDescent="0.2">
      <c r="A50" s="29" t="s">
        <v>840</v>
      </c>
      <c r="B50" s="2" t="s">
        <v>289</v>
      </c>
      <c r="C50" s="71">
        <v>35</v>
      </c>
      <c r="D50" s="2" t="s">
        <v>653</v>
      </c>
      <c r="E50" s="6">
        <v>770</v>
      </c>
      <c r="F50" s="18">
        <v>42432.08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386547.78</v>
      </c>
      <c r="G51" s="41">
        <f>SUM(G35:G50)</f>
        <v>416.07</v>
      </c>
      <c r="H51" s="41">
        <f>SUM(H35:H50)</f>
        <v>0</v>
      </c>
      <c r="I51" s="41">
        <f>SUM(I35:I50)</f>
        <v>134341.67000000001</v>
      </c>
      <c r="J51" s="41">
        <f>SUM(J35:J50)</f>
        <v>229273.33</v>
      </c>
      <c r="K51" s="45" t="s">
        <v>288</v>
      </c>
      <c r="L51" s="45" t="s">
        <v>288</v>
      </c>
      <c r="N51" s="262"/>
    </row>
    <row r="52" spans="1:14" s="3" customFormat="1" ht="12.2" customHeight="1" thickTop="1" x14ac:dyDescent="0.15">
      <c r="A52" s="38" t="s">
        <v>455</v>
      </c>
      <c r="B52" s="39" t="s">
        <v>289</v>
      </c>
      <c r="C52" s="6">
        <v>37</v>
      </c>
      <c r="D52" s="39" t="s">
        <v>653</v>
      </c>
      <c r="E52" s="39"/>
      <c r="F52" s="41">
        <f>F51+F32</f>
        <v>459816.46</v>
      </c>
      <c r="G52" s="41">
        <f>G51+G32</f>
        <v>2485.8200000000002</v>
      </c>
      <c r="H52" s="41">
        <f>H51+H32</f>
        <v>7883.88</v>
      </c>
      <c r="I52" s="41">
        <f>I51+I32</f>
        <v>329226.67000000004</v>
      </c>
      <c r="J52" s="41">
        <f>J51+J32</f>
        <v>229273.33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2318633-4</f>
        <v>2318629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2318629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147.13</v>
      </c>
      <c r="G96" s="18"/>
      <c r="H96" s="18"/>
      <c r="I96" s="18"/>
      <c r="J96" s="18">
        <v>15244.72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925.42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27641.599999999999</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763.98</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28088.67</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56641.38</v>
      </c>
      <c r="G111" s="41">
        <f>SUM(G96:G110)</f>
        <v>925.42</v>
      </c>
      <c r="H111" s="41">
        <f>SUM(H96:H110)</f>
        <v>0</v>
      </c>
      <c r="I111" s="41">
        <f>SUM(I96:I110)</f>
        <v>0</v>
      </c>
      <c r="J111" s="41">
        <f>SUM(J96:J110)</f>
        <v>15244.72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2375270.38</v>
      </c>
      <c r="G112" s="41">
        <f>G60+G111</f>
        <v>925.42</v>
      </c>
      <c r="H112" s="41">
        <f>H60+H79+H94+H111</f>
        <v>0</v>
      </c>
      <c r="I112" s="41">
        <f>I60+I111</f>
        <v>0</v>
      </c>
      <c r="J112" s="41">
        <f>J60+J111</f>
        <v>15244.72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490731.75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214529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707255.96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601.48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601.48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707255.96</v>
      </c>
      <c r="G140" s="41">
        <f>G121+SUM(G136:G137)</f>
        <v>601.48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42249.24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107316.28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59635.33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15802.06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19951.96</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30259.25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15802.06</v>
      </c>
      <c r="G163" s="41">
        <f>SUM(G150:G162)</f>
        <v>59635.33</v>
      </c>
      <c r="H163" s="41">
        <f>SUM(H150:H162)</f>
        <v>199776.72999999998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5349.3</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21151.360000000001</v>
      </c>
      <c r="G170" s="41">
        <f>G147+G163+SUM(G164:G169)</f>
        <v>59635.33</v>
      </c>
      <c r="H170" s="41">
        <f>H147+H163+SUM(H164:H169)</f>
        <v>199776.72999999998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2058300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2058300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14000</v>
      </c>
      <c r="H180" s="18"/>
      <c r="I180" s="18"/>
      <c r="J180" s="18">
        <v>75000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14000</v>
      </c>
      <c r="H184" s="41">
        <f>SUM(H180:H183)</f>
        <v>0</v>
      </c>
      <c r="I184" s="41">
        <f>SUM(I180:I183)</f>
        <v>0</v>
      </c>
      <c r="J184" s="41">
        <f>SUM(J180:J183)</f>
        <v>75000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v>1300000</v>
      </c>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v>4500</v>
      </c>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4500</v>
      </c>
      <c r="G189" s="41">
        <f>SUM(G186:G188)</f>
        <v>0</v>
      </c>
      <c r="H189" s="41">
        <f>SUM(H186:H188)</f>
        <v>0</v>
      </c>
      <c r="I189" s="41">
        <f>SUM(I186:I188)</f>
        <v>1300000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4500</v>
      </c>
      <c r="G193" s="41">
        <f>G184+SUM(G189:G192)</f>
        <v>14000</v>
      </c>
      <c r="H193" s="41">
        <f>+H184+SUM(H189:H192)</f>
        <v>0</v>
      </c>
      <c r="I193" s="41">
        <f>I178+I184+SUM(I189:I192)</f>
        <v>3358300</v>
      </c>
      <c r="J193" s="41">
        <f>J184</f>
        <v>75000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3108177.6999999997</v>
      </c>
      <c r="G194" s="47">
        <f>G112+G140+G170+G193</f>
        <v>75162.23000000001</v>
      </c>
      <c r="H194" s="47">
        <f>H112+H140+H170+H193</f>
        <v>199776.72999999998</v>
      </c>
      <c r="I194" s="47">
        <f>I112+I140+I170+I193</f>
        <v>3358300</v>
      </c>
      <c r="J194" s="47">
        <f>J112+J140+J193</f>
        <v>90244.72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650162.42000000004</v>
      </c>
      <c r="G198" s="18">
        <v>375070.45</v>
      </c>
      <c r="H198" s="18">
        <v>2676.24</v>
      </c>
      <c r="I198" s="18">
        <v>65088.14</v>
      </c>
      <c r="J198" s="18">
        <v>17114.38</v>
      </c>
      <c r="K198" s="18">
        <v>3651.6</v>
      </c>
      <c r="L198" s="19">
        <f>SUM(F198:K198)</f>
        <v>1113763.23</v>
      </c>
      <c r="M198" s="8"/>
      <c r="N198" s="264"/>
    </row>
    <row r="199" spans="1:14" s="3" customFormat="1" ht="12.2" customHeight="1" x14ac:dyDescent="0.15">
      <c r="A199" s="1" t="s">
        <v>439</v>
      </c>
      <c r="B199" s="2" t="s">
        <v>341</v>
      </c>
      <c r="C199" s="2" t="s">
        <v>291</v>
      </c>
      <c r="D199" s="2" t="s">
        <v>431</v>
      </c>
      <c r="E199" s="6">
        <v>1200</v>
      </c>
      <c r="F199" s="18">
        <v>252443.41</v>
      </c>
      <c r="G199" s="18">
        <v>93053.34</v>
      </c>
      <c r="H199" s="18">
        <v>64346.29</v>
      </c>
      <c r="I199" s="18">
        <v>2084.89</v>
      </c>
      <c r="J199" s="18">
        <v>815.92</v>
      </c>
      <c r="K199" s="18"/>
      <c r="L199" s="19">
        <f>SUM(F199:K199)</f>
        <v>412743.85</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60970.13</v>
      </c>
      <c r="G201" s="18">
        <v>10305.93</v>
      </c>
      <c r="H201" s="18"/>
      <c r="I201" s="18">
        <v>4487.3900000000003</v>
      </c>
      <c r="J201" s="18"/>
      <c r="K201" s="18"/>
      <c r="L201" s="19">
        <f>SUM(F201:K201)</f>
        <v>75763.45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97918</v>
      </c>
      <c r="G203" s="18">
        <v>55516.97</v>
      </c>
      <c r="H203" s="18">
        <v>133624.56</v>
      </c>
      <c r="I203" s="18">
        <v>4892.99</v>
      </c>
      <c r="J203" s="18"/>
      <c r="K203" s="18">
        <v>533.70000000000005</v>
      </c>
      <c r="L203" s="19">
        <f t="shared" ref="L203:L209" si="0">SUM(F203:K203)</f>
        <v>292486.22000000003</v>
      </c>
      <c r="M203" s="8"/>
      <c r="N203" s="264"/>
    </row>
    <row r="204" spans="1:14" s="3" customFormat="1" ht="12.2" customHeight="1" x14ac:dyDescent="0.15">
      <c r="A204" s="1" t="s">
        <v>443</v>
      </c>
      <c r="B204" s="2" t="s">
        <v>341</v>
      </c>
      <c r="C204" s="2" t="s">
        <v>295</v>
      </c>
      <c r="D204" s="2" t="s">
        <v>431</v>
      </c>
      <c r="E204" s="6">
        <v>2200</v>
      </c>
      <c r="F204" s="18"/>
      <c r="G204" s="18">
        <v>5139.97</v>
      </c>
      <c r="H204" s="18">
        <v>42.5</v>
      </c>
      <c r="I204" s="18">
        <v>2805.51</v>
      </c>
      <c r="J204" s="18"/>
      <c r="K204" s="18">
        <v>53</v>
      </c>
      <c r="L204" s="19">
        <f t="shared" si="0"/>
        <v>8040.9800000000005</v>
      </c>
      <c r="M204" s="8"/>
      <c r="N204" s="264"/>
    </row>
    <row r="205" spans="1:14" s="3" customFormat="1" ht="12.2" customHeight="1" x14ac:dyDescent="0.15">
      <c r="A205" s="1" t="s">
        <v>444</v>
      </c>
      <c r="B205" s="2" t="s">
        <v>341</v>
      </c>
      <c r="C205" s="2" t="s">
        <v>296</v>
      </c>
      <c r="D205" s="2" t="s">
        <v>431</v>
      </c>
      <c r="E205" s="6">
        <v>2300</v>
      </c>
      <c r="F205" s="18">
        <v>5755</v>
      </c>
      <c r="G205" s="18">
        <v>560.14</v>
      </c>
      <c r="H205" s="18">
        <v>115290.38</v>
      </c>
      <c r="I205" s="18"/>
      <c r="J205" s="18"/>
      <c r="K205" s="18">
        <v>3365.12</v>
      </c>
      <c r="L205" s="19">
        <f t="shared" si="0"/>
        <v>124970.64</v>
      </c>
      <c r="M205" s="8"/>
      <c r="N205" s="264"/>
    </row>
    <row r="206" spans="1:14" s="3" customFormat="1" ht="12.2" customHeight="1" x14ac:dyDescent="0.15">
      <c r="A206" s="1" t="s">
        <v>445</v>
      </c>
      <c r="B206" s="2" t="s">
        <v>341</v>
      </c>
      <c r="C206" s="2" t="s">
        <v>297</v>
      </c>
      <c r="D206" s="2" t="s">
        <v>431</v>
      </c>
      <c r="E206" s="6">
        <v>2400</v>
      </c>
      <c r="F206" s="18">
        <v>140743.14000000001</v>
      </c>
      <c r="G206" s="18">
        <v>81361.899999999994</v>
      </c>
      <c r="H206" s="18">
        <v>1027.21</v>
      </c>
      <c r="I206" s="18">
        <v>2215.14</v>
      </c>
      <c r="J206" s="18"/>
      <c r="K206" s="18">
        <v>1538.18</v>
      </c>
      <c r="L206" s="19">
        <f t="shared" si="0"/>
        <v>226885.57</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81696.38</v>
      </c>
      <c r="G208" s="18">
        <v>51988.67</v>
      </c>
      <c r="H208" s="18">
        <v>87673.04</v>
      </c>
      <c r="I208" s="18">
        <v>67703.820000000007</v>
      </c>
      <c r="J208" s="18">
        <v>21877.84</v>
      </c>
      <c r="K208" s="18"/>
      <c r="L208" s="19">
        <f t="shared" si="0"/>
        <v>310939.75</v>
      </c>
      <c r="M208" s="8"/>
      <c r="N208" s="264"/>
    </row>
    <row r="209" spans="1:14" s="3" customFormat="1" ht="12.2" customHeight="1" x14ac:dyDescent="0.15">
      <c r="A209" s="1" t="s">
        <v>448</v>
      </c>
      <c r="B209" s="2" t="s">
        <v>341</v>
      </c>
      <c r="C209" s="2" t="s">
        <v>300</v>
      </c>
      <c r="D209" s="2" t="s">
        <v>431</v>
      </c>
      <c r="E209" s="6">
        <v>2700</v>
      </c>
      <c r="F209" s="18"/>
      <c r="G209" s="18"/>
      <c r="H209" s="18">
        <v>127514.39</v>
      </c>
      <c r="I209" s="18"/>
      <c r="J209" s="18"/>
      <c r="K209" s="18"/>
      <c r="L209" s="19">
        <f t="shared" si="0"/>
        <v>127514.39</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1289688.48</v>
      </c>
      <c r="G212" s="41">
        <f t="shared" si="1"/>
        <v>672997.37000000011</v>
      </c>
      <c r="H212" s="41">
        <f t="shared" si="1"/>
        <v>532194.61</v>
      </c>
      <c r="I212" s="41">
        <f t="shared" si="1"/>
        <v>149277.88</v>
      </c>
      <c r="J212" s="41">
        <f t="shared" si="1"/>
        <v>39808.14</v>
      </c>
      <c r="K212" s="41">
        <f t="shared" si="1"/>
        <v>9141.6</v>
      </c>
      <c r="L212" s="41">
        <f t="shared" si="1"/>
        <v>2693108.08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227154.47</v>
      </c>
      <c r="I256" s="18"/>
      <c r="J256" s="18">
        <v>15330</v>
      </c>
      <c r="K256" s="18"/>
      <c r="L256" s="19">
        <f t="shared" si="6"/>
        <v>242484.47</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227154.47</v>
      </c>
      <c r="I257" s="41">
        <f t="shared" si="7"/>
        <v>0</v>
      </c>
      <c r="J257" s="41">
        <f t="shared" si="7"/>
        <v>15330</v>
      </c>
      <c r="K257" s="41">
        <f t="shared" si="7"/>
        <v>0</v>
      </c>
      <c r="L257" s="41">
        <f>SUM(F257:K257)</f>
        <v>242484.47</v>
      </c>
      <c r="M257" s="8"/>
      <c r="N257" s="264"/>
    </row>
    <row r="258" spans="1:14" s="3" customFormat="1" ht="12.2" customHeight="1" thickTop="1" x14ac:dyDescent="0.15">
      <c r="A258" s="38" t="s">
        <v>462</v>
      </c>
      <c r="B258" s="40">
        <v>10</v>
      </c>
      <c r="C258" s="40">
        <v>8</v>
      </c>
      <c r="D258" s="39" t="s">
        <v>431</v>
      </c>
      <c r="E258" s="40"/>
      <c r="F258" s="41">
        <f t="shared" ref="F258:L258" si="8">F212+F230+F248+F257</f>
        <v>1289688.48</v>
      </c>
      <c r="G258" s="41">
        <f t="shared" si="8"/>
        <v>672997.37000000011</v>
      </c>
      <c r="H258" s="41">
        <f t="shared" si="8"/>
        <v>759349.08</v>
      </c>
      <c r="I258" s="41">
        <f t="shared" si="8"/>
        <v>149277.88</v>
      </c>
      <c r="J258" s="41">
        <f t="shared" si="8"/>
        <v>55138.14</v>
      </c>
      <c r="K258" s="41">
        <f t="shared" si="8"/>
        <v>9141.6</v>
      </c>
      <c r="L258" s="41">
        <f t="shared" si="8"/>
        <v>2935592.5500000003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34745.449999999997</v>
      </c>
      <c r="L262" s="19">
        <f>SUM(F262:K262)</f>
        <v>34745.449999999997</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14000</v>
      </c>
      <c r="L264" s="19">
        <f>SUM(F264:K264)</f>
        <v>14000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123745.45</v>
      </c>
      <c r="L271" s="41">
        <f t="shared" si="9"/>
        <v>123745.45</v>
      </c>
      <c r="M271" s="8"/>
      <c r="N271" s="264"/>
    </row>
    <row r="272" spans="1:14" s="34" customFormat="1" ht="12.2" customHeight="1" thickTop="1" x14ac:dyDescent="0.2">
      <c r="A272" s="43" t="s">
        <v>464</v>
      </c>
      <c r="B272" s="40">
        <v>10</v>
      </c>
      <c r="C272" s="40">
        <v>18</v>
      </c>
      <c r="D272" s="39" t="s">
        <v>431</v>
      </c>
      <c r="E272" s="40"/>
      <c r="F272" s="42">
        <f t="shared" ref="F272:L272" si="11">F258+F271</f>
        <v>1289688.48</v>
      </c>
      <c r="G272" s="42">
        <f t="shared" si="11"/>
        <v>672997.37000000011</v>
      </c>
      <c r="H272" s="42">
        <f t="shared" si="11"/>
        <v>759349.08</v>
      </c>
      <c r="I272" s="42">
        <f t="shared" si="11"/>
        <v>149277.88</v>
      </c>
      <c r="J272" s="42">
        <f t="shared" si="11"/>
        <v>55138.14</v>
      </c>
      <c r="K272" s="42">
        <f t="shared" si="11"/>
        <v>132887.04999999999</v>
      </c>
      <c r="L272" s="42">
        <f t="shared" si="11"/>
        <v>3059338.0000000005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24482.959999999999</v>
      </c>
      <c r="G277" s="18">
        <v>1972.89</v>
      </c>
      <c r="H277" s="18"/>
      <c r="I277" s="18">
        <v>30604.06</v>
      </c>
      <c r="J277" s="18"/>
      <c r="K277" s="18"/>
      <c r="L277" s="19">
        <f>SUM(F277:K277)</f>
        <v>57059.91</v>
      </c>
      <c r="M277" s="8"/>
      <c r="N277" s="264"/>
    </row>
    <row r="278" spans="1:14" s="3" customFormat="1" ht="12.2" customHeight="1" x14ac:dyDescent="0.15">
      <c r="A278" s="1" t="s">
        <v>439</v>
      </c>
      <c r="B278" s="2" t="s">
        <v>357</v>
      </c>
      <c r="C278" s="2" t="s">
        <v>291</v>
      </c>
      <c r="D278" s="2" t="s">
        <v>431</v>
      </c>
      <c r="E278" s="6">
        <v>1200</v>
      </c>
      <c r="F278" s="18"/>
      <c r="G278" s="18"/>
      <c r="H278" s="18"/>
      <c r="I278" s="18">
        <v>2775.94</v>
      </c>
      <c r="J278" s="18"/>
      <c r="K278" s="18"/>
      <c r="L278" s="19">
        <f>SUM(F278:K278)</f>
        <v>2775.94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72342.27</v>
      </c>
      <c r="G280" s="18">
        <v>32852.959999999999</v>
      </c>
      <c r="H280" s="18"/>
      <c r="I280" s="18">
        <v>1549.13</v>
      </c>
      <c r="J280" s="18">
        <v>4444</v>
      </c>
      <c r="K280" s="18">
        <v>225</v>
      </c>
      <c r="L280" s="19">
        <f>SUM(F280:K280)</f>
        <v>111413.36000000002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694.69</v>
      </c>
      <c r="I282" s="18">
        <v>4699.8900000000003</v>
      </c>
      <c r="J282" s="18"/>
      <c r="K282" s="18"/>
      <c r="L282" s="19">
        <f t="shared" ref="L282:L288" si="12">SUM(F282:K282)</f>
        <v>5394.58</v>
      </c>
      <c r="M282" s="8"/>
      <c r="N282" s="264"/>
    </row>
    <row r="283" spans="1:14" s="3" customFormat="1" ht="12.2" customHeight="1" x14ac:dyDescent="0.15">
      <c r="A283" s="1" t="s">
        <v>443</v>
      </c>
      <c r="B283" s="2" t="s">
        <v>357</v>
      </c>
      <c r="C283" s="2" t="s">
        <v>295</v>
      </c>
      <c r="D283" s="2" t="s">
        <v>431</v>
      </c>
      <c r="E283" s="6">
        <v>2200</v>
      </c>
      <c r="F283" s="18"/>
      <c r="G283" s="18"/>
      <c r="H283" s="18">
        <v>1500</v>
      </c>
      <c r="I283" s="18"/>
      <c r="J283" s="18"/>
      <c r="K283" s="18"/>
      <c r="L283" s="19">
        <f t="shared" si="12"/>
        <v>1500</v>
      </c>
      <c r="M283" s="8"/>
      <c r="N283" s="264"/>
    </row>
    <row r="284" spans="1:14" s="3" customFormat="1" ht="12.2" customHeight="1" x14ac:dyDescent="0.15">
      <c r="A284" s="1" t="s">
        <v>444</v>
      </c>
      <c r="B284" s="2" t="s">
        <v>357</v>
      </c>
      <c r="C284" s="2" t="s">
        <v>296</v>
      </c>
      <c r="D284" s="2" t="s">
        <v>431</v>
      </c>
      <c r="E284" s="6">
        <v>2300</v>
      </c>
      <c r="F284" s="18">
        <v>5000</v>
      </c>
      <c r="G284" s="18"/>
      <c r="H284" s="18"/>
      <c r="I284" s="18"/>
      <c r="J284" s="18"/>
      <c r="K284" s="18"/>
      <c r="L284" s="19">
        <f t="shared" si="12"/>
        <v>5000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v>23.99</v>
      </c>
      <c r="I286" s="18"/>
      <c r="J286" s="18"/>
      <c r="K286" s="18">
        <v>2722</v>
      </c>
      <c r="L286" s="19">
        <f t="shared" si="12"/>
        <v>2745.99</v>
      </c>
      <c r="M286" s="8"/>
      <c r="N286" s="264"/>
    </row>
    <row r="287" spans="1:14" s="3" customFormat="1" ht="12.2" customHeight="1" x14ac:dyDescent="0.15">
      <c r="A287" s="1" t="s">
        <v>447</v>
      </c>
      <c r="B287" s="2" t="s">
        <v>357</v>
      </c>
      <c r="C287" s="2" t="s">
        <v>299</v>
      </c>
      <c r="D287" s="2" t="s">
        <v>431</v>
      </c>
      <c r="E287" s="6">
        <v>2600</v>
      </c>
      <c r="F287" s="18"/>
      <c r="G287" s="18"/>
      <c r="H287" s="18">
        <v>3360</v>
      </c>
      <c r="I287" s="18">
        <v>2355.9499999999998</v>
      </c>
      <c r="J287" s="18">
        <v>8171</v>
      </c>
      <c r="K287" s="18"/>
      <c r="L287" s="19">
        <f t="shared" si="12"/>
        <v>13886.95</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101825.23000000001</v>
      </c>
      <c r="G291" s="42">
        <f t="shared" si="13"/>
        <v>34825.85</v>
      </c>
      <c r="H291" s="42">
        <f t="shared" si="13"/>
        <v>5578.68</v>
      </c>
      <c r="I291" s="42">
        <f t="shared" si="13"/>
        <v>41984.969999999994</v>
      </c>
      <c r="J291" s="42">
        <f t="shared" si="13"/>
        <v>12615</v>
      </c>
      <c r="K291" s="42">
        <f t="shared" si="13"/>
        <v>2947</v>
      </c>
      <c r="L291" s="41">
        <f t="shared" si="13"/>
        <v>199776.73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101825.23000000001</v>
      </c>
      <c r="G339" s="41">
        <f t="shared" si="20"/>
        <v>34825.85</v>
      </c>
      <c r="H339" s="41">
        <f t="shared" si="20"/>
        <v>5578.68</v>
      </c>
      <c r="I339" s="41">
        <f t="shared" si="20"/>
        <v>41984.969999999994</v>
      </c>
      <c r="J339" s="41">
        <f t="shared" si="20"/>
        <v>12615</v>
      </c>
      <c r="K339" s="41">
        <f t="shared" si="20"/>
        <v>2947</v>
      </c>
      <c r="L339" s="41">
        <f t="shared" si="20"/>
        <v>199776.73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101825.23000000001</v>
      </c>
      <c r="G353" s="41">
        <f>G339</f>
        <v>34825.85</v>
      </c>
      <c r="H353" s="41">
        <f>H339</f>
        <v>5578.68</v>
      </c>
      <c r="I353" s="41">
        <f>I339</f>
        <v>41984.969999999994</v>
      </c>
      <c r="J353" s="41">
        <f>J339</f>
        <v>12615</v>
      </c>
      <c r="K353" s="47">
        <f>K339+K352</f>
        <v>2947</v>
      </c>
      <c r="L353" s="41">
        <f>L339+L352</f>
        <v>199776.73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79242.570000000007</v>
      </c>
      <c r="I359" s="18"/>
      <c r="J359" s="18"/>
      <c r="K359" s="18"/>
      <c r="L359" s="13">
        <f>SUM(F359:K359)</f>
        <v>79242.570000000007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79242.570000000007</v>
      </c>
      <c r="I363" s="47">
        <f t="shared" si="22"/>
        <v>0</v>
      </c>
      <c r="J363" s="47">
        <f t="shared" si="22"/>
        <v>0</v>
      </c>
      <c r="K363" s="47">
        <f t="shared" si="22"/>
        <v>0</v>
      </c>
      <c r="L363" s="47">
        <f t="shared" si="22"/>
        <v>79242.570000000007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3111087.33</v>
      </c>
      <c r="I380" s="18"/>
      <c r="J380" s="18"/>
      <c r="K380" s="18"/>
      <c r="L380" s="13">
        <f t="shared" si="23"/>
        <v>3111087.33</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3111087.33</v>
      </c>
      <c r="I383" s="41">
        <f t="shared" si="24"/>
        <v>0</v>
      </c>
      <c r="J383" s="47">
        <f t="shared" si="24"/>
        <v>0</v>
      </c>
      <c r="K383" s="47">
        <f t="shared" si="24"/>
        <v>0</v>
      </c>
      <c r="L383" s="47">
        <f t="shared" si="24"/>
        <v>3111087.33</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v>53.35</v>
      </c>
      <c r="I388" s="18"/>
      <c r="J388" s="24" t="s">
        <v>288</v>
      </c>
      <c r="K388" s="24" t="s">
        <v>288</v>
      </c>
      <c r="L388" s="56">
        <f t="shared" ref="L388:L393" si="25">SUM(F388:K388)</f>
        <v>53.35</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75000</v>
      </c>
      <c r="H390" s="18">
        <v>14393.33</v>
      </c>
      <c r="I390" s="18"/>
      <c r="J390" s="24" t="s">
        <v>288</v>
      </c>
      <c r="K390" s="24" t="s">
        <v>288</v>
      </c>
      <c r="L390" s="56">
        <f t="shared" si="25"/>
        <v>89393.33</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75000</v>
      </c>
      <c r="H394" s="139">
        <f>SUM(H388:H393)</f>
        <v>14446.68</v>
      </c>
      <c r="I394" s="65">
        <f>SUM(I388:I393)</f>
        <v>0</v>
      </c>
      <c r="J394" s="45" t="s">
        <v>288</v>
      </c>
      <c r="K394" s="45" t="s">
        <v>288</v>
      </c>
      <c r="L394" s="47">
        <f>SUM(L388:L393)</f>
        <v>89446.680000000008</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798.04</v>
      </c>
      <c r="I398" s="18"/>
      <c r="J398" s="24" t="s">
        <v>288</v>
      </c>
      <c r="K398" s="24" t="s">
        <v>288</v>
      </c>
      <c r="L398" s="56">
        <f t="shared" si="26"/>
        <v>798.04</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798.04</v>
      </c>
      <c r="I402" s="47">
        <f>SUM(I396:I401)</f>
        <v>0</v>
      </c>
      <c r="J402" s="45" t="s">
        <v>288</v>
      </c>
      <c r="K402" s="45" t="s">
        <v>288</v>
      </c>
      <c r="L402" s="47">
        <f>SUM(L396:L401)</f>
        <v>798.04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75000</v>
      </c>
      <c r="H409" s="47">
        <f>H394+H402+H408</f>
        <v>15244.720000000001</v>
      </c>
      <c r="I409" s="47">
        <f>I394+I402+I408</f>
        <v>0</v>
      </c>
      <c r="J409" s="24" t="s">
        <v>288</v>
      </c>
      <c r="K409" s="24" t="s">
        <v>288</v>
      </c>
      <c r="L409" s="47">
        <f>L394+L402+L408</f>
        <v>90244.72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229273.33</v>
      </c>
      <c r="G441" s="18"/>
      <c r="H441" s="18"/>
      <c r="I441" s="56">
        <f t="shared" si="33"/>
        <v>229273.33</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229273.33</v>
      </c>
      <c r="G447" s="13">
        <f>SUM(G440:G446)</f>
        <v>0</v>
      </c>
      <c r="H447" s="13">
        <f>SUM(H440:H446)</f>
        <v>0</v>
      </c>
      <c r="I447" s="13">
        <f>SUM(I440:I446)</f>
        <v>229273.33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229273.33</v>
      </c>
      <c r="G460" s="18"/>
      <c r="H460" s="18"/>
      <c r="I460" s="56">
        <f t="shared" si="34"/>
        <v>229273.33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229273.33</v>
      </c>
      <c r="G461" s="83">
        <f>SUM(G455:G460)</f>
        <v>0</v>
      </c>
      <c r="H461" s="83">
        <f>SUM(H455:H460)</f>
        <v>0</v>
      </c>
      <c r="I461" s="83">
        <f>SUM(I455:I460)</f>
        <v>229273.33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229273.33</v>
      </c>
      <c r="G462" s="42">
        <f>G453+G461</f>
        <v>0</v>
      </c>
      <c r="H462" s="42">
        <f>H453+H461</f>
        <v>0</v>
      </c>
      <c r="I462" s="42">
        <f>I453+I461</f>
        <v>229273.33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337708.08</v>
      </c>
      <c r="G466" s="18">
        <v>4496.41</v>
      </c>
      <c r="H466" s="18">
        <v>0</v>
      </c>
      <c r="I466" s="18">
        <v>-112871</v>
      </c>
      <c r="J466" s="18">
        <v>1439028.61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3108177.7</v>
      </c>
      <c r="G469" s="18">
        <v>75162.23</v>
      </c>
      <c r="H469" s="18">
        <v>199776.73</v>
      </c>
      <c r="I469" s="18">
        <v>3358300</v>
      </c>
      <c r="J469" s="18">
        <v>90244.72</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3108177.7</v>
      </c>
      <c r="G471" s="53">
        <f>SUM(G469:G470)</f>
        <v>75162.23</v>
      </c>
      <c r="H471" s="53">
        <f>SUM(H469:H470)</f>
        <v>199776.73</v>
      </c>
      <c r="I471" s="53">
        <f>SUM(I469:I470)</f>
        <v>3358300</v>
      </c>
      <c r="J471" s="53">
        <f>SUM(J469:J470)</f>
        <v>90244.72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3059338</v>
      </c>
      <c r="G473" s="18">
        <v>79242.570000000007</v>
      </c>
      <c r="H473" s="18">
        <v>199776.73</v>
      </c>
      <c r="I473" s="18">
        <v>3111087.33</v>
      </c>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v>1300000</v>
      </c>
      <c r="K474" s="24" t="s">
        <v>288</v>
      </c>
      <c r="L474" s="24" t="s">
        <v>288</v>
      </c>
      <c r="N474" s="263"/>
    </row>
    <row r="475" spans="1:14" s="52" customFormat="1" ht="12.2" customHeight="1" x14ac:dyDescent="0.2">
      <c r="A475" s="92" t="s">
        <v>426</v>
      </c>
      <c r="B475" s="75">
        <v>19</v>
      </c>
      <c r="C475" s="80">
        <v>7</v>
      </c>
      <c r="D475" s="2" t="s">
        <v>432</v>
      </c>
      <c r="E475" s="80"/>
      <c r="F475" s="53">
        <f>SUM(F473:F474)</f>
        <v>3059338</v>
      </c>
      <c r="G475" s="53">
        <f>SUM(G473:G474)</f>
        <v>79242.570000000007</v>
      </c>
      <c r="H475" s="53">
        <f>SUM(H473:H474)</f>
        <v>199776.73</v>
      </c>
      <c r="I475" s="53">
        <f>SUM(I473:I474)</f>
        <v>3111087.33</v>
      </c>
      <c r="J475" s="53">
        <f>SUM(J473:J474)</f>
        <v>1300000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386547.78000000026</v>
      </c>
      <c r="G477" s="53">
        <f>(G466+G471)- G475</f>
        <v>416.06999999999243</v>
      </c>
      <c r="H477" s="53">
        <f>(H466+H471)- H475</f>
        <v>0</v>
      </c>
      <c r="I477" s="53">
        <f>(I466+I471)- I475</f>
        <v>134341.66999999993</v>
      </c>
      <c r="J477" s="53">
        <f>(J466+J471)- J475</f>
        <v>229273.33000000007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2058300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1.67</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v>2058300</v>
      </c>
      <c r="G497" s="18"/>
      <c r="H497" s="18"/>
      <c r="I497" s="18"/>
      <c r="J497" s="18"/>
      <c r="K497" s="53">
        <f t="shared" ref="K497:K504" si="35">SUM(F497:J497)</f>
        <v>2058300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1816700</v>
      </c>
      <c r="G499" s="204"/>
      <c r="H499" s="204"/>
      <c r="I499" s="204"/>
      <c r="J499" s="204"/>
      <c r="K499" s="205">
        <f t="shared" si="35"/>
        <v>1816700</v>
      </c>
      <c r="L499" s="206" t="s">
        <v>288</v>
      </c>
      <c r="N499" s="263"/>
    </row>
    <row r="500" spans="1:14" s="52" customFormat="1" ht="12.2" customHeight="1" thickBot="1" x14ac:dyDescent="0.25">
      <c r="A500" s="22" t="s">
        <v>623</v>
      </c>
      <c r="B500" s="75">
        <v>20</v>
      </c>
      <c r="C500" s="115">
        <v>10</v>
      </c>
      <c r="D500" s="2" t="s">
        <v>432</v>
      </c>
      <c r="E500" s="115"/>
      <c r="F500" s="18">
        <f>578946.22-34745.45</f>
        <v>544200.77</v>
      </c>
      <c r="G500" s="18"/>
      <c r="H500" s="18"/>
      <c r="I500" s="18"/>
      <c r="J500" s="18"/>
      <c r="K500" s="53">
        <f t="shared" si="35"/>
        <v>544200.77</v>
      </c>
      <c r="L500" s="24" t="s">
        <v>288</v>
      </c>
      <c r="N500" s="263"/>
    </row>
    <row r="501" spans="1:14" s="52" customFormat="1" ht="12.2" customHeight="1" thickTop="1" x14ac:dyDescent="0.2">
      <c r="A501" s="139" t="s">
        <v>624</v>
      </c>
      <c r="B501" s="44">
        <v>20</v>
      </c>
      <c r="C501" s="195">
        <v>11</v>
      </c>
      <c r="D501" s="39" t="s">
        <v>432</v>
      </c>
      <c r="E501" s="195"/>
      <c r="F501" s="42">
        <f>SUM(F499:F500)</f>
        <v>2360900.77</v>
      </c>
      <c r="G501" s="42">
        <f>SUM(G499:G500)</f>
        <v>0</v>
      </c>
      <c r="H501" s="42">
        <f>SUM(H499:H500)</f>
        <v>0</v>
      </c>
      <c r="I501" s="42">
        <f>SUM(I499:I500)</f>
        <v>0</v>
      </c>
      <c r="J501" s="42">
        <f>SUM(J499:J500)</f>
        <v>0</v>
      </c>
      <c r="K501" s="42">
        <f t="shared" si="35"/>
        <v>2360900.77</v>
      </c>
      <c r="L501" s="45" t="s">
        <v>288</v>
      </c>
      <c r="N501" s="263"/>
    </row>
    <row r="502" spans="1:14" s="52" customFormat="1" ht="12.2" customHeight="1" x14ac:dyDescent="0.2">
      <c r="A502" s="200" t="s">
        <v>651</v>
      </c>
      <c r="B502" s="201">
        <v>20</v>
      </c>
      <c r="C502" s="202">
        <v>12</v>
      </c>
      <c r="D502" s="203" t="s">
        <v>432</v>
      </c>
      <c r="E502" s="202"/>
      <c r="F502" s="204">
        <v>91750</v>
      </c>
      <c r="G502" s="204"/>
      <c r="H502" s="204"/>
      <c r="I502" s="204"/>
      <c r="J502" s="204"/>
      <c r="K502" s="205">
        <f t="shared" si="35"/>
        <v>91750</v>
      </c>
      <c r="L502" s="206" t="s">
        <v>288</v>
      </c>
      <c r="N502" s="263"/>
    </row>
    <row r="503" spans="1:14" s="52" customFormat="1" ht="12.2" customHeight="1" thickBot="1" x14ac:dyDescent="0.25">
      <c r="A503" s="22" t="s">
        <v>625</v>
      </c>
      <c r="B503" s="75">
        <v>20</v>
      </c>
      <c r="C503" s="115">
        <v>13</v>
      </c>
      <c r="D503" s="2" t="s">
        <v>432</v>
      </c>
      <c r="E503" s="115"/>
      <c r="F503" s="18">
        <f>34175.85+31836.23</f>
        <v>66012.08</v>
      </c>
      <c r="G503" s="18"/>
      <c r="H503" s="18"/>
      <c r="I503" s="18"/>
      <c r="J503" s="18"/>
      <c r="K503" s="53">
        <f t="shared" si="35"/>
        <v>66012.08</v>
      </c>
      <c r="L503" s="24" t="s">
        <v>288</v>
      </c>
      <c r="N503" s="263"/>
    </row>
    <row r="504" spans="1:14" s="52" customFormat="1" ht="12.2" customHeight="1" thickTop="1" x14ac:dyDescent="0.2">
      <c r="A504" s="139" t="s">
        <v>626</v>
      </c>
      <c r="B504" s="44">
        <v>20</v>
      </c>
      <c r="C504" s="195">
        <v>14</v>
      </c>
      <c r="D504" s="39" t="s">
        <v>432</v>
      </c>
      <c r="E504" s="195"/>
      <c r="F504" s="42">
        <f>SUM(F502:F503)</f>
        <v>157762.08000000002</v>
      </c>
      <c r="G504" s="42">
        <f>SUM(G502:G503)</f>
        <v>0</v>
      </c>
      <c r="H504" s="42">
        <f>SUM(H502:H503)</f>
        <v>0</v>
      </c>
      <c r="I504" s="42">
        <f>SUM(I502:I503)</f>
        <v>0</v>
      </c>
      <c r="J504" s="42">
        <f>SUM(J502:J503)</f>
        <v>0</v>
      </c>
      <c r="K504" s="42">
        <f t="shared" si="35"/>
        <v>157762.08000000002</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252443.41</v>
      </c>
      <c r="G522" s="18">
        <v>93053.34</v>
      </c>
      <c r="H522" s="18">
        <v>64346.29</v>
      </c>
      <c r="I522" s="18">
        <v>2084.89</v>
      </c>
      <c r="J522" s="18">
        <v>815.92</v>
      </c>
      <c r="K522" s="18"/>
      <c r="L522" s="88">
        <f>SUM(F522:K522)</f>
        <v>412743.85</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252443.41</v>
      </c>
      <c r="G525" s="108">
        <f t="shared" ref="G525:L525" si="36">SUM(G522:G524)</f>
        <v>93053.34</v>
      </c>
      <c r="H525" s="108">
        <f t="shared" si="36"/>
        <v>64346.29</v>
      </c>
      <c r="I525" s="108">
        <f t="shared" si="36"/>
        <v>2084.89</v>
      </c>
      <c r="J525" s="108">
        <f t="shared" si="36"/>
        <v>815.92</v>
      </c>
      <c r="K525" s="108">
        <f t="shared" si="36"/>
        <v>0</v>
      </c>
      <c r="L525" s="89">
        <f t="shared" si="36"/>
        <v>412743.85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57464.4</v>
      </c>
      <c r="G527" s="18">
        <v>27688.720000000001</v>
      </c>
      <c r="H527" s="18">
        <v>72348.56</v>
      </c>
      <c r="I527" s="18">
        <v>1877.36</v>
      </c>
      <c r="J527" s="18"/>
      <c r="K527" s="18">
        <v>106.74</v>
      </c>
      <c r="L527" s="88">
        <f>SUM(F527:K527)</f>
        <v>159485.77999999997</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57464.4</v>
      </c>
      <c r="G530" s="89">
        <f t="shared" ref="G530:L530" si="37">SUM(G527:G529)</f>
        <v>27688.720000000001</v>
      </c>
      <c r="H530" s="89">
        <f t="shared" si="37"/>
        <v>72348.56</v>
      </c>
      <c r="I530" s="89">
        <f t="shared" si="37"/>
        <v>1877.36</v>
      </c>
      <c r="J530" s="89">
        <f t="shared" si="37"/>
        <v>0</v>
      </c>
      <c r="K530" s="89">
        <f t="shared" si="37"/>
        <v>106.74</v>
      </c>
      <c r="L530" s="89">
        <f t="shared" si="37"/>
        <v>159485.77999999997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7713.55</v>
      </c>
      <c r="G532" s="18">
        <v>3437.08</v>
      </c>
      <c r="H532" s="18"/>
      <c r="I532" s="18"/>
      <c r="J532" s="18"/>
      <c r="K532" s="18"/>
      <c r="L532" s="88">
        <f>SUM(F532:K532)</f>
        <v>11150.630000000001</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7713.55</v>
      </c>
      <c r="G535" s="89">
        <f t="shared" ref="G535:L535" si="38">SUM(G532:G534)</f>
        <v>3437.08</v>
      </c>
      <c r="H535" s="89">
        <f t="shared" si="38"/>
        <v>0</v>
      </c>
      <c r="I535" s="89">
        <f t="shared" si="38"/>
        <v>0</v>
      </c>
      <c r="J535" s="89">
        <f t="shared" si="38"/>
        <v>0</v>
      </c>
      <c r="K535" s="89">
        <f t="shared" si="38"/>
        <v>0</v>
      </c>
      <c r="L535" s="89">
        <f t="shared" si="38"/>
        <v>11150.630000000001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317621.36</v>
      </c>
      <c r="G546" s="89">
        <f t="shared" ref="G546:L546" si="41">G525+G530+G535+G540+G545</f>
        <v>124179.14</v>
      </c>
      <c r="H546" s="89">
        <f t="shared" si="41"/>
        <v>136694.85</v>
      </c>
      <c r="I546" s="89">
        <f t="shared" si="41"/>
        <v>3962.25</v>
      </c>
      <c r="J546" s="89">
        <f t="shared" si="41"/>
        <v>815.92</v>
      </c>
      <c r="K546" s="89">
        <f t="shared" si="41"/>
        <v>106.74</v>
      </c>
      <c r="L546" s="89">
        <f t="shared" si="41"/>
        <v>583380.25999999989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412743.85</v>
      </c>
      <c r="G550" s="87">
        <f>L527</f>
        <v>159485.77999999997</v>
      </c>
      <c r="H550" s="87">
        <f>L532</f>
        <v>11150.630000000001</v>
      </c>
      <c r="I550" s="87">
        <f>L537</f>
        <v>0</v>
      </c>
      <c r="J550" s="87">
        <f>L542</f>
        <v>0</v>
      </c>
      <c r="K550" s="87">
        <f>SUM(F550:J550)</f>
        <v>583380.25999999989</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412743.85</v>
      </c>
      <c r="G553" s="89">
        <f t="shared" si="42"/>
        <v>159485.77999999997</v>
      </c>
      <c r="H553" s="89">
        <f t="shared" si="42"/>
        <v>11150.630000000001</v>
      </c>
      <c r="I553" s="89">
        <f t="shared" si="42"/>
        <v>0</v>
      </c>
      <c r="J553" s="89">
        <f t="shared" si="42"/>
        <v>0</v>
      </c>
      <c r="K553" s="89">
        <f t="shared" si="42"/>
        <v>583380.25999999989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3290.44</v>
      </c>
      <c r="G580" s="18"/>
      <c r="H580" s="18"/>
      <c r="I580" s="87">
        <f t="shared" si="47"/>
        <v>3290.44</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124129.82</v>
      </c>
      <c r="I592" s="18"/>
      <c r="J592" s="18"/>
      <c r="K592" s="104">
        <f t="shared" ref="K592:K598" si="48">SUM(H592:J592)</f>
        <v>124129.82</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613.4</v>
      </c>
      <c r="I595" s="18"/>
      <c r="J595" s="18"/>
      <c r="K595" s="104">
        <f t="shared" si="48"/>
        <v>613.4</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2771.17</v>
      </c>
      <c r="I596" s="18"/>
      <c r="J596" s="18"/>
      <c r="K596" s="104">
        <f t="shared" si="48"/>
        <v>2771.17</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127514.39</v>
      </c>
      <c r="I599" s="108">
        <f>SUM(I592:I598)</f>
        <v>0</v>
      </c>
      <c r="J599" s="108">
        <f>SUM(J592:J598)</f>
        <v>0</v>
      </c>
      <c r="K599" s="108">
        <f>SUM(K592:K598)</f>
        <v>127514.39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52423.14</v>
      </c>
      <c r="I605" s="18"/>
      <c r="J605" s="18"/>
      <c r="K605" s="104">
        <f>SUM(H605:J605)</f>
        <v>52423.14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52423.14</v>
      </c>
      <c r="I606" s="108">
        <f>SUM(I603:I605)</f>
        <v>0</v>
      </c>
      <c r="J606" s="108">
        <f>SUM(J603:J605)</f>
        <v>0</v>
      </c>
      <c r="K606" s="108">
        <f>SUM(K603:K605)</f>
        <v>52423.14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4577.5</v>
      </c>
      <c r="G612" s="18">
        <v>1159.6500000000001</v>
      </c>
      <c r="H612" s="18"/>
      <c r="I612" s="18">
        <v>1447.13</v>
      </c>
      <c r="J612" s="18"/>
      <c r="K612" s="18"/>
      <c r="L612" s="88">
        <f>SUM(F612:K612)</f>
        <v>7184.28</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4577.5</v>
      </c>
      <c r="G615" s="108">
        <f t="shared" si="49"/>
        <v>1159.6500000000001</v>
      </c>
      <c r="H615" s="108">
        <f t="shared" si="49"/>
        <v>0</v>
      </c>
      <c r="I615" s="108">
        <f t="shared" si="49"/>
        <v>1447.13</v>
      </c>
      <c r="J615" s="108">
        <f t="shared" si="49"/>
        <v>0</v>
      </c>
      <c r="K615" s="108">
        <f t="shared" si="49"/>
        <v>0</v>
      </c>
      <c r="L615" s="89">
        <f t="shared" si="49"/>
        <v>7184.28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459816.45999999996</v>
      </c>
      <c r="H618" s="109">
        <f>SUM(F52)</f>
        <v>459816.46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2485.8200000000006</v>
      </c>
      <c r="H619" s="109">
        <f>SUM(G52)</f>
        <v>2485.8200000000002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7883.8799999999974</v>
      </c>
      <c r="H620" s="109">
        <f>SUM(H52)</f>
        <v>7883.88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329226.67</v>
      </c>
      <c r="H621" s="109">
        <f>SUM(I52)</f>
        <v>329226.67000000004</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229273.33</v>
      </c>
      <c r="H622" s="109">
        <f>SUM(J52)</f>
        <v>229273.33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386547.78</v>
      </c>
      <c r="H623" s="109">
        <f>F477</f>
        <v>386547.78000000026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416.07</v>
      </c>
      <c r="H624" s="109">
        <f>G477</f>
        <v>416.06999999999243</v>
      </c>
      <c r="I624" s="121" t="s">
        <v>102</v>
      </c>
      <c r="J624" s="109">
        <f t="shared" si="50"/>
        <v>7.560174708487466E-12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134341.67000000001</v>
      </c>
      <c r="H626" s="109">
        <f>I477</f>
        <v>134341.66999999993</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229273.33</v>
      </c>
      <c r="H627" s="109">
        <f>J477</f>
        <v>229273.33000000007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3108177.6999999997</v>
      </c>
      <c r="H628" s="104">
        <f>SUM(F469)</f>
        <v>3108177.7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75162.23000000001</v>
      </c>
      <c r="H629" s="104">
        <f>SUM(G469)</f>
        <v>75162.23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199776.72999999998</v>
      </c>
      <c r="H630" s="104">
        <f>SUM(H469)</f>
        <v>199776.73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3358300</v>
      </c>
      <c r="H631" s="104">
        <f>SUM(I469)</f>
        <v>3358300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90244.72</v>
      </c>
      <c r="H632" s="104">
        <f>SUM(J469)</f>
        <v>90244.72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3059338.0000000005</v>
      </c>
      <c r="H633" s="104">
        <f>SUM(F473)</f>
        <v>3059338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199776.73</v>
      </c>
      <c r="H634" s="104">
        <f>SUM(H473)</f>
        <v>199776.73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79242.570000000007</v>
      </c>
      <c r="H636" s="104">
        <f>SUM(G473)</f>
        <v>79242.570000000007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3111087.33</v>
      </c>
      <c r="H637" s="104">
        <f>SUM(I473)</f>
        <v>3111087.33</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90244.72</v>
      </c>
      <c r="H638" s="164">
        <f>SUM(J469)</f>
        <v>90244.72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229273.33</v>
      </c>
      <c r="H640" s="104">
        <f>SUM(F462)</f>
        <v>229273.33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229273.33</v>
      </c>
      <c r="H643" s="104">
        <f>SUM(I462)</f>
        <v>229273.33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15244.72</v>
      </c>
      <c r="H645" s="104">
        <f>H409</f>
        <v>15244.720000000001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90244.72</v>
      </c>
      <c r="H647" s="104">
        <f>L409</f>
        <v>90244.72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127514.39</v>
      </c>
      <c r="H648" s="104">
        <f>L209+L227+L245</f>
        <v>127514.39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52423.14</v>
      </c>
      <c r="H649" s="104">
        <f>(J258+J339)-(J256+J337)</f>
        <v>52423.14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127514.39</v>
      </c>
      <c r="H650" s="104">
        <f>H599</f>
        <v>127514.39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14000</v>
      </c>
      <c r="H653" s="104">
        <f>K264+K346</f>
        <v>14000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2972127.38</v>
      </c>
      <c r="G661" s="19">
        <f>(L230+L310+L360)</f>
        <v>0</v>
      </c>
      <c r="H661" s="19">
        <f>(L248+L329+L361)</f>
        <v>0</v>
      </c>
      <c r="I661" s="19">
        <f>SUM(F661:H661)</f>
        <v>2972127.38</v>
      </c>
      <c r="J661" s="13"/>
      <c r="K661" s="13"/>
      <c r="L661" s="13"/>
      <c r="M661" s="9"/>
    </row>
    <row r="662" spans="1:13" s="3" customFormat="1" ht="12.2" customHeight="1" x14ac:dyDescent="0.2">
      <c r="A662" s="1" t="s">
        <v>127</v>
      </c>
      <c r="F662" s="19">
        <f>(L359/IF(SUM(L359:L361)=0,1,SUM(L359:L361))*(SUM(G97:G110)))</f>
        <v>925.42</v>
      </c>
      <c r="G662" s="19">
        <f>(L360/IF(SUM(L359:L361)=0,1,SUM(L359:L361))*(SUM(G97:G110)))</f>
        <v>0</v>
      </c>
      <c r="H662" s="19">
        <f>(L361/IF(SUM(L359:L361)=0,1,SUM(L359:L361))*(SUM(G97:G110)))</f>
        <v>0</v>
      </c>
      <c r="I662" s="19">
        <f>SUM(F662:H662)</f>
        <v>925.42</v>
      </c>
      <c r="J662"/>
      <c r="K662" s="13"/>
      <c r="L662" s="13"/>
      <c r="M662" s="8"/>
    </row>
    <row r="663" spans="1:13" s="3" customFormat="1" ht="12.2" customHeight="1" x14ac:dyDescent="0.2">
      <c r="A663" s="1" t="s">
        <v>128</v>
      </c>
      <c r="F663" s="19">
        <f>(L209+L288)-(J209+J288)</f>
        <v>127514.39</v>
      </c>
      <c r="G663" s="19">
        <f>(L227+L307)-(J227+J307)</f>
        <v>0</v>
      </c>
      <c r="H663" s="19">
        <f>(L245+L326)-(J245+J326)</f>
        <v>0</v>
      </c>
      <c r="I663" s="19">
        <f>SUM(F663:H663)</f>
        <v>127514.39</v>
      </c>
      <c r="J663"/>
      <c r="K663" s="13"/>
      <c r="L663" s="13"/>
      <c r="M663" s="9"/>
    </row>
    <row r="664" spans="1:13" s="3" customFormat="1" ht="12.2" customHeight="1" x14ac:dyDescent="0.15">
      <c r="A664" s="198" t="s">
        <v>129</v>
      </c>
      <c r="B664" s="169"/>
      <c r="C664" s="169"/>
      <c r="D664" s="169"/>
      <c r="E664" s="169"/>
      <c r="F664" s="199">
        <f>SUM(F576:F588)+SUM(H603:H605)+SUM(L612)</f>
        <v>62897.86</v>
      </c>
      <c r="G664" s="199">
        <f>SUM(G576:G588)+SUM(I603:I605)+L613</f>
        <v>0</v>
      </c>
      <c r="H664" s="199">
        <f>SUM(H576:H588)+SUM(J603:J605)+L614</f>
        <v>0</v>
      </c>
      <c r="I664" s="19">
        <f>SUM(F664:H664)</f>
        <v>62897.86</v>
      </c>
      <c r="J664" s="13"/>
      <c r="K664" s="13"/>
      <c r="L664" s="13"/>
      <c r="M664" s="9"/>
    </row>
    <row r="665" spans="1:13" s="3" customFormat="1" ht="12.2" customHeight="1" x14ac:dyDescent="0.15">
      <c r="A665" s="1" t="s">
        <v>130</v>
      </c>
      <c r="F665" s="19">
        <f>F661-SUM(F662:F664)</f>
        <v>2780789.71</v>
      </c>
      <c r="G665" s="19">
        <f>G661-SUM(G662:G664)</f>
        <v>0</v>
      </c>
      <c r="H665" s="19">
        <f>H661-SUM(H662:H664)</f>
        <v>0</v>
      </c>
      <c r="I665" s="19">
        <f>I661-SUM(I662:I664)</f>
        <v>2780789.71</v>
      </c>
      <c r="J665" s="13"/>
      <c r="K665" s="13"/>
      <c r="L665" s="13"/>
      <c r="M665" s="8"/>
    </row>
    <row r="666" spans="1:13" s="3" customFormat="1" ht="12.2" customHeight="1" x14ac:dyDescent="0.25">
      <c r="A666" s="1" t="s">
        <v>131</v>
      </c>
      <c r="F666" s="391">
        <v>82.81</v>
      </c>
      <c r="G666" s="391">
        <v>0</v>
      </c>
      <c r="H666" s="391">
        <v>0</v>
      </c>
      <c r="I666" s="19">
        <f>SUM(F666:H666)</f>
        <v>82.81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33580.36</v>
      </c>
      <c r="G668" s="19" t="e">
        <f>ROUND(G665/G666,2)</f>
        <v>#DIV/0!</v>
      </c>
      <c r="H668" s="19" t="e">
        <f>ROUND(H665/H666,2)</f>
        <v>#DIV/0!</v>
      </c>
      <c r="I668" s="19">
        <f>ROUND(I665/I666,2)</f>
        <v>33580.36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33580.36</v>
      </c>
      <c r="G673" s="19" t="e">
        <f>ROUND((G665+G670)/(G666+G671),2)</f>
        <v>#DIV/0!</v>
      </c>
      <c r="H673" s="19" t="e">
        <f>ROUND((H665+H670)/(H666+H671),2)</f>
        <v>#DIV/0!</v>
      </c>
      <c r="I673" s="19">
        <f>ROUND((I665+I670)/(I666+I671),2)</f>
        <v>33580.36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7" sqref="E27"/>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30259.25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18200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48459</f>
        <v>48459</v>
      </c>
      <c r="F22" s="346"/>
    </row>
    <row r="23" spans="2:8" x14ac:dyDescent="0.25">
      <c r="B23" s="346"/>
      <c r="C23" s="346"/>
      <c r="D23" s="346"/>
      <c r="E23" s="346"/>
      <c r="F23" s="346"/>
    </row>
    <row r="24" spans="2:8" ht="26.25" customHeight="1" x14ac:dyDescent="0.25">
      <c r="B24" s="346"/>
      <c r="C24" s="348" t="s">
        <v>1661</v>
      </c>
      <c r="D24" s="346"/>
      <c r="E24" s="341">
        <f>10806+18200</f>
        <v>29006</v>
      </c>
      <c r="F24" s="346"/>
    </row>
    <row r="25" spans="2:8" ht="18" x14ac:dyDescent="0.25">
      <c r="B25" s="346"/>
      <c r="C25" s="349"/>
      <c r="D25" s="346"/>
      <c r="E25" s="346"/>
      <c r="F25" s="346"/>
    </row>
    <row r="26" spans="2:8" ht="27.75" customHeight="1" x14ac:dyDescent="0.25">
      <c r="B26" s="346"/>
      <c r="C26" s="348" t="s">
        <v>1662</v>
      </c>
      <c r="D26" s="346"/>
      <c r="E26" s="341">
        <f>30259-10806</f>
        <v>19453</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Rumney School District</v>
      </c>
      <c r="C5" s="362"/>
      <c r="D5" s="362"/>
      <c r="E5" s="362"/>
      <c r="F5" s="362"/>
    </row>
    <row r="8" spans="1:9" ht="18" x14ac:dyDescent="0.25">
      <c r="A8" s="317" t="s">
        <v>1576</v>
      </c>
      <c r="F8" s="324" t="s">
        <v>1594</v>
      </c>
    </row>
    <row r="9" spans="1:9" ht="15" x14ac:dyDescent="0.2">
      <c r="A9" s="315" t="s">
        <v>1577</v>
      </c>
      <c r="B9" s="318">
        <f>'DOE25'!G97</f>
        <v>925.42</v>
      </c>
      <c r="F9" s="315" t="s">
        <v>1590</v>
      </c>
    </row>
    <row r="10" spans="1:9" ht="15" x14ac:dyDescent="0.2">
      <c r="A10" s="315" t="s">
        <v>1578</v>
      </c>
      <c r="B10" s="318">
        <f>'DOE25'!G112-'DOE25'!G97</f>
        <v>0</v>
      </c>
      <c r="F10" s="315" t="s">
        <v>1591</v>
      </c>
    </row>
    <row r="11" spans="1:9" ht="15" x14ac:dyDescent="0.2">
      <c r="A11" s="315" t="s">
        <v>1579</v>
      </c>
      <c r="B11" s="318">
        <f>'DOE25'!G140</f>
        <v>601.48</v>
      </c>
      <c r="F11" s="315" t="s">
        <v>1592</v>
      </c>
    </row>
    <row r="12" spans="1:9" ht="15" x14ac:dyDescent="0.2">
      <c r="A12" s="315" t="s">
        <v>1580</v>
      </c>
      <c r="B12" s="318">
        <f>'DOE25'!G170</f>
        <v>59635.33</v>
      </c>
      <c r="F12" s="315" t="s">
        <v>1593</v>
      </c>
    </row>
    <row r="13" spans="1:9" ht="15" x14ac:dyDescent="0.2">
      <c r="A13" s="315" t="s">
        <v>1581</v>
      </c>
      <c r="B13" s="318">
        <f>'DOE25'!G193-'DOE25'!G180</f>
        <v>0</v>
      </c>
      <c r="F13" s="315" t="s">
        <v>1603</v>
      </c>
    </row>
    <row r="14" spans="1:9" ht="18" x14ac:dyDescent="0.25">
      <c r="A14" s="317" t="s">
        <v>732</v>
      </c>
      <c r="B14" s="319">
        <f>SUM(B9:B13)</f>
        <v>61162.23</v>
      </c>
    </row>
    <row r="16" spans="1:9" ht="18" x14ac:dyDescent="0.25">
      <c r="A16" s="317" t="s">
        <v>786</v>
      </c>
      <c r="F16" s="324" t="s">
        <v>1595</v>
      </c>
    </row>
    <row r="17" spans="1:6" ht="15" x14ac:dyDescent="0.2">
      <c r="A17" s="315" t="s">
        <v>1582</v>
      </c>
      <c r="B17" s="318">
        <f>'DOE25'!L363-'DOE25'!L362</f>
        <v>79242.570000000007</v>
      </c>
      <c r="F17" s="315" t="s">
        <v>1596</v>
      </c>
    </row>
    <row r="18" spans="1:6" ht="15" x14ac:dyDescent="0.2">
      <c r="A18" s="315" t="s">
        <v>1583</v>
      </c>
      <c r="B18" s="328"/>
      <c r="F18" s="324" t="s">
        <v>1620</v>
      </c>
    </row>
    <row r="19" spans="1:6" ht="18" x14ac:dyDescent="0.25">
      <c r="A19" s="317" t="s">
        <v>725</v>
      </c>
      <c r="B19" s="319">
        <f>SUM(B17:B18)</f>
        <v>79242.570000000007</v>
      </c>
    </row>
    <row r="21" spans="1:6" ht="18.75" thickBot="1" x14ac:dyDescent="0.3">
      <c r="A21" s="317" t="s">
        <v>1584</v>
      </c>
    </row>
    <row r="22" spans="1:6" ht="18.75" thickTop="1" x14ac:dyDescent="0.25">
      <c r="A22" s="317" t="s">
        <v>1585</v>
      </c>
      <c r="B22" s="323">
        <f>B14-B19</f>
        <v>-18080.340000000004</v>
      </c>
      <c r="F22" s="315" t="s">
        <v>1597</v>
      </c>
    </row>
    <row r="26" spans="1:6" ht="18" x14ac:dyDescent="0.25">
      <c r="A26" s="317" t="s">
        <v>186</v>
      </c>
    </row>
    <row r="27" spans="1:6" ht="15" x14ac:dyDescent="0.2">
      <c r="A27" s="315" t="s">
        <v>1586</v>
      </c>
      <c r="B27" s="318">
        <f>'DOE25'!G180</f>
        <v>14000</v>
      </c>
      <c r="F27" s="315" t="s">
        <v>1598</v>
      </c>
    </row>
    <row r="28" spans="1:6" ht="15" x14ac:dyDescent="0.2">
      <c r="A28" s="315" t="s">
        <v>1588</v>
      </c>
      <c r="B28" s="318">
        <f>'DOE25'!L362</f>
        <v>0</v>
      </c>
      <c r="F28" s="315" t="s">
        <v>1599</v>
      </c>
    </row>
    <row r="31" spans="1:6" ht="15" x14ac:dyDescent="0.2">
      <c r="A31" s="315" t="s">
        <v>1628</v>
      </c>
      <c r="B31" s="318">
        <f>'DOE25'!G466</f>
        <v>4496.41</v>
      </c>
      <c r="F31" s="315" t="s">
        <v>1600</v>
      </c>
    </row>
    <row r="33" spans="1:6" ht="15" x14ac:dyDescent="0.2">
      <c r="A33" s="315" t="s">
        <v>1629</v>
      </c>
      <c r="B33" s="318">
        <f>'DOE25'!G477</f>
        <v>416.06999999999243</v>
      </c>
      <c r="F33" s="315" t="s">
        <v>1601</v>
      </c>
    </row>
    <row r="36" spans="1:6" ht="15" x14ac:dyDescent="0.2">
      <c r="A36" s="315" t="s">
        <v>1587</v>
      </c>
      <c r="B36" s="329">
        <v>4327.01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Rumney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674645.38</v>
      </c>
      <c r="C9" s="229">
        <f>'DOE25'!G198+'DOE25'!G216+'DOE25'!G234+'DOE25'!G277+'DOE25'!G296+'DOE25'!G315</f>
        <v>377043.34</v>
      </c>
    </row>
    <row r="10" spans="1:3" x14ac:dyDescent="0.2">
      <c r="A10" t="s">
        <v>775</v>
      </c>
      <c r="B10" s="240">
        <v>665370.38</v>
      </c>
      <c r="C10" s="240">
        <v>376032.6</v>
      </c>
    </row>
    <row r="11" spans="1:3" x14ac:dyDescent="0.2">
      <c r="A11" t="s">
        <v>776</v>
      </c>
      <c r="B11" s="240"/>
      <c r="C11" s="240"/>
    </row>
    <row r="12" spans="1:3" x14ac:dyDescent="0.2">
      <c r="A12" t="s">
        <v>777</v>
      </c>
      <c r="B12" s="240">
        <v>9275</v>
      </c>
      <c r="C12" s="240">
        <v>1010.74</v>
      </c>
    </row>
    <row r="13" spans="1:3" x14ac:dyDescent="0.2">
      <c r="A13" t="str">
        <f>IF(B9=B13,IF(C9=C13,"Check Total OK","Check Total Error"),"Check Total Error")</f>
        <v>Check Total OK</v>
      </c>
      <c r="B13" s="231">
        <f>SUM(B10:B12)</f>
        <v>674645.38</v>
      </c>
      <c r="C13" s="231">
        <f>SUM(C10:C12)</f>
        <v>377043.33999999997</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252443.41</v>
      </c>
      <c r="C18" s="229">
        <f>'DOE25'!G199+'DOE25'!G217+'DOE25'!G235+'DOE25'!G278+'DOE25'!G297+'DOE25'!G316</f>
        <v>93053.34</v>
      </c>
    </row>
    <row r="19" spans="1:3" x14ac:dyDescent="0.2">
      <c r="A19" t="s">
        <v>775</v>
      </c>
      <c r="B19" s="240">
        <v>98124</v>
      </c>
      <c r="C19" s="240">
        <v>27752.5</v>
      </c>
    </row>
    <row r="20" spans="1:3" x14ac:dyDescent="0.2">
      <c r="A20" t="s">
        <v>776</v>
      </c>
      <c r="B20" s="240">
        <v>149267.16</v>
      </c>
      <c r="C20" s="240">
        <v>64060.93</v>
      </c>
    </row>
    <row r="21" spans="1:3" x14ac:dyDescent="0.2">
      <c r="A21" t="s">
        <v>777</v>
      </c>
      <c r="B21" s="240">
        <v>5052.25</v>
      </c>
      <c r="C21" s="240">
        <v>1239.9100000000001</v>
      </c>
    </row>
    <row r="22" spans="1:3" x14ac:dyDescent="0.2">
      <c r="A22" t="str">
        <f>IF(B18=B22,IF(C18=C22,"Check Total OK","Check Total Error"),"Check Total Error")</f>
        <v>Check Total OK</v>
      </c>
      <c r="B22" s="231">
        <f>SUM(B19:B21)</f>
        <v>252443.41</v>
      </c>
      <c r="C22" s="231">
        <f>SUM(C19:C21)</f>
        <v>93053.34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133312.4</v>
      </c>
      <c r="C36" s="235">
        <f>'DOE25'!G201+'DOE25'!G219+'DOE25'!G237+'DOE25'!G280+'DOE25'!G299+'DOE25'!G318</f>
        <v>43158.89</v>
      </c>
    </row>
    <row r="37" spans="1:3" x14ac:dyDescent="0.2">
      <c r="A37" t="s">
        <v>775</v>
      </c>
      <c r="B37" s="240"/>
      <c r="C37" s="240"/>
    </row>
    <row r="38" spans="1:3" x14ac:dyDescent="0.2">
      <c r="A38" t="s">
        <v>776</v>
      </c>
      <c r="B38" s="240"/>
      <c r="C38" s="240"/>
    </row>
    <row r="39" spans="1:3" x14ac:dyDescent="0.2">
      <c r="A39" t="s">
        <v>777</v>
      </c>
      <c r="B39" s="240">
        <v>133312.4</v>
      </c>
      <c r="C39" s="240">
        <v>43158.89</v>
      </c>
    </row>
    <row r="40" spans="1:3" x14ac:dyDescent="0.2">
      <c r="A40" t="str">
        <f>IF(B36=B40,IF(C36=C40,"Check Total OK","Check Total Error"),"Check Total Error")</f>
        <v>Check Total OK</v>
      </c>
      <c r="B40" s="231">
        <f>SUM(B37:B39)</f>
        <v>133312.4</v>
      </c>
      <c r="C40" s="231">
        <f>SUM(C37:C39)</f>
        <v>43158.89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Rumney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1602270.53</v>
      </c>
      <c r="D5" s="20">
        <f>SUM('DOE25'!L198:L201)+SUM('DOE25'!L216:L219)+SUM('DOE25'!L234:L237)-F5-G5-H5</f>
        <v>1580688.63</v>
      </c>
      <c r="E5" s="243"/>
      <c r="F5" s="244"/>
      <c r="G5" s="53">
        <f>SUM('DOE25'!J198:J201)+SUM('DOE25'!J216:J219)+SUM('DOE25'!J234:J237)</f>
        <v>17930.3</v>
      </c>
      <c r="H5" s="53">
        <f>SUM('DOE25'!K198:K201)+SUM('DOE25'!K216:K219)+SUM('DOE25'!K234:K237)</f>
        <v>3651.6</v>
      </c>
      <c r="I5" s="254"/>
    </row>
    <row r="6" spans="1:9" x14ac:dyDescent="0.2">
      <c r="A6" s="32">
        <v>2100</v>
      </c>
      <c r="B6" t="s">
        <v>796</v>
      </c>
      <c r="C6" s="273">
        <f t="shared" si="0"/>
        <v>292486.22000000003</v>
      </c>
      <c r="D6" s="20">
        <f>'DOE25'!L203+'DOE25'!L221+'DOE25'!L239-F6-G6-H6</f>
        <v>198887.52000000002</v>
      </c>
      <c r="E6" s="243"/>
      <c r="F6" s="244">
        <f>62935+30130</f>
        <v>93065</v>
      </c>
      <c r="G6" s="53">
        <f>'DOE25'!J203+'DOE25'!J221+'DOE25'!J239</f>
        <v>0</v>
      </c>
      <c r="H6" s="53">
        <f>'DOE25'!K203+'DOE25'!K221+'DOE25'!K239</f>
        <v>533.70000000000005</v>
      </c>
      <c r="I6" s="254"/>
    </row>
    <row r="7" spans="1:9" x14ac:dyDescent="0.2">
      <c r="A7" s="32">
        <v>2200</v>
      </c>
      <c r="B7" t="s">
        <v>821</v>
      </c>
      <c r="C7" s="273">
        <f t="shared" si="0"/>
        <v>8040.9800000000005</v>
      </c>
      <c r="D7" s="20">
        <f>'DOE25'!L204+'DOE25'!L222+'DOE25'!L240-F7-G7-H7</f>
        <v>7987.9800000000005</v>
      </c>
      <c r="E7" s="243"/>
      <c r="F7" s="244"/>
      <c r="G7" s="53">
        <f>'DOE25'!J204+'DOE25'!J222+'DOE25'!J240</f>
        <v>0</v>
      </c>
      <c r="H7" s="53">
        <f>'DOE25'!K204+'DOE25'!K222+'DOE25'!K240</f>
        <v>53</v>
      </c>
      <c r="I7" s="254"/>
    </row>
    <row r="8" spans="1:9" x14ac:dyDescent="0.2">
      <c r="A8" s="32">
        <v>2300</v>
      </c>
      <c r="B8" t="s">
        <v>797</v>
      </c>
      <c r="C8" s="273">
        <f t="shared" si="0"/>
        <v>62960.770000000011</v>
      </c>
      <c r="D8" s="243"/>
      <c r="E8" s="20">
        <f>'DOE25'!L205+'DOE25'!L223+'DOE25'!L241-F8-G8-H8-D9-D11</f>
        <v>59595.650000000009</v>
      </c>
      <c r="F8" s="244"/>
      <c r="G8" s="53">
        <f>'DOE25'!J205+'DOE25'!J223+'DOE25'!J241</f>
        <v>0</v>
      </c>
      <c r="H8" s="53">
        <f>'DOE25'!K205+'DOE25'!K223+'DOE25'!K241</f>
        <v>3365.12</v>
      </c>
      <c r="I8" s="254"/>
    </row>
    <row r="9" spans="1:9" ht="14.25" x14ac:dyDescent="0.2">
      <c r="A9" s="32">
        <v>2310</v>
      </c>
      <c r="B9" s="185" t="s">
        <v>888</v>
      </c>
      <c r="C9" s="273">
        <f t="shared" si="0"/>
        <v>27864.17</v>
      </c>
      <c r="D9" s="244">
        <v>27864.17</v>
      </c>
      <c r="E9" s="243"/>
      <c r="F9" s="251"/>
      <c r="G9" s="251"/>
      <c r="H9" s="251"/>
      <c r="I9" s="254"/>
    </row>
    <row r="10" spans="1:9" ht="14.25" x14ac:dyDescent="0.2">
      <c r="A10" s="32">
        <v>2317</v>
      </c>
      <c r="B10" s="185" t="s">
        <v>889</v>
      </c>
      <c r="C10" s="273">
        <f t="shared" si="0"/>
        <v>4000</v>
      </c>
      <c r="D10" s="243"/>
      <c r="E10" s="244">
        <v>4000</v>
      </c>
      <c r="F10" s="251"/>
      <c r="G10" s="251"/>
      <c r="H10" s="251"/>
      <c r="I10" s="254"/>
    </row>
    <row r="11" spans="1:9" ht="14.25" x14ac:dyDescent="0.2">
      <c r="A11" s="32">
        <v>2321</v>
      </c>
      <c r="B11" s="185" t="s">
        <v>890</v>
      </c>
      <c r="C11" s="273">
        <f t="shared" si="0"/>
        <v>34145.699999999997</v>
      </c>
      <c r="D11" s="244">
        <v>34145.699999999997</v>
      </c>
      <c r="E11" s="243"/>
      <c r="F11" s="251"/>
      <c r="G11" s="251"/>
      <c r="H11" s="251"/>
      <c r="I11" s="254"/>
    </row>
    <row r="12" spans="1:9" x14ac:dyDescent="0.2">
      <c r="A12" s="32">
        <v>2400</v>
      </c>
      <c r="B12" t="s">
        <v>711</v>
      </c>
      <c r="C12" s="273">
        <f t="shared" si="0"/>
        <v>226885.57</v>
      </c>
      <c r="D12" s="20">
        <f>'DOE25'!L206+'DOE25'!L224+'DOE25'!L242-F12-G12-H12</f>
        <v>225347.39</v>
      </c>
      <c r="E12" s="243"/>
      <c r="F12" s="244"/>
      <c r="G12" s="53">
        <f>'DOE25'!J206+'DOE25'!J224+'DOE25'!J242</f>
        <v>0</v>
      </c>
      <c r="H12" s="53">
        <f>'DOE25'!K206+'DOE25'!K224+'DOE25'!K242</f>
        <v>1538.18</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310939.75</v>
      </c>
      <c r="D14" s="20">
        <f>'DOE25'!L208+'DOE25'!L226+'DOE25'!L244-F14-G14-H14</f>
        <v>289061.90999999997</v>
      </c>
      <c r="E14" s="243"/>
      <c r="F14" s="244"/>
      <c r="G14" s="53">
        <f>'DOE25'!J208+'DOE25'!J226+'DOE25'!J244</f>
        <v>21877.84</v>
      </c>
      <c r="H14" s="53">
        <f>'DOE25'!K208+'DOE25'!K226+'DOE25'!K244</f>
        <v>0</v>
      </c>
      <c r="I14" s="254"/>
    </row>
    <row r="15" spans="1:9" x14ac:dyDescent="0.2">
      <c r="A15" s="32">
        <v>2700</v>
      </c>
      <c r="B15" t="s">
        <v>799</v>
      </c>
      <c r="C15" s="273">
        <f t="shared" si="0"/>
        <v>127514.39</v>
      </c>
      <c r="D15" s="20">
        <f>'DOE25'!L209+'DOE25'!L227+'DOE25'!L245-F15-G15-H15</f>
        <v>15797.39</v>
      </c>
      <c r="E15" s="243"/>
      <c r="F15" s="244">
        <v>111717</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242484.47</v>
      </c>
      <c r="D22" s="243"/>
      <c r="E22" s="243"/>
      <c r="F22" s="243"/>
      <c r="G22" s="53">
        <f>'DOE25'!L256+'DOE25'!L337</f>
        <v>242484.47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34745.449999999997</v>
      </c>
      <c r="D25" s="243"/>
      <c r="E25" s="243"/>
      <c r="F25" s="253"/>
      <c r="G25" s="251"/>
      <c r="H25" s="251"/>
      <c r="I25" s="252">
        <f>'DOE25'!L261+'DOE25'!L262+'DOE25'!L342+'DOE25'!L343</f>
        <v>34745.449999999997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79242.570000000007</v>
      </c>
      <c r="D29" s="281">
        <f>'DOE25'!L359+'DOE25'!L360+'DOE25'!L361-'DOE25'!I368-F29-G29-H29</f>
        <v>24822.570000000007</v>
      </c>
      <c r="E29" s="243"/>
      <c r="F29" s="244">
        <f>78711-24291</f>
        <v>54420</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199776.73</v>
      </c>
      <c r="D31" s="20">
        <f>'DOE25'!L291+'DOE25'!L310+'DOE25'!L329+'DOE25'!L334+'DOE25'!L335+'DOE25'!L336-F31-G31-H31</f>
        <v>184214.73</v>
      </c>
      <c r="E31" s="243"/>
      <c r="F31" s="244"/>
      <c r="G31" s="53">
        <f>'DOE25'!J291+'DOE25'!J310+'DOE25'!J329+'DOE25'!J334+'DOE25'!J335+'DOE25'!J336</f>
        <v>12615</v>
      </c>
      <c r="H31" s="53">
        <f>'DOE25'!K291+'DOE25'!K310+'DOE25'!K329+'DOE25'!K334+'DOE25'!K335+'DOE25'!K336</f>
        <v>2947</v>
      </c>
      <c r="I31" s="254"/>
    </row>
    <row r="32" spans="1:9" ht="12" thickBot="1" x14ac:dyDescent="0.25">
      <c r="C32" s="274"/>
      <c r="G32" s="249"/>
      <c r="H32" s="249"/>
      <c r="I32" s="256"/>
    </row>
    <row r="33" spans="1:9" ht="12" thickTop="1" x14ac:dyDescent="0.2">
      <c r="B33" t="s">
        <v>809</v>
      </c>
      <c r="D33" s="245">
        <f t="shared" ref="D33:I33" si="1">SUM(D5:D31)</f>
        <v>2588817.9899999998</v>
      </c>
      <c r="E33" s="245">
        <f t="shared" si="1"/>
        <v>63595.650000000009</v>
      </c>
      <c r="F33" s="245">
        <f t="shared" si="1"/>
        <v>259202</v>
      </c>
      <c r="G33" s="245">
        <f t="shared" si="1"/>
        <v>294907.61</v>
      </c>
      <c r="H33" s="245">
        <f t="shared" si="1"/>
        <v>12088.6</v>
      </c>
      <c r="I33" s="245">
        <f t="shared" si="1"/>
        <v>34745.449999999997</v>
      </c>
    </row>
    <row r="35" spans="1:9" ht="12" thickBot="1" x14ac:dyDescent="0.25">
      <c r="B35" s="249" t="s">
        <v>831</v>
      </c>
      <c r="D35" s="250">
        <f>E33</f>
        <v>63595.650000000009</v>
      </c>
      <c r="E35" s="246"/>
      <c r="F35" s="333" t="s">
        <v>1632</v>
      </c>
      <c r="G35" s="334"/>
      <c r="H35" s="334"/>
      <c r="I35" s="334"/>
    </row>
    <row r="36" spans="1:9" ht="12" thickTop="1" x14ac:dyDescent="0.2">
      <c r="B36" t="s">
        <v>810</v>
      </c>
      <c r="D36" s="20">
        <f>D33</f>
        <v>2588817.9899999998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Rumney School District</v>
      </c>
      <c r="B2" s="126">
        <f>'DOE25'!B2</f>
        <v>467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2892884.81</v>
      </c>
      <c r="G4" s="300">
        <f>'DOE25'!L212+'DOE25'!L291</f>
        <v>2892884.81</v>
      </c>
      <c r="H4" s="353">
        <f>F4-G4</f>
        <v>0</v>
      </c>
      <c r="I4" s="370" t="str">
        <f>IF(H4=0,"","ISSUES!! Please review page 7 and 11 totals in comparison with total on this page")</f>
        <v/>
      </c>
      <c r="N4"/>
    </row>
    <row r="5" spans="1:18" x14ac:dyDescent="0.2">
      <c r="A5" s="21" t="s">
        <v>1394</v>
      </c>
      <c r="B5" s="301">
        <f>IFERROR(VLOOKUP(A5,'School Tables'!$C$3:$D$365,2,FALSE),"")</f>
        <v>22375</v>
      </c>
      <c r="C5" s="294" t="str">
        <f>IFERROR(INDEX('School Tables'!$B$3:$B$365,MATCH('School Level Expenditures'!B5,'School Tables'!$D$3:$D$365,0)),"")</f>
        <v>Rumney</v>
      </c>
      <c r="D5" s="291">
        <f>'DOE25'!L212</f>
        <v>2693108.08</v>
      </c>
      <c r="E5" s="291">
        <f>'DOE25'!L291</f>
        <v>199776.73</v>
      </c>
      <c r="F5" s="304">
        <f>D5+E5</f>
        <v>2892884.81</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2693108.08</v>
      </c>
      <c r="E21" s="351">
        <f>SUM(E5:E20)</f>
        <v>199776.73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Rumney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278481.40999999997</v>
      </c>
      <c r="D8" s="95">
        <f>'DOE25'!G9</f>
        <v>-7089.3</v>
      </c>
      <c r="E8" s="95">
        <f>'DOE25'!H9</f>
        <v>-28616.58</v>
      </c>
      <c r="F8" s="95">
        <f>'DOE25'!I9</f>
        <v>329226.67</v>
      </c>
      <c r="G8" s="95">
        <f>'DOE25'!J9</f>
        <v>0</v>
      </c>
      <c r="H8" s="124"/>
      <c r="I8" s="124"/>
    </row>
    <row r="9" spans="1:9" x14ac:dyDescent="0.2">
      <c r="A9" s="1" t="s">
        <v>140</v>
      </c>
      <c r="B9" s="6">
        <v>110</v>
      </c>
      <c r="C9" s="95">
        <f>'DOE25'!F10</f>
        <v>0</v>
      </c>
      <c r="D9" s="95">
        <f>'DOE25'!G10</f>
        <v>0</v>
      </c>
      <c r="E9" s="95">
        <f>'DOE25'!H10</f>
        <v>0</v>
      </c>
      <c r="F9" s="95">
        <f>'DOE25'!I10</f>
        <v>0</v>
      </c>
      <c r="G9" s="95">
        <f>'DOE25'!J10</f>
        <v>229273.33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542.20000000000005</v>
      </c>
      <c r="D12" s="95">
        <f>'DOE25'!G13</f>
        <v>9575.1200000000008</v>
      </c>
      <c r="E12" s="95">
        <f>'DOE25'!H13</f>
        <v>36500.46</v>
      </c>
      <c r="F12" s="95">
        <f>'DOE25'!I13</f>
        <v>0</v>
      </c>
      <c r="G12" s="95">
        <f>'DOE25'!J13</f>
        <v>0</v>
      </c>
      <c r="H12" s="124"/>
      <c r="I12" s="124"/>
    </row>
    <row r="13" spans="1:9" x14ac:dyDescent="0.2">
      <c r="A13" s="1" t="s">
        <v>144</v>
      </c>
      <c r="B13" s="6">
        <v>150</v>
      </c>
      <c r="C13" s="95">
        <f>'DOE25'!F14</f>
        <v>45084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135708.85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459816.45999999996</v>
      </c>
      <c r="D18" s="41">
        <f>SUM(D8:D17)</f>
        <v>2485.8200000000006</v>
      </c>
      <c r="E18" s="41">
        <f>SUM(E8:E17)</f>
        <v>7883.8799999999974</v>
      </c>
      <c r="F18" s="41">
        <f>SUM(F8:F17)</f>
        <v>329226.67</v>
      </c>
      <c r="G18" s="41">
        <f>SUM(G8:G17)</f>
        <v>229273.33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73268.679999999993</v>
      </c>
      <c r="D23" s="95">
        <f>'DOE25'!G24</f>
        <v>2069.75</v>
      </c>
      <c r="E23" s="95">
        <f>'DOE25'!H24</f>
        <v>7516.43</v>
      </c>
      <c r="F23" s="95">
        <f>'DOE25'!I24</f>
        <v>194885</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367.45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73268.679999999993</v>
      </c>
      <c r="D31" s="41">
        <f>SUM(D21:D30)</f>
        <v>2069.75</v>
      </c>
      <c r="E31" s="41">
        <f>SUM(E21:E30)</f>
        <v>7883.88</v>
      </c>
      <c r="F31" s="41">
        <f>SUM(F21:F30)</f>
        <v>194885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416.07</v>
      </c>
      <c r="E47" s="95">
        <f>'DOE25'!H48</f>
        <v>-13068.29</v>
      </c>
      <c r="F47" s="95">
        <f>'DOE25'!I48</f>
        <v>134341.67000000001</v>
      </c>
      <c r="G47" s="95">
        <f>'DOE25'!J48</f>
        <v>229273.33</v>
      </c>
      <c r="H47" s="124"/>
      <c r="I47" s="124"/>
    </row>
    <row r="48" spans="1:9" x14ac:dyDescent="0.2">
      <c r="A48" s="1" t="s">
        <v>882</v>
      </c>
      <c r="B48" s="6">
        <v>753</v>
      </c>
      <c r="C48" s="95">
        <f>'DOE25'!F49</f>
        <v>343115.7</v>
      </c>
      <c r="D48" s="95">
        <f>'DOE25'!G49</f>
        <v>0</v>
      </c>
      <c r="E48" s="95">
        <f>'DOE25'!H49</f>
        <v>13068.29</v>
      </c>
      <c r="F48" s="95">
        <f>'DOE25'!I49</f>
        <v>0</v>
      </c>
      <c r="G48" s="95">
        <f>'DOE25'!J49</f>
        <v>0</v>
      </c>
      <c r="H48" s="124"/>
      <c r="I48" s="124"/>
    </row>
    <row r="49" spans="1:9" ht="12" thickBot="1" x14ac:dyDescent="0.25">
      <c r="A49" s="29" t="s">
        <v>883</v>
      </c>
      <c r="B49" s="71">
        <v>770</v>
      </c>
      <c r="C49" s="95">
        <f>'DOE25'!F50</f>
        <v>42432.08</v>
      </c>
      <c r="D49" s="24" t="s">
        <v>288</v>
      </c>
      <c r="E49" s="24" t="s">
        <v>288</v>
      </c>
      <c r="F49" s="24" t="s">
        <v>288</v>
      </c>
      <c r="G49" s="24" t="s">
        <v>288</v>
      </c>
      <c r="H49" s="124"/>
      <c r="I49" s="124"/>
    </row>
    <row r="50" spans="1:9" ht="12.75" thickTop="1" thickBot="1" x14ac:dyDescent="0.25">
      <c r="A50" s="38" t="s">
        <v>884</v>
      </c>
      <c r="B50" s="48"/>
      <c r="C50" s="41">
        <f>SUM(C34:C49)</f>
        <v>386547.78</v>
      </c>
      <c r="D50" s="41">
        <f>SUM(D34:D49)</f>
        <v>416.07</v>
      </c>
      <c r="E50" s="41">
        <f>SUM(E34:E49)</f>
        <v>0</v>
      </c>
      <c r="F50" s="41">
        <f>SUM(F34:F49)</f>
        <v>134341.67000000001</v>
      </c>
      <c r="G50" s="41">
        <f>SUM(G34:G49)</f>
        <v>229273.33</v>
      </c>
      <c r="H50" s="124"/>
      <c r="I50" s="124"/>
    </row>
    <row r="51" spans="1:9" ht="12" thickTop="1" x14ac:dyDescent="0.2">
      <c r="A51" s="38" t="s">
        <v>885</v>
      </c>
      <c r="B51" s="2"/>
      <c r="C51" s="41">
        <f>C50+C31</f>
        <v>459816.46</v>
      </c>
      <c r="D51" s="41">
        <f>D50+D31</f>
        <v>2485.8200000000002</v>
      </c>
      <c r="E51" s="41">
        <f>E50+E31</f>
        <v>7883.88</v>
      </c>
      <c r="F51" s="41">
        <f>F50+F31</f>
        <v>329226.67000000004</v>
      </c>
      <c r="G51" s="41">
        <f>G50+G31</f>
        <v>229273.33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2318629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147.13</v>
      </c>
      <c r="D59" s="95">
        <f>'DOE25'!G96</f>
        <v>0</v>
      </c>
      <c r="E59" s="95">
        <f>'DOE25'!H96</f>
        <v>0</v>
      </c>
      <c r="F59" s="95">
        <f>'DOE25'!I96</f>
        <v>0</v>
      </c>
      <c r="G59" s="95">
        <f>'DOE25'!J96</f>
        <v>15244.72</v>
      </c>
      <c r="H59"/>
      <c r="I59"/>
    </row>
    <row r="60" spans="1:9" x14ac:dyDescent="0.2">
      <c r="A60" s="1" t="s">
        <v>170</v>
      </c>
      <c r="B60" s="118" t="s">
        <v>171</v>
      </c>
      <c r="C60" s="24" t="s">
        <v>288</v>
      </c>
      <c r="D60" s="95">
        <f>'DOE25'!G97</f>
        <v>925.42</v>
      </c>
      <c r="E60" s="24" t="s">
        <v>288</v>
      </c>
      <c r="F60" s="24" t="s">
        <v>288</v>
      </c>
      <c r="G60" s="24" t="s">
        <v>288</v>
      </c>
      <c r="H60"/>
      <c r="I60"/>
    </row>
    <row r="61" spans="1:9" ht="12" thickBot="1" x14ac:dyDescent="0.25">
      <c r="A61" s="1" t="s">
        <v>172</v>
      </c>
      <c r="B61" s="118" t="s">
        <v>173</v>
      </c>
      <c r="C61" s="95">
        <f>SUM('DOE25'!F98:F110)</f>
        <v>56494.25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56641.38</v>
      </c>
      <c r="D62" s="130">
        <f>SUM(D57:D61)</f>
        <v>925.42</v>
      </c>
      <c r="E62" s="130">
        <f>SUM(E57:E61)</f>
        <v>0</v>
      </c>
      <c r="F62" s="130">
        <f>SUM(F57:F61)</f>
        <v>0</v>
      </c>
      <c r="G62" s="130">
        <f>SUM(G57:G61)</f>
        <v>15244.72</v>
      </c>
      <c r="H62"/>
      <c r="I62"/>
    </row>
    <row r="63" spans="1:9" ht="12" thickTop="1" x14ac:dyDescent="0.2">
      <c r="A63" s="29" t="s">
        <v>175</v>
      </c>
      <c r="B63" s="6"/>
      <c r="C63" s="22">
        <f>C56+C62</f>
        <v>2375270.38</v>
      </c>
      <c r="D63" s="22">
        <f>D56+D62</f>
        <v>925.42</v>
      </c>
      <c r="E63" s="22">
        <f>E56+E62</f>
        <v>0</v>
      </c>
      <c r="F63" s="22">
        <f>F56+F62</f>
        <v>0</v>
      </c>
      <c r="G63" s="22">
        <f>G56+G62</f>
        <v>15244.72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490731.75</v>
      </c>
      <c r="D66" s="24" t="s">
        <v>288</v>
      </c>
      <c r="E66" s="24" t="s">
        <v>288</v>
      </c>
      <c r="F66" s="24" t="s">
        <v>288</v>
      </c>
      <c r="G66" s="24" t="s">
        <v>288</v>
      </c>
      <c r="H66"/>
      <c r="I66"/>
    </row>
    <row r="67" spans="1:9" x14ac:dyDescent="0.2">
      <c r="A67" s="1" t="s">
        <v>770</v>
      </c>
      <c r="B67" s="6">
        <v>3112</v>
      </c>
      <c r="C67" s="95">
        <f>'DOE25'!F118</f>
        <v>214529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707255.96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601.48</v>
      </c>
      <c r="E77" s="95">
        <f>SUM('DOE25'!H131:H135)</f>
        <v>0</v>
      </c>
      <c r="F77" s="95">
        <f>SUM('DOE25'!I131:I135)</f>
        <v>0</v>
      </c>
      <c r="G77" s="95">
        <f>SUM('DOE25'!J131:J135)</f>
        <v>0</v>
      </c>
      <c r="H77"/>
      <c r="I77"/>
    </row>
    <row r="78" spans="1:9" ht="12.75" thickTop="1" thickBot="1" x14ac:dyDescent="0.25">
      <c r="A78" s="29" t="s">
        <v>259</v>
      </c>
      <c r="B78" s="6"/>
      <c r="C78" s="130">
        <f>SUM(C72:C77)</f>
        <v>0</v>
      </c>
      <c r="D78" s="130">
        <f>SUM(D72:D77)</f>
        <v>601.48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707255.96</v>
      </c>
      <c r="D81" s="130">
        <f>SUM(D79:D80)+D78+D70</f>
        <v>601.48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15802.06</v>
      </c>
      <c r="D88" s="331">
        <f>SUM('DOE25'!G153:G162)</f>
        <v>59635.33</v>
      </c>
      <c r="E88" s="331">
        <f>SUM('DOE25'!H153:H162)</f>
        <v>199776.72999999998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5349.3</v>
      </c>
      <c r="D90" s="24" t="s">
        <v>288</v>
      </c>
      <c r="E90" s="24" t="s">
        <v>288</v>
      </c>
      <c r="F90" s="24" t="s">
        <v>288</v>
      </c>
      <c r="G90" s="24" t="s">
        <v>288</v>
      </c>
    </row>
    <row r="91" spans="1:9" ht="12.75" thickTop="1" thickBot="1" x14ac:dyDescent="0.25">
      <c r="A91" s="33" t="s">
        <v>750</v>
      </c>
      <c r="C91" s="131">
        <f>SUM(C85:C90)</f>
        <v>21151.360000000001</v>
      </c>
      <c r="D91" s="131">
        <f>SUM(D85:D90)</f>
        <v>59635.33</v>
      </c>
      <c r="E91" s="131">
        <f>SUM(E85:E90)</f>
        <v>199776.72999999998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2058300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14000</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1300000</v>
      </c>
      <c r="G99" s="24" t="s">
        <v>288</v>
      </c>
    </row>
    <row r="100" spans="1:7" x14ac:dyDescent="0.2">
      <c r="A100" t="s">
        <v>757</v>
      </c>
      <c r="B100" s="32" t="s">
        <v>190</v>
      </c>
      <c r="C100" s="95">
        <f>SUM('DOE25'!F187:F188)</f>
        <v>4500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4500</v>
      </c>
      <c r="D103" s="86">
        <f>SUM(D93:D102)</f>
        <v>14000</v>
      </c>
      <c r="E103" s="86">
        <f>SUM(E93:E102)</f>
        <v>0</v>
      </c>
      <c r="F103" s="86">
        <f>SUM(F93:F102)</f>
        <v>3358300</v>
      </c>
      <c r="G103" s="86">
        <f>SUM(G93:G102)</f>
        <v>75000</v>
      </c>
    </row>
    <row r="104" spans="1:7" ht="12.75" thickTop="1" thickBot="1" x14ac:dyDescent="0.25">
      <c r="A104" s="33" t="s">
        <v>761</v>
      </c>
      <c r="C104" s="86">
        <f>C63+C81+C91+C103</f>
        <v>3108177.6999999997</v>
      </c>
      <c r="D104" s="86">
        <f>D63+D81+D91+D103</f>
        <v>75162.23000000001</v>
      </c>
      <c r="E104" s="86">
        <f>E63+E81+E91+E103</f>
        <v>199776.72999999998</v>
      </c>
      <c r="F104" s="86">
        <f>F63+F81+F91+F103</f>
        <v>3358300</v>
      </c>
      <c r="G104" s="86">
        <f>G63+G81+G103</f>
        <v>90244.72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1113763.23</v>
      </c>
      <c r="D109" s="24" t="s">
        <v>288</v>
      </c>
      <c r="E109" s="95">
        <f>('DOE25'!L277)+('DOE25'!L296)+('DOE25'!L315)</f>
        <v>57059.91</v>
      </c>
      <c r="F109" s="24" t="s">
        <v>288</v>
      </c>
      <c r="G109" s="24" t="s">
        <v>288</v>
      </c>
    </row>
    <row r="110" spans="1:7" x14ac:dyDescent="0.2">
      <c r="A110" t="s">
        <v>198</v>
      </c>
      <c r="B110" s="32" t="s">
        <v>199</v>
      </c>
      <c r="C110" s="95">
        <f>('DOE25'!L199)+('DOE25'!L217)+('DOE25'!L235)</f>
        <v>412743.85</v>
      </c>
      <c r="D110" s="24" t="s">
        <v>288</v>
      </c>
      <c r="E110" s="95">
        <f>('DOE25'!L278)+('DOE25'!L297)+('DOE25'!L316)</f>
        <v>2775.94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75763.45</v>
      </c>
      <c r="D112" s="24" t="s">
        <v>288</v>
      </c>
      <c r="E112" s="95">
        <f>+('DOE25'!L280)+('DOE25'!L299)+('DOE25'!L318)</f>
        <v>111413.36000000002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1602270.53</v>
      </c>
      <c r="D115" s="86">
        <f>SUM(D109:D114)</f>
        <v>0</v>
      </c>
      <c r="E115" s="86">
        <f>SUM(E109:E114)</f>
        <v>171249.21000000002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292486.22000000003</v>
      </c>
      <c r="D118" s="24" t="s">
        <v>288</v>
      </c>
      <c r="E118" s="95">
        <f>+('DOE25'!L282)+('DOE25'!L301)+('DOE25'!L320)</f>
        <v>5394.58</v>
      </c>
      <c r="F118" s="24" t="s">
        <v>288</v>
      </c>
      <c r="G118" s="24" t="s">
        <v>288</v>
      </c>
    </row>
    <row r="119" spans="1:7" x14ac:dyDescent="0.2">
      <c r="A119" t="s">
        <v>208</v>
      </c>
      <c r="B119" s="32" t="s">
        <v>209</v>
      </c>
      <c r="C119" s="95">
        <f>('DOE25'!L204)+('DOE25'!L222)+('DOE25'!L240)</f>
        <v>8040.9800000000005</v>
      </c>
      <c r="D119" s="24" t="s">
        <v>288</v>
      </c>
      <c r="E119" s="95">
        <f>+('DOE25'!L283)+('DOE25'!L302)+('DOE25'!L321)</f>
        <v>1500</v>
      </c>
      <c r="F119" s="24" t="s">
        <v>288</v>
      </c>
      <c r="G119" s="24" t="s">
        <v>288</v>
      </c>
    </row>
    <row r="120" spans="1:7" x14ac:dyDescent="0.2">
      <c r="A120" t="s">
        <v>210</v>
      </c>
      <c r="B120" s="32" t="s">
        <v>211</v>
      </c>
      <c r="C120" s="95">
        <f>('DOE25'!L205)+('DOE25'!L223)+('DOE25'!L241)</f>
        <v>124970.64</v>
      </c>
      <c r="D120" s="24" t="s">
        <v>288</v>
      </c>
      <c r="E120" s="95">
        <f>+('DOE25'!L284)+('DOE25'!L303)+('DOE25'!L322)</f>
        <v>5000</v>
      </c>
      <c r="F120" s="24" t="s">
        <v>288</v>
      </c>
      <c r="G120" s="24" t="s">
        <v>288</v>
      </c>
    </row>
    <row r="121" spans="1:7" x14ac:dyDescent="0.2">
      <c r="A121" t="s">
        <v>212</v>
      </c>
      <c r="B121" s="32" t="s">
        <v>213</v>
      </c>
      <c r="C121" s="95">
        <f>('DOE25'!L206)+('DOE25'!L224)+('DOE25'!L242)</f>
        <v>226885.57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2745.99</v>
      </c>
      <c r="F122" s="24" t="s">
        <v>288</v>
      </c>
      <c r="G122" s="24" t="s">
        <v>288</v>
      </c>
    </row>
    <row r="123" spans="1:7" x14ac:dyDescent="0.2">
      <c r="A123" t="s">
        <v>216</v>
      </c>
      <c r="B123" s="32" t="s">
        <v>217</v>
      </c>
      <c r="C123" s="95">
        <f>('DOE25'!L208)+('DOE25'!L226)+('DOE25'!L244)</f>
        <v>310939.75</v>
      </c>
      <c r="D123" s="24" t="s">
        <v>288</v>
      </c>
      <c r="E123" s="95">
        <f>+('DOE25'!L287)+('DOE25'!L306)+('DOE25'!L325)</f>
        <v>13886.95</v>
      </c>
      <c r="F123" s="24" t="s">
        <v>288</v>
      </c>
      <c r="G123" s="24" t="s">
        <v>288</v>
      </c>
    </row>
    <row r="124" spans="1:7" x14ac:dyDescent="0.2">
      <c r="A124" t="s">
        <v>218</v>
      </c>
      <c r="B124" s="32" t="s">
        <v>219</v>
      </c>
      <c r="C124" s="95">
        <f>('DOE25'!L209)+('DOE25'!L227)+('DOE25'!L245+'DOE25'!L255)</f>
        <v>127514.39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79242.570000000007</v>
      </c>
      <c r="E127" s="24" t="s">
        <v>288</v>
      </c>
      <c r="F127" s="24" t="s">
        <v>288</v>
      </c>
      <c r="G127" s="24" t="s">
        <v>288</v>
      </c>
    </row>
    <row r="128" spans="1:7" ht="12.75" thickTop="1" thickBot="1" x14ac:dyDescent="0.25">
      <c r="A128" s="33" t="s">
        <v>226</v>
      </c>
      <c r="C128" s="86">
        <f>SUM(C118:C127)</f>
        <v>1090837.55</v>
      </c>
      <c r="D128" s="86">
        <f>SUM(D118:D127)</f>
        <v>79242.570000000007</v>
      </c>
      <c r="E128" s="86">
        <f>SUM(E118:E127)</f>
        <v>28527.52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242484.47</v>
      </c>
      <c r="D130" s="24" t="s">
        <v>288</v>
      </c>
      <c r="E130" s="129">
        <f>'DOE25'!L337</f>
        <v>0</v>
      </c>
      <c r="F130" s="129">
        <f>SUM('DOE25'!L375:'DOE25'!L381)</f>
        <v>3111087.33</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34745.449999999997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14000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89446.680000000008</v>
      </c>
      <c r="D138" s="24" t="s">
        <v>288</v>
      </c>
      <c r="E138" s="24" t="s">
        <v>288</v>
      </c>
      <c r="F138" s="24" t="s">
        <v>288</v>
      </c>
      <c r="G138" s="24" t="s">
        <v>288</v>
      </c>
    </row>
    <row r="139" spans="1:7" x14ac:dyDescent="0.2">
      <c r="A139" t="s">
        <v>239</v>
      </c>
      <c r="B139" s="32">
        <v>5252</v>
      </c>
      <c r="C139" s="95">
        <f>'DOE25'!L402</f>
        <v>798.04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-15244.720000000001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366229.91999999993</v>
      </c>
      <c r="D144" s="141">
        <f>SUM(D130:D143)</f>
        <v>0</v>
      </c>
      <c r="E144" s="141">
        <f>SUM(E130:E143)</f>
        <v>0</v>
      </c>
      <c r="F144" s="141">
        <f>SUM(F130:F143)</f>
        <v>3111087.33</v>
      </c>
      <c r="G144" s="141">
        <f>SUM(G130:G143)</f>
        <v>0</v>
      </c>
    </row>
    <row r="145" spans="1:9" ht="12.75" thickTop="1" thickBot="1" x14ac:dyDescent="0.25">
      <c r="A145" s="33" t="s">
        <v>244</v>
      </c>
      <c r="C145" s="86">
        <f>(C115+C128+C144)</f>
        <v>3059338</v>
      </c>
      <c r="D145" s="86">
        <f>(D115+D128+D144)</f>
        <v>79242.570000000007</v>
      </c>
      <c r="E145" s="86">
        <f>(E115+E128+E144)</f>
        <v>199776.73</v>
      </c>
      <c r="F145" s="86">
        <f>(F115+F128+F144)</f>
        <v>3111087.33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08/20</v>
      </c>
      <c r="C152" s="152">
        <f>'DOE25'!G492</f>
        <v>0</v>
      </c>
      <c r="D152" s="152">
        <f>'DOE25'!H492</f>
        <v>0</v>
      </c>
      <c r="E152" s="152">
        <f>'DOE25'!I492</f>
        <v>0</v>
      </c>
      <c r="F152" s="152">
        <f>'DOE25'!J492</f>
        <v>0</v>
      </c>
      <c r="G152" s="24" t="s">
        <v>288</v>
      </c>
    </row>
    <row r="153" spans="1:9" x14ac:dyDescent="0.2">
      <c r="A153" s="136" t="s">
        <v>29</v>
      </c>
      <c r="B153" s="152" t="str">
        <f>'DOE25'!F493</f>
        <v>08/40</v>
      </c>
      <c r="C153" s="152">
        <f>'DOE25'!G493</f>
        <v>0</v>
      </c>
      <c r="D153" s="152">
        <f>'DOE25'!H493</f>
        <v>0</v>
      </c>
      <c r="E153" s="152">
        <f>'DOE25'!I493</f>
        <v>0</v>
      </c>
      <c r="F153" s="152">
        <f>'DOE25'!J493</f>
        <v>0</v>
      </c>
      <c r="G153" s="24" t="s">
        <v>288</v>
      </c>
    </row>
    <row r="154" spans="1:9" x14ac:dyDescent="0.2">
      <c r="A154" s="136" t="s">
        <v>30</v>
      </c>
      <c r="B154" s="137">
        <f>'DOE25'!F494</f>
        <v>2058300</v>
      </c>
      <c r="C154" s="137">
        <f>'DOE25'!G494</f>
        <v>0</v>
      </c>
      <c r="D154" s="137">
        <f>'DOE25'!H494</f>
        <v>0</v>
      </c>
      <c r="E154" s="137">
        <f>'DOE25'!I494</f>
        <v>0</v>
      </c>
      <c r="F154" s="137">
        <f>'DOE25'!J494</f>
        <v>0</v>
      </c>
      <c r="G154" s="24" t="s">
        <v>288</v>
      </c>
    </row>
    <row r="155" spans="1:9" x14ac:dyDescent="0.2">
      <c r="A155" s="136" t="s">
        <v>31</v>
      </c>
      <c r="B155" s="137">
        <f>'DOE25'!F495</f>
        <v>1.67</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2058300</v>
      </c>
      <c r="C157" s="137">
        <f>'DOE25'!G497</f>
        <v>0</v>
      </c>
      <c r="D157" s="137">
        <f>'DOE25'!H497</f>
        <v>0</v>
      </c>
      <c r="E157" s="137">
        <f>'DOE25'!I497</f>
        <v>0</v>
      </c>
      <c r="F157" s="137">
        <f>'DOE25'!J497</f>
        <v>0</v>
      </c>
      <c r="G157" s="138">
        <f t="shared" ref="G157:G164" si="0">SUM(B157:F157)</f>
        <v>2058300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1816700</v>
      </c>
      <c r="C159" s="137">
        <f>'DOE25'!G499</f>
        <v>0</v>
      </c>
      <c r="D159" s="137">
        <f>'DOE25'!H499</f>
        <v>0</v>
      </c>
      <c r="E159" s="137">
        <f>'DOE25'!I499</f>
        <v>0</v>
      </c>
      <c r="F159" s="137">
        <f>'DOE25'!J499</f>
        <v>0</v>
      </c>
      <c r="G159" s="138">
        <f t="shared" si="0"/>
        <v>1816700</v>
      </c>
    </row>
    <row r="160" spans="1:9" x14ac:dyDescent="0.2">
      <c r="A160" s="22" t="s">
        <v>36</v>
      </c>
      <c r="B160" s="137">
        <f>'DOE25'!F500</f>
        <v>544200.77</v>
      </c>
      <c r="C160" s="137">
        <f>'DOE25'!G500</f>
        <v>0</v>
      </c>
      <c r="D160" s="137">
        <f>'DOE25'!H500</f>
        <v>0</v>
      </c>
      <c r="E160" s="137">
        <f>'DOE25'!I500</f>
        <v>0</v>
      </c>
      <c r="F160" s="137">
        <f>'DOE25'!J500</f>
        <v>0</v>
      </c>
      <c r="G160" s="138">
        <f t="shared" si="0"/>
        <v>544200.77</v>
      </c>
    </row>
    <row r="161" spans="1:7" x14ac:dyDescent="0.2">
      <c r="A161" s="22" t="s">
        <v>37</v>
      </c>
      <c r="B161" s="137">
        <f>'DOE25'!F501</f>
        <v>2360900.77</v>
      </c>
      <c r="C161" s="137">
        <f>'DOE25'!G501</f>
        <v>0</v>
      </c>
      <c r="D161" s="137">
        <f>'DOE25'!H501</f>
        <v>0</v>
      </c>
      <c r="E161" s="137">
        <f>'DOE25'!I501</f>
        <v>0</v>
      </c>
      <c r="F161" s="137">
        <f>'DOE25'!J501</f>
        <v>0</v>
      </c>
      <c r="G161" s="138">
        <f t="shared" si="0"/>
        <v>2360900.77</v>
      </c>
    </row>
    <row r="162" spans="1:7" x14ac:dyDescent="0.2">
      <c r="A162" s="22" t="s">
        <v>38</v>
      </c>
      <c r="B162" s="137">
        <f>'DOE25'!F502</f>
        <v>91750</v>
      </c>
      <c r="C162" s="137">
        <f>'DOE25'!G502</f>
        <v>0</v>
      </c>
      <c r="D162" s="137">
        <f>'DOE25'!H502</f>
        <v>0</v>
      </c>
      <c r="E162" s="137">
        <f>'DOE25'!I502</f>
        <v>0</v>
      </c>
      <c r="F162" s="137">
        <f>'DOE25'!J502</f>
        <v>0</v>
      </c>
      <c r="G162" s="138">
        <f t="shared" si="0"/>
        <v>91750</v>
      </c>
    </row>
    <row r="163" spans="1:7" x14ac:dyDescent="0.2">
      <c r="A163" s="22" t="s">
        <v>39</v>
      </c>
      <c r="B163" s="137">
        <f>'DOE25'!F503</f>
        <v>66012.08</v>
      </c>
      <c r="C163" s="137">
        <f>'DOE25'!G503</f>
        <v>0</v>
      </c>
      <c r="D163" s="137">
        <f>'DOE25'!H503</f>
        <v>0</v>
      </c>
      <c r="E163" s="137">
        <f>'DOE25'!I503</f>
        <v>0</v>
      </c>
      <c r="F163" s="137">
        <f>'DOE25'!J503</f>
        <v>0</v>
      </c>
      <c r="G163" s="138">
        <f t="shared" si="0"/>
        <v>66012.08</v>
      </c>
    </row>
    <row r="164" spans="1:7" x14ac:dyDescent="0.2">
      <c r="A164" s="22" t="s">
        <v>246</v>
      </c>
      <c r="B164" s="137">
        <f>'DOE25'!F504</f>
        <v>157762.08000000002</v>
      </c>
      <c r="C164" s="137">
        <f>'DOE25'!G504</f>
        <v>0</v>
      </c>
      <c r="D164" s="137">
        <f>'DOE25'!H504</f>
        <v>0</v>
      </c>
      <c r="E164" s="137">
        <f>'DOE25'!I504</f>
        <v>0</v>
      </c>
      <c r="F164" s="137">
        <f>'DOE25'!J504</f>
        <v>0</v>
      </c>
      <c r="G164" s="138">
        <f t="shared" si="0"/>
        <v>157762.08000000002</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7"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Rumney School District</v>
      </c>
    </row>
    <row r="3" spans="1:4" x14ac:dyDescent="0.2">
      <c r="B3" s="188" t="s">
        <v>1666</v>
      </c>
    </row>
    <row r="4" spans="1:4" x14ac:dyDescent="0.2">
      <c r="B4" t="s">
        <v>61</v>
      </c>
      <c r="C4" s="179">
        <f>IF('DOE25'!F666+'DOE25'!F671=0,0,ROUND('DOE25'!F673,0))</f>
        <v>33580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33580</v>
      </c>
    </row>
    <row r="9" spans="1:4" x14ac:dyDescent="0.2">
      <c r="A9" s="187" t="s">
        <v>94</v>
      </c>
      <c r="B9" s="188" t="s">
        <v>1671</v>
      </c>
      <c r="C9" s="181" t="s">
        <v>720</v>
      </c>
      <c r="D9" s="181" t="s">
        <v>721</v>
      </c>
    </row>
    <row r="10" spans="1:4" x14ac:dyDescent="0.2">
      <c r="A10">
        <v>1100</v>
      </c>
      <c r="B10" t="s">
        <v>702</v>
      </c>
      <c r="C10" s="179">
        <f>ROUND('DOE25'!L198+'DOE25'!L216+'DOE25'!L234+'DOE25'!L277+'DOE25'!L296+'DOE25'!L315,0)</f>
        <v>1170823</v>
      </c>
      <c r="D10" s="182">
        <f>ROUND((C10/$C$28)*100,1)</f>
        <v>39</v>
      </c>
    </row>
    <row r="11" spans="1:4" x14ac:dyDescent="0.2">
      <c r="A11">
        <v>1200</v>
      </c>
      <c r="B11" t="s">
        <v>703</v>
      </c>
      <c r="C11" s="179">
        <f>ROUND('DOE25'!L199+'DOE25'!L217+'DOE25'!L235+'DOE25'!L278+'DOE25'!L297+'DOE25'!L316,0)</f>
        <v>415520</v>
      </c>
      <c r="D11" s="182">
        <f>ROUND((C11/$C$28)*100,1)</f>
        <v>13.8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187177</v>
      </c>
      <c r="D13" s="182">
        <f>ROUND((C13/$C$28)*100,1)</f>
        <v>6.2</v>
      </c>
    </row>
    <row r="14" spans="1:4" x14ac:dyDescent="0.2">
      <c r="D14" s="182"/>
    </row>
    <row r="15" spans="1:4" x14ac:dyDescent="0.2">
      <c r="A15">
        <v>2100</v>
      </c>
      <c r="B15" t="s">
        <v>706</v>
      </c>
      <c r="C15" s="179">
        <f>ROUND('DOE25'!L203+'DOE25'!L221+'DOE25'!L239+'DOE25'!L282+'DOE25'!L301+'DOE25'!L320,0)</f>
        <v>297881</v>
      </c>
      <c r="D15" s="182">
        <f t="shared" ref="D15:D27" si="0">ROUND((C15/$C$28)*100,1)</f>
        <v>9.9</v>
      </c>
    </row>
    <row r="16" spans="1:4" x14ac:dyDescent="0.2">
      <c r="A16">
        <v>2200</v>
      </c>
      <c r="B16" t="s">
        <v>707</v>
      </c>
      <c r="C16" s="179">
        <f>ROUND('DOE25'!L204+'DOE25'!L222+'DOE25'!L240+'DOE25'!L283+'DOE25'!L302+'DOE25'!L321,0)</f>
        <v>9541</v>
      </c>
      <c r="D16" s="182">
        <f t="shared" si="0"/>
        <v>0.3</v>
      </c>
    </row>
    <row r="17" spans="1:4" x14ac:dyDescent="0.2">
      <c r="A17" s="183" t="s">
        <v>723</v>
      </c>
      <c r="B17" t="s">
        <v>738</v>
      </c>
      <c r="C17" s="179">
        <f>ROUND('DOE25'!L205+'DOE25'!L210+'DOE25'!L223+'DOE25'!L228+'DOE25'!L241+'DOE25'!L246+'DOE25'!L284+'DOE25'!L289+'DOE25'!L303+'DOE25'!L308+'DOE25'!L322+'DOE25'!L327,0)</f>
        <v>129971</v>
      </c>
      <c r="D17" s="182">
        <f t="shared" si="0"/>
        <v>4.3</v>
      </c>
    </row>
    <row r="18" spans="1:4" x14ac:dyDescent="0.2">
      <c r="A18">
        <v>2400</v>
      </c>
      <c r="B18" t="s">
        <v>711</v>
      </c>
      <c r="C18" s="179">
        <f>ROUND('DOE25'!L206+'DOE25'!L224+'DOE25'!L242+'DOE25'!L285+'DOE25'!L304+'DOE25'!L323,0)</f>
        <v>226886</v>
      </c>
      <c r="D18" s="182">
        <f t="shared" si="0"/>
        <v>7.5</v>
      </c>
    </row>
    <row r="19" spans="1:4" x14ac:dyDescent="0.2">
      <c r="A19">
        <v>2500</v>
      </c>
      <c r="B19" t="s">
        <v>708</v>
      </c>
      <c r="C19" s="179">
        <f>ROUND('DOE25'!L207+'DOE25'!L225+'DOE25'!L243+'DOE25'!L286+'DOE25'!L305+'DOE25'!L324,0)</f>
        <v>2746</v>
      </c>
      <c r="D19" s="182">
        <f t="shared" si="0"/>
        <v>0.1</v>
      </c>
    </row>
    <row r="20" spans="1:4" x14ac:dyDescent="0.2">
      <c r="A20">
        <v>2600</v>
      </c>
      <c r="B20" t="s">
        <v>709</v>
      </c>
      <c r="C20" s="179">
        <f>ROUND('DOE25'!L208+'DOE25'!L226+'DOE25'!L244+'DOE25'!L287+'DOE25'!L306+'DOE25'!L325,0)</f>
        <v>324827</v>
      </c>
      <c r="D20" s="182">
        <f t="shared" si="0"/>
        <v>10.8</v>
      </c>
    </row>
    <row r="21" spans="1:4" x14ac:dyDescent="0.2">
      <c r="A21">
        <v>2700</v>
      </c>
      <c r="B21" t="s">
        <v>710</v>
      </c>
      <c r="C21" s="179">
        <f>ROUND('DOE25'!L209+'DOE25'!L227+'DOE25'!L245+'DOE25'!L288+'DOE25'!L307+'DOE25'!L326,0)</f>
        <v>127514</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34745</v>
      </c>
      <c r="D25" s="182">
        <f t="shared" si="0"/>
        <v>1.2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78317.58</v>
      </c>
      <c r="D27" s="182">
        <f t="shared" si="0"/>
        <v>2.6</v>
      </c>
    </row>
    <row r="28" spans="1:4" x14ac:dyDescent="0.2">
      <c r="B28" s="187" t="s">
        <v>719</v>
      </c>
      <c r="C28" s="180">
        <f>SUM(C10:C27)</f>
        <v>3005948.58</v>
      </c>
      <c r="D28" s="184">
        <f>ROUND(SUM(D10:D27),0)</f>
        <v>100</v>
      </c>
    </row>
    <row r="29" spans="1:4" x14ac:dyDescent="0.2">
      <c r="A29">
        <v>4000</v>
      </c>
      <c r="B29" t="s">
        <v>724</v>
      </c>
      <c r="C29" s="179">
        <f>ROUND('DOE25'!L256+'DOE25'!L337+'DOE25'!L375+'DOE25'!L376+'DOE25'!L377+'DOE25'!L378+'DOE25'!L379+'DOE25'!L380+'DOE25'!L381,0)</f>
        <v>3353572</v>
      </c>
    </row>
    <row r="30" spans="1:4" x14ac:dyDescent="0.2">
      <c r="B30" s="187" t="s">
        <v>725</v>
      </c>
      <c r="C30" s="180">
        <f>SUM(C28:C29)</f>
        <v>6359520.5800000001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2318629</v>
      </c>
      <c r="D35" s="182">
        <f t="shared" ref="D35:D40" si="1">ROUND((C35/$C$41)*100,1)</f>
        <v>68.599999999999994</v>
      </c>
    </row>
    <row r="36" spans="1:4" x14ac:dyDescent="0.2">
      <c r="B36" s="185" t="s">
        <v>739</v>
      </c>
      <c r="C36" s="179">
        <f>SUM('DOE25'!F112:J112)-SUM('DOE25'!G97:G110)+('DOE25'!F175+'DOE25'!F176+'DOE25'!I175+'DOE25'!I176)-C35</f>
        <v>71886.100000000093</v>
      </c>
      <c r="D36" s="182">
        <f t="shared" si="1"/>
        <v>2.1</v>
      </c>
    </row>
    <row r="37" spans="1:4" x14ac:dyDescent="0.2">
      <c r="A37" s="183" t="s">
        <v>835</v>
      </c>
      <c r="B37" s="185" t="s">
        <v>728</v>
      </c>
      <c r="C37" s="179">
        <f>ROUND('DOE25'!F117+'DOE25'!F118,0)</f>
        <v>705261</v>
      </c>
      <c r="D37" s="182">
        <f t="shared" si="1"/>
        <v>20.9</v>
      </c>
    </row>
    <row r="38" spans="1:4" x14ac:dyDescent="0.2">
      <c r="A38" s="183" t="s">
        <v>734</v>
      </c>
      <c r="B38" s="185" t="s">
        <v>729</v>
      </c>
      <c r="C38" s="179">
        <f>ROUND(SUM('DOE25'!F140:J140)-SUM('DOE25'!F117:F119),0)</f>
        <v>2597</v>
      </c>
      <c r="D38" s="182">
        <f t="shared" si="1"/>
        <v>0.1</v>
      </c>
    </row>
    <row r="39" spans="1:4" x14ac:dyDescent="0.2">
      <c r="A39">
        <v>4000</v>
      </c>
      <c r="B39" s="185" t="s">
        <v>730</v>
      </c>
      <c r="C39" s="179">
        <f>ROUND('DOE25'!F170+'DOE25'!G170+'DOE25'!H170+'DOE25'!I170,0)</f>
        <v>280563</v>
      </c>
      <c r="D39" s="182">
        <f t="shared" si="1"/>
        <v>8.3000000000000007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3378936.1</v>
      </c>
      <c r="D41" s="184">
        <f>SUM(D35:D40)</f>
        <v>99.999999999999986</v>
      </c>
    </row>
    <row r="42" spans="1:4" x14ac:dyDescent="0.2">
      <c r="A42" s="183" t="s">
        <v>737</v>
      </c>
      <c r="B42" s="185" t="s">
        <v>733</v>
      </c>
      <c r="C42" s="179">
        <f>ROUND('DOE25'!F174+'DOE25'!I174+'DOE25'!F177+'DOE25'!I177,0)</f>
        <v>2058300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Rumney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2021-09-22T15:02:11Z</cp:lastPrinted>
  <dcterms:created xsi:type="dcterms:W3CDTF">1997-12-04T19:04:30Z</dcterms:created>
  <dcterms:modified xsi:type="dcterms:W3CDTF">2021-12-09T13:35:04Z</dcterms:modified>
</cp:coreProperties>
</file>