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17" l="1"/>
  <c r="D5" i="14"/>
  <c r="D6" i="14"/>
  <c r="E28" i="17"/>
  <c r="E30" i="17"/>
  <c r="D37" i="14"/>
  <c r="B20" i="12"/>
  <c r="B19" i="12"/>
  <c r="H522" i="1"/>
  <c r="G522" i="1"/>
  <c r="F522" i="1"/>
  <c r="J277" i="1"/>
  <c r="I277" i="1"/>
  <c r="H277" i="1"/>
  <c r="H210" i="1"/>
  <c r="G210" i="1"/>
  <c r="H209" i="1"/>
  <c r="J208" i="1"/>
  <c r="I208" i="1"/>
  <c r="H208" i="1"/>
  <c r="K206" i="1"/>
  <c r="I206" i="1"/>
  <c r="H206" i="1"/>
  <c r="G208" i="1"/>
  <c r="G206" i="1"/>
  <c r="K205" i="1"/>
  <c r="I205" i="1"/>
  <c r="H205" i="1"/>
  <c r="G205" i="1"/>
  <c r="K204" i="1"/>
  <c r="J204" i="1"/>
  <c r="I204" i="1"/>
  <c r="H204" i="1"/>
  <c r="G204" i="1"/>
  <c r="F208" i="1"/>
  <c r="F206" i="1"/>
  <c r="F205" i="1"/>
  <c r="F204" i="1"/>
  <c r="J203" i="1"/>
  <c r="I203" i="1"/>
  <c r="H203" i="1"/>
  <c r="G203" i="1"/>
  <c r="F203" i="1"/>
  <c r="H201" i="1"/>
  <c r="G201" i="1"/>
  <c r="F201" i="1"/>
  <c r="I199" i="1"/>
  <c r="H199" i="1"/>
  <c r="G199" i="1"/>
  <c r="F199" i="1"/>
  <c r="H198" i="1"/>
  <c r="J198" i="1"/>
  <c r="I198" i="1"/>
  <c r="G198" i="1"/>
  <c r="F198" i="1"/>
  <c r="B12" i="12" l="1"/>
  <c r="B11" i="12"/>
  <c r="B10" i="12"/>
  <c r="J522" i="1"/>
  <c r="H524" i="1"/>
  <c r="H235" i="1"/>
  <c r="H256" i="1"/>
  <c r="F109" i="1"/>
  <c r="F22" i="1"/>
  <c r="F9"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G655" i="1"/>
  <c r="H655" i="1"/>
  <c r="H656" i="1"/>
  <c r="J656" i="1" s="1"/>
  <c r="C110" i="2" l="1"/>
  <c r="I170" i="1"/>
  <c r="G477" i="1"/>
  <c r="H624" i="1" s="1"/>
  <c r="J624" i="1" s="1"/>
  <c r="I409" i="1"/>
  <c r="E131" i="2"/>
  <c r="G663" i="1"/>
  <c r="C13" i="10"/>
  <c r="C112" i="2"/>
  <c r="D15" i="13"/>
  <c r="C15" i="13" s="1"/>
  <c r="H663" i="1"/>
  <c r="E124" i="2"/>
  <c r="J652" i="1"/>
  <c r="G553" i="1"/>
  <c r="C120" i="2"/>
  <c r="D6" i="13"/>
  <c r="C6" i="13" s="1"/>
  <c r="C121" i="2"/>
  <c r="A40" i="12"/>
  <c r="J258" i="1"/>
  <c r="G62" i="2"/>
  <c r="G63" i="2" s="1"/>
  <c r="E119" i="2"/>
  <c r="E128" i="2" s="1"/>
  <c r="H409" i="1"/>
  <c r="H645" i="1" s="1"/>
  <c r="J645" i="1" s="1"/>
  <c r="K339" i="1"/>
  <c r="K353" i="1" s="1"/>
  <c r="G339" i="1"/>
  <c r="G353" i="1" s="1"/>
  <c r="G662" i="1"/>
  <c r="E123" i="2"/>
  <c r="E110" i="2"/>
  <c r="G646" i="1"/>
  <c r="J646" i="1" s="1"/>
  <c r="J572" i="1"/>
  <c r="H477" i="1"/>
  <c r="H625" i="1" s="1"/>
  <c r="J625" i="1" s="1"/>
  <c r="D50"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B33" i="16" l="1"/>
  <c r="C141" i="2"/>
  <c r="C144" i="2" s="1"/>
  <c r="H649" i="1"/>
  <c r="J649" i="1" s="1"/>
  <c r="F661" i="1"/>
  <c r="F665" i="1" s="1"/>
  <c r="F668" i="1" s="1"/>
  <c r="J272" i="1"/>
  <c r="F194" i="1"/>
  <c r="G628" i="1" s="1"/>
  <c r="J628" i="1" s="1"/>
  <c r="D51" i="2"/>
  <c r="C81" i="2"/>
  <c r="H661" i="1"/>
  <c r="H665" i="1" s="1"/>
  <c r="H668" i="1" s="1"/>
  <c r="H194" i="1"/>
  <c r="G630" i="1" s="1"/>
  <c r="J630" i="1" s="1"/>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<sst xmlns="http://schemas.openxmlformats.org/spreadsheetml/2006/main" count="5576" uniqueCount="1674">
  <si>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</si>
  <si>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</si>
  <si>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</si>
  <si>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</si>
  <si>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</si>
  <si>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</si>
  <si>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</si>
  <si>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</si>
  <si>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</si>
  <si>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</si>
  <si>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</si>
  <si>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</si>
  <si>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</si>
  <si>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</si>
  <si>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</si>
  <si>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</si>
  <si>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</si>
  <si>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</si>
  <si>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</si>
  <si>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</si>
  <si>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</si>
  <si>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</si>
  <si>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</si>
  <si>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</si>
  <si>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</si>
  <si>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</si>
  <si>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</si>
  <si>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</si>
  <si>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</si>
  <si>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</si>
  <si>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</si>
  <si>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</si>
  <si>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</si>
  <si>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</si>
  <si>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</si>
  <si>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</si>
  <si>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</si>
  <si>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</si>
  <si>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</si>
  <si>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</si>
  <si>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</si>
  <si>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</si>
  <si>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</si>
  <si>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</si>
  <si>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</si>
  <si>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</si>
  <si>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</si>
  <si>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</si>
  <si>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</si>
  <si>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</si>
  <si>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</si>
  <si>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</si>
  <si>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</si>
  <si>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</si>
  <si>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</si>
  <si>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</si>
  <si>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</si>
  <si>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</si>
  <si>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</si>
  <si>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</si>
  <si>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</si>
  <si>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</si>
  <si>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</si>
  <si>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</si>
  <si>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</si>
  <si>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</si>
  <si>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</si>
  <si>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</si>
  <si>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</si>
  <si>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</si>
  <si>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</si>
  <si>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</si>
  <si>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</si>
  <si>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</si>
  <si>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</si>
  <si>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</si>
  <si>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</si>
  <si>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</si>
  <si>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</si>
  <si>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</si>
  <si>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</si>
  <si>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</si>
  <si>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</si>
  <si>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</si>
  <si>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</si>
  <si>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</si>
  <si>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</si>
  <si>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</si>
  <si>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</si>
  <si>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</si>
  <si>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</si>
  <si>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</si>
  <si>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</si>
  <si>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</si>
  <si>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</si>
  <si>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</si>
  <si>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</si>
  <si>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</si>
  <si>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</si>
  <si>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</si>
  <si>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</si>
  <si>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</si>
  <si>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</si>
  <si>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</si>
  <si>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</si>
  <si>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</si>
  <si>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</si>
  <si>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</si>
  <si>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</si>
  <si>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</si>
  <si>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</si>
  <si>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</si>
  <si>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</si>
  <si>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</si>
  <si>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</si>
  <si>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</si>
  <si>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</si>
  <si>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</si>
  <si>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</si>
  <si>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</si>
  <si>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</si>
  <si>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</si>
  <si>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</si>
  <si>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</si>
  <si>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</si>
  <si>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</si>
  <si>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</si>
  <si>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</si>
  <si>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</si>
  <si>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</si>
  <si>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</si>
  <si>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</si>
  <si>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</si>
  <si>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</si>
  <si>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</si>
  <si>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</si>
  <si>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</si>
  <si>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</si>
  <si>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</si>
  <si>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</si>
  <si>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</si>
  <si>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</si>
  <si>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</si>
  <si>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</si>
  <si>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</si>
  <si>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</si>
  <si>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</si>
  <si>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</si>
  <si>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</si>
  <si>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</si>
  <si>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</si>
  <si>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</si>
  <si>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</si>
  <si>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</si>
  <si>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</si>
  <si>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</si>
  <si>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</si>
  <si>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</si>
  <si>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</si>
  <si>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</si>
  <si>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</si>
  <si>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</si>
  <si>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</si>
  <si>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</si>
  <si>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</si>
  <si>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</si>
  <si>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</si>
  <si>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</si>
  <si>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</si>
  <si>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</si>
  <si>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</si>
  <si>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</si>
  <si>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</si>
  <si>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</si>
  <si>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</si>
  <si>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</si>
  <si>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</si>
  <si>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</si>
  <si>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</si>
  <si>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</si>
  <si>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</si>
  <si>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</si>
  <si>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</si>
  <si>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</si>
  <si>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</si>
  <si>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</si>
  <si>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</si>
  <si>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</si>
  <si>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</si>
  <si>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</si>
  <si>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</si>
  <si>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</si>
  <si>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</si>
  <si>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</si>
  <si>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</si>
  <si>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</si>
  <si>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</si>
  <si>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</si>
  <si>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</si>
  <si>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</si>
  <si>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</si>
  <si>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</si>
  <si>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</si>
  <si>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</si>
  <si>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</si>
  <si>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</si>
  <si>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</si>
  <si>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</si>
  <si>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</si>
  <si>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</si>
  <si>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</si>
  <si>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</si>
  <si>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</si>
  <si>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</si>
  <si>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</si>
  <si>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</si>
  <si>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</si>
  <si>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</si>
  <si>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</si>
  <si>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</si>
  <si>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</si>
  <si>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</si>
  <si>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</si>
  <si>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</si>
  <si>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</si>
  <si>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</si>
  <si>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</si>
  <si>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</si>
  <si>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</si>
  <si>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</si>
  <si>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</si>
  <si>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</si>
  <si>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</si>
  <si>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</si>
  <si>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</si>
  <si>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</si>
  <si>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</si>
  <si>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</si>
  <si>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</si>
  <si>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</si>
  <si>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</si>
  <si>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</si>
  <si>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</si>
  <si>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</si>
  <si>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</si>
  <si>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</si>
  <si>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</si>
  <si>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</si>
  <si>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</si>
  <si>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</si>
  <si>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</si>
  <si>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</si>
  <si>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</si>
  <si>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</si>
  <si>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</si>
  <si>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</si>
  <si>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</si>
  <si>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</si>
  <si>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</si>
  <si>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</si>
  <si>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</si>
  <si>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</si>
  <si>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</si>
  <si>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</si>
  <si>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</si>
  <si>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</si>
  <si>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</si>
  <si>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</si>
  <si>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</si>
  <si>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</si>
  <si>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</si>
  <si>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</si>
  <si>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</si>
  <si>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</si>
  <si>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</si>
  <si>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</si>
  <si>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</si>
  <si>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</si>
  <si>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</si>
  <si>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</si>
  <si>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</si>
  <si>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</si>
  <si>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</si>
  <si>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</si>
  <si>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</si>
  <si>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</si>
  <si>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</si>
  <si>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</si>
  <si>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</si>
  <si>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</si>
  <si>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</si>
  <si>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</si>
  <si>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</si>
  <si>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</si>
  <si>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</si>
  <si>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</si>
  <si>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</si>
  <si>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</si>
  <si>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</si>
  <si>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</si>
  <si>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</si>
  <si>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</si>
  <si>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</si>
  <si>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</si>
  <si>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</si>
  <si>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</si>
  <si>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</si>
  <si>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</si>
  <si>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</si>
  <si>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</si>
  <si>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</si>
  <si>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</si>
  <si>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</si>
  <si>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</si>
  <si>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</si>
  <si>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</si>
  <si>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</si>
  <si>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</si>
  <si>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</si>
  <si>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</si>
  <si>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</si>
  <si>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</si>
  <si>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</si>
  <si>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</si>
  <si>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</si>
  <si>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</si>
  <si>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</si>
  <si>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</si>
  <si>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</si>
  <si>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</si>
  <si>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</si>
  <si>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</si>
  <si>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</si>
  <si>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</si>
  <si>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</si>
  <si>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</si>
  <si>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</si>
  <si>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</si>
  <si>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</si>
  <si>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</si>
  <si>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</si>
  <si>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</si>
  <si>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</si>
  <si>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</si>
  <si>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</si>
  <si>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</si>
  <si>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</si>
  <si>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</si>
  <si>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</si>
  <si>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</si>
  <si>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</si>
  <si>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</si>
  <si>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</si>
  <si>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</si>
  <si>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</si>
  <si>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</si>
  <si>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</si>
  <si>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</si>
  <si>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</si>
  <si>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</si>
  <si>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</si>
  <si>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</si>
  <si>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</si>
  <si>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</si>
  <si>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</si>
  <si>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</si>
  <si>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</si>
  <si>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</si>
  <si>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</si>
  <si>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</si>
  <si>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</si>
  <si>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</si>
  <si>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</si>
  <si>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</si>
  <si>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</si>
  <si>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</si>
  <si>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</si>
  <si>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</si>
  <si>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</si>
  <si>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</si>
  <si>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</si>
  <si>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</si>
  <si>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</si>
  <si>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</si>
  <si>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</si>
  <si>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</si>
  <si>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</si>
  <si>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</si>
  <si>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</si>
  <si>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</si>
  <si>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</si>
  <si>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</si>
  <si>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</si>
  <si>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</si>
  <si>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</si>
  <si>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</si>
  <si>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</si>
  <si>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</si>
  <si>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</si>
  <si>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</si>
  <si>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</si>
  <si>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</si>
  <si>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</si>
  <si>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</si>
  <si>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</si>
  <si>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</si>
  <si>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</si>
  <si>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</si>
  <si>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</si>
  <si>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</si>
  <si>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</si>
  <si>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</si>
  <si>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</si>
  <si>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</si>
  <si>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</si>
  <si>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</si>
  <si>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</si>
  <si>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</si>
  <si>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</si>
  <si>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</si>
  <si>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</si>
  <si>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</si>
  <si>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</si>
  <si>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</si>
  <si>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</si>
  <si>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</si>
  <si>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</si>
  <si>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</si>
  <si>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</si>
  <si>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</si>
  <si>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</si>
  <si>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</si>
  <si>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</si>
  <si>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</si>
  <si>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</si>
  <si>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</si>
  <si>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</si>
  <si>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</si>
  <si>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</si>
  <si>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</si>
  <si>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</si>
  <si>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</si>
  <si>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</si>
  <si>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</si>
  <si>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</si>
  <si>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</si>
  <si>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</si>
  <si>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</si>
  <si>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</si>
  <si>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</si>
  <si>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</si>
  <si>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</si>
  <si>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</si>
  <si>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</si>
  <si>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</si>
  <si>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</si>
  <si>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</si>
  <si>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</si>
  <si>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</si>
  <si>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</si>
  <si>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</si>
  <si>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</si>
  <si>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</si>
  <si>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</si>
  <si>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</si>
  <si>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</si>
  <si>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</si>
  <si>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</si>
  <si>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</si>
  <si>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</si>
  <si>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</si>
  <si>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</si>
  <si>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</si>
  <si>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</si>
  <si>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</si>
  <si>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</si>
  <si>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</si>
  <si>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</si>
  <si>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</si>
  <si>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</si>
  <si>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</si>
  <si>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</si>
  <si>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</si>
  <si>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</si>
  <si>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</si>
  <si>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</si>
  <si>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</si>
  <si>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</si>
  <si>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</si>
  <si>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</si>
  <si>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</si>
  <si>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</si>
  <si>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</si>
  <si>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</si>
  <si>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</si>
  <si>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</si>
  <si>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</si>
  <si>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</si>
  <si>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</si>
  <si>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</si>
  <si>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</si>
  <si>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</si>
  <si>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</si>
  <si>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</si>
  <si>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</si>
  <si>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</si>
  <si>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</si>
  <si>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</si>
  <si>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</si>
  <si>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</si>
  <si>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</si>
  <si>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</si>
  <si>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</si>
  <si>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</si>
  <si>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</si>
  <si>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</si>
  <si>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</si>
  <si>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</si>
  <si>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</si>
  <si>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</si>
  <si>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</si>
  <si>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</si>
  <si>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</si>
  <si>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</si>
  <si>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</si>
  <si>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</si>
  <si>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</si>
  <si>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</si>
  <si>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</si>
  <si>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</si>
  <si>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</si>
  <si>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</si>
  <si>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</si>
  <si>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</si>
  <si>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</si>
  <si>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</si>
  <si>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</si>
  <si>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</si>
  <si>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</si>
  <si>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</si>
  <si>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</si>
  <si>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</si>
  <si>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</si>
  <si>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</si>
  <si>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</si>
  <si>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</si>
  <si>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</si>
  <si>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</si>
  <si>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</si>
  <si>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</si>
  <si>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</si>
  <si>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</si>
  <si>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</si>
  <si>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</si>
  <si>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</si>
  <si>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</si>
  <si>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</si>
  <si>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</si>
  <si>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</si>
  <si>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</si>
  <si>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</si>
  <si>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</si>
  <si>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</si>
  <si>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</si>
  <si>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</si>
  <si>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</si>
  <si>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</si>
  <si>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</si>
  <si>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</si>
  <si>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</si>
  <si>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</si>
  <si>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</si>
  <si>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</si>
  <si>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</si>
  <si>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</si>
  <si>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</si>
  <si>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</si>
  <si>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</si>
  <si>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</si>
  <si>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</si>
  <si>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</si>
  <si>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</si>
  <si>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</si>
  <si>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</si>
  <si>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</si>
  <si>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</si>
  <si>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</si>
  <si>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</si>
  <si>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</si>
  <si>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</si>
  <si>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</si>
  <si>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</si>
  <si>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</si>
  <si>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</si>
  <si>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</si>
  <si>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</si>
  <si>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</si>
  <si>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</si>
  <si>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</si>
  <si>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</si>
  <si>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</si>
  <si>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</si>
  <si>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</si>
  <si>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</si>
  <si>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</si>
  <si>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</si>
  <si>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</si>
  <si>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</si>
  <si>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</si>
  <si>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</si>
  <si>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</si>
  <si>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</si>
  <si>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</si>
  <si>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</si>
  <si>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</si>
  <si>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</si>
  <si>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</si>
  <si>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</si>
  <si>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</si>
  <si>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</si>
  <si>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</si>
  <si>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</si>
  <si>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</si>
  <si>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</si>
  <si>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</si>
  <si>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</si>
  <si>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</si>
  <si>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</si>
  <si>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</si>
  <si>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</si>
  <si>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</si>
  <si>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</si>
  <si>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</si>
  <si>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</si>
  <si>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</si>
  <si>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</si>
  <si>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</si>
  <si>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</si>
  <si>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</si>
  <si>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</si>
  <si>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</si>
  <si>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</si>
  <si>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</si>
  <si>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</si>
  <si>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</si>
  <si>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</si>
  <si>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</si>
  <si>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</si>
  <si>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</si>
  <si>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</si>
  <si>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</si>
  <si>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</si>
  <si>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</si>
  <si>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</si>
  <si>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</si>
  <si>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</si>
  <si>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</si>
  <si>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</si>
  <si>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</si>
  <si>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</si>
  <si>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</si>
  <si>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</si>
  <si>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</si>
  <si>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</si>
  <si>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</si>
  <si>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</si>
  <si>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</si>
  <si>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</si>
  <si>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</si>
  <si>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</si>
  <si>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</si>
  <si>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</si>
  <si>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</si>
  <si>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</si>
  <si>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</si>
  <si>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</si>
  <si>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</si>
  <si>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</si>
  <si>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</si>
  <si>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</si>
  <si>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</si>
  <si>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</si>
  <si>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</si>
  <si>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</si>
  <si>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</si>
  <si>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</si>
  <si>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</si>
  <si>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</si>
  <si>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</si>
  <si>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</si>
  <si>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</si>
  <si>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</si>
  <si>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</si>
  <si>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</si>
  <si>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</si>
  <si>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</si>
  <si>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</si>
  <si>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</si>
  <si>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</si>
  <si>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</si>
  <si>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</si>
  <si>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</si>
  <si>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</si>
  <si>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</si>
  <si>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</si>
  <si>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</si>
  <si>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</si>
  <si>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</si>
  <si>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</si>
  <si>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</si>
  <si>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</si>
  <si>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</si>
  <si>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</si>
  <si>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</si>
  <si>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</si>
  <si>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</si>
  <si>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</si>
  <si>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</si>
  <si>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</si>
  <si>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</si>
  <si>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</si>
  <si>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</si>
  <si>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</si>
  <si>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</si>
  <si>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</si>
  <si>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</si>
  <si>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</si>
  <si>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</si>
  <si>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</si>
  <si>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</si>
  <si>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</si>
  <si>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</si>
  <si>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</si>
  <si>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</si>
  <si>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</si>
  <si>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</si>
  <si>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</si>
  <si>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</si>
  <si>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</si>
  <si>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</si>
  <si>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</si>
  <si>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</si>
  <si>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</si>
  <si>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</si>
  <si>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</si>
  <si>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</si>
  <si>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</si>
  <si>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</si>
  <si>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</si>
  <si>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</si>
  <si>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</si>
  <si>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</si>
  <si>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</si>
  <si>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</si>
  <si>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</si>
  <si>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</si>
  <si>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</si>
  <si>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</si>
  <si>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</si>
  <si>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</si>
  <si>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</si>
  <si>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</si>
  <si>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</si>
  <si>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</si>
  <si>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</si>
  <si>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</si>
  <si>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</si>
  <si>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</si>
  <si>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</si>
  <si>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</si>
  <si>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</si>
  <si>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</si>
  <si>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</si>
  <si>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</si>
  <si>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</si>
  <si>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</si>
  <si>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</si>
  <si>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</si>
  <si>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</si>
  <si>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</si>
  <si>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</si>
  <si>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</si>
  <si>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</si>
  <si>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</si>
  <si>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</si>
  <si>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</si>
  <si>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</si>
  <si>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</si>
  <si>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</si>
  <si>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</si>
  <si>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</si>
  <si>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</si>
  <si>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</si>
  <si>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</si>
  <si>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</si>
  <si>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</si>
  <si>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</si>
  <si>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</si>
  <si>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</si>
  <si>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</si>
  <si>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</si>
  <si>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</si>
  <si>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</si>
  <si>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</si>
  <si>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</si>
  <si>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</si>
  <si>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</si>
  <si>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</si>
  <si>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</si>
  <si>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</si>
  <si>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</si>
  <si>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</si>
  <si>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</si>
  <si>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</si>
  <si>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</si>
  <si>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</si>
  <si>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</si>
  <si>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</si>
  <si>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</si>
  <si>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</si>
  <si>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</si>
  <si>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</si>
  <si>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</si>
  <si>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</si>
  <si>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</si>
  <si>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</si>
  <si>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</si>
  <si>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</si>
  <si>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</si>
  <si>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</si>
  <si>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</si>
  <si>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</si>
  <si>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</si>
  <si>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</si>
  <si>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</si>
  <si>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</si>
  <si>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</si>
  <si>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</si>
  <si>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</si>
  <si>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</si>
  <si>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</si>
  <si>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</si>
  <si>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</si>
  <si>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</si>
  <si>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</si>
  <si>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</si>
  <si>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</si>
  <si>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</si>
  <si>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</si>
  <si>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</si>
  <si>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</si>
  <si>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</si>
  <si>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</si>
  <si>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</si>
  <si>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</si>
  <si>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</si>
  <si>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</si>
  <si>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</si>
  <si>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</si>
  <si>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</si>
  <si>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</si>
  <si>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</si>
  <si>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</si>
  <si>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</si>
  <si>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</si>
  <si>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</si>
  <si>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</si>
  <si>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</si>
  <si>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</si>
  <si>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</si>
  <si>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</si>
  <si>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</si>
  <si>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</si>
  <si>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</si>
  <si>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</si>
  <si>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</si>
  <si>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</si>
  <si>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</si>
  <si>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</si>
  <si>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</si>
  <si>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</si>
  <si>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</si>
  <si>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</si>
  <si>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</si>
  <si>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</si>
  <si>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</si>
  <si>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</si>
  <si>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</si>
  <si>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</si>
  <si>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</si>
  <si>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</si>
  <si>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</si>
  <si>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</si>
  <si>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</si>
  <si>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</si>
  <si>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</si>
  <si>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</si>
  <si>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</si>
  <si>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</si>
  <si>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</si>
  <si>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</si>
  <si>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</si>
  <si>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</si>
  <si>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</si>
  <si>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</si>
  <si>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</si>
  <si>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</si>
  <si>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</si>
  <si>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</si>
  <si>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</si>
  <si>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</si>
  <si>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</si>
  <si>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</si>
  <si>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</si>
  <si>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</si>
  <si>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</si>
  <si>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</si>
  <si>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</si>
  <si>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</si>
  <si>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</si>
  <si>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</si>
  <si>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</si>
  <si>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</si>
  <si>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</si>
  <si>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</si>
  <si>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</si>
  <si>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</si>
  <si>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</si>
  <si>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</si>
  <si>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</si>
  <si>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</si>
  <si>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</si>
  <si>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</si>
  <si>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</si>
  <si>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</si>
  <si>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</si>
  <si>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</si>
  <si>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</si>
  <si>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</si>
  <si>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</si>
  <si>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</si>
  <si>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</si>
  <si>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</si>
  <si>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</si>
  <si>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</si>
  <si>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</si>
  <si>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</si>
  <si>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</si>
  <si>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</si>
  <si>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</si>
  <si>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</si>
  <si>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</si>
  <si>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</si>
  <si>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</si>
  <si>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</si>
  <si>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</si>
  <si>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</si>
  <si>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</si>
  <si>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</si>
  <si>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</si>
  <si>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</si>
  <si>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</si>
  <si>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</si>
  <si>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</si>
  <si>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</si>
  <si>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</si>
  <si>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</si>
  <si>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</si>
  <si>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</si>
  <si>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</si>
  <si>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</si>
  <si>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</si>
  <si>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</si>
  <si>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</si>
  <si>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</si>
  <si>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</si>
  <si>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</si>
  <si>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</si>
  <si>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</si>
  <si>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</si>
  <si>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</si>
  <si>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</si>
  <si>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</si>
  <si>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</si>
  <si>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</si>
  <si>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</si>
  <si>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</si>
  <si>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</si>
  <si>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</si>
  <si>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</si>
  <si>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</si>
  <si>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</si>
  <si>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</si>
  <si>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</si>
  <si>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</si>
  <si>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</si>
  <si>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</si>
  <si>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</si>
  <si>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</si>
  <si>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</si>
  <si>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</si>
  <si>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</si>
  <si>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</si>
  <si>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</si>
  <si>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</si>
  <si>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</si>
  <si>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</si>
  <si>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</si>
  <si>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</si>
  <si>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</si>
  <si>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</si>
  <si>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</si>
  <si>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</si>
  <si>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</si>
  <si>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</si>
  <si>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</si>
  <si>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</si>
  <si>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</si>
  <si>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</si>
  <si>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</si>
  <si>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</si>
  <si>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</si>
  <si>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</si>
  <si>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</si>
  <si>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</si>
  <si>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</si>
  <si>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</si>
  <si>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</si>
  <si>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</si>
  <si>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</si>
  <si>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</si>
  <si>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</si>
  <si>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</si>
  <si>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</si>
  <si>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</si>
  <si>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</si>
  <si>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</si>
  <si>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</si>
  <si>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</si>
  <si>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</si>
  <si>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</si>
  <si>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</si>
  <si>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</si>
  <si>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</si>
  <si>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</si>
  <si>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</si>
  <si>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</si>
  <si>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</si>
  <si>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</si>
  <si>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</si>
  <si>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</si>
  <si>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</si>
  <si>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</si>
  <si>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</si>
  <si>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</si>
  <si>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</si>
  <si>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</si>
  <si>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</si>
  <si>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</si>
  <si>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</si>
  <si>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</si>
  <si>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</si>
  <si>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</si>
  <si>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</si>
  <si>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</si>
  <si>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</si>
  <si>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</si>
  <si>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</si>
  <si>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</si>
  <si>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</si>
  <si>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</si>
  <si>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</si>
  <si>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</si>
  <si>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</si>
  <si>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</si>
  <si>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</si>
  <si>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</si>
  <si>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</si>
  <si>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</si>
  <si>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</si>
  <si>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</si>
  <si>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</si>
  <si>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</si>
  <si>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</si>
  <si>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</si>
  <si>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</si>
  <si>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</si>
  <si>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</si>
  <si>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</si>
  <si>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</si>
  <si>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</si>
  <si>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</si>
  <si>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</si>
  <si>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</si>
  <si>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</si>
  <si>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</si>
  <si>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</si>
  <si>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</si>
  <si>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</si>
  <si>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</si>
  <si>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</si>
  <si>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</si>
  <si>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</si>
  <si>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</si>
  <si>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</si>
  <si>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</si>
  <si>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</si>
  <si>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</si>
  <si>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</si>
  <si>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</si>
  <si>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</si>
  <si>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</si>
  <si>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</si>
  <si>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</si>
  <si>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</si>
  <si>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</si>
  <si>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</si>
  <si>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</si>
  <si>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</si>
  <si>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</si>
  <si>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</si>
  <si>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</si>
  <si>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</si>
  <si>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</si>
  <si>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</si>
  <si>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</si>
  <si>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</si>
  <si>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</si>
  <si>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</si>
  <si>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</si>
  <si>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</si>
  <si>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</si>
  <si>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</si>
  <si>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</si>
  <si>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</si>
  <si>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</si>
  <si>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</si>
  <si>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</si>
  <si>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</si>
  <si>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</si>
  <si>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</si>
  <si>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</si>
  <si>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</si>
  <si>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</si>
  <si>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</si>
  <si>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</si>
  <si>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</si>
  <si>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</si>
  <si>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</si>
  <si>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</si>
  <si>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</si>
  <si>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</si>
  <si>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</si>
  <si>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</si>
  <si>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</si>
  <si>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</si>
  <si>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</si>
  <si>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</si>
  <si>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</si>
  <si>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</si>
  <si>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</si>
  <si>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</si>
  <si>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</si>
  <si>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</si>
  <si>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</si>
  <si>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</si>
  <si>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</si>
  <si>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</si>
  <si>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</si>
  <si>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</si>
  <si>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</si>
  <si>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</si>
  <si>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</si>
  <si>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</si>
  <si>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</si>
  <si>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</si>
  <si>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</si>
  <si>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</si>
  <si>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</si>
  <si>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</si>
  <si>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</si>
  <si>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</si>
  <si>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</si>
  <si>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</si>
  <si>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</si>
  <si>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</si>
  <si>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</si>
  <si>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</si>
  <si>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</si>
  <si>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</si>
  <si>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</si>
  <si>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</si>
  <si>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</si>
  <si>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</si>
  <si>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</si>
  <si>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</si>
  <si>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</si>
  <si>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</si>
  <si>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</si>
  <si>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</si>
  <si>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</si>
  <si>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</si>
  <si>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</si>
  <si>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</si>
  <si>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</si>
  <si>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</si>
  <si>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</si>
  <si>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</si>
  <si>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</si>
  <si>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</si>
  <si>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</si>
  <si>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</si>
  <si>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</si>
  <si>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</si>
  <si>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</si>
  <si>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</si>
  <si>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</si>
  <si>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</si>
  <si>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</si>
  <si>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</si>
  <si>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</si>
  <si>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</si>
  <si>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</si>
  <si>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</si>
  <si>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</si>
  <si>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</si>
  <si>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</si>
  <si>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</si>
  <si>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</si>
  <si>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</si>
  <si>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</si>
  <si>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</si>
  <si>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</si>
  <si>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</si>
  <si>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</si>
  <si>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</si>
  <si>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</si>
  <si>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</si>
  <si>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</si>
  <si>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</si>
  <si>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</si>
  <si>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</si>
  <si>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</si>
  <si>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</si>
  <si>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</si>
  <si>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</si>
  <si>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</si>
  <si>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</si>
  <si>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</si>
  <si>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</si>
  <si>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</si>
  <si>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</si>
  <si>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</si>
  <si>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</si>
  <si>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</si>
  <si>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</si>
  <si>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</si>
  <si>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</si>
  <si>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</si>
  <si>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</si>
  <si>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</si>
  <si>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</si>
  <si>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</si>
  <si>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</si>
  <si>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</si>
  <si>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</si>
  <si>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</si>
  <si>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</si>
  <si>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</si>
  <si>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</si>
  <si>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</si>
  <si>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</si>
  <si>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</si>
  <si>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</si>
  <si>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</si>
  <si>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</si>
  <si>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</si>
  <si>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</si>
  <si>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</si>
  <si>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</si>
  <si>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</si>
  <si>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</si>
  <si>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</si>
  <si>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</si>
  <si>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</si>
  <si>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</si>
  <si>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</si>
  <si>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</si>
  <si>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</si>
  <si>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</si>
  <si>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</si>
  <si>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</si>
  <si>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</si>
  <si>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</si>
  <si>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</si>
  <si>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</si>
  <si>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</si>
  <si>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</si>
  <si>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</si>
  <si>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</si>
  <si>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</si>
  <si>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</si>
  <si>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</si>
  <si>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</si>
  <si>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</si>
  <si>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</si>
  <si>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</si>
  <si>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</si>
  <si>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</si>
  <si>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</si>
  <si>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</si>
  <si>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</si>
  <si>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</si>
  <si>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</si>
  <si>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</si>
  <si>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</si>
  <si>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</si>
  <si>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</si>
  <si>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</si>
  <si>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</si>
  <si>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</si>
  <si>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</si>
  <si>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</si>
  <si>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</si>
  <si>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</si>
  <si>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</si>
  <si>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</si>
  <si>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</si>
  <si>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</si>
  <si>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</si>
  <si>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</si>
  <si>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</si>
  <si>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</si>
  <si>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</si>
  <si>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</si>
  <si>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</si>
  <si>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</si>
  <si>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</si>
  <si>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</si>
  <si>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</si>
  <si>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</si>
  <si>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</si>
  <si>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</si>
  <si>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</si>
  <si>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</si>
  <si>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</si>
  <si>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</si>
  <si>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</si>
  <si>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</si>
  <si>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</si>
  <si>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</si>
  <si>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</si>
  <si>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</si>
  <si>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</si>
  <si>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</si>
  <si>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</si>
  <si>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</si>
  <si>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</si>
  <si>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</si>
  <si>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</si>
  <si>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</si>
  <si>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</si>
  <si>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</si>
  <si>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</si>
  <si>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</si>
  <si>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</si>
  <si>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</si>
  <si>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</si>
  <si>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</si>
  <si>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</si>
  <si>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</si>
  <si>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</si>
  <si>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</si>
  <si>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</si>
  <si>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</si>
  <si>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</si>
  <si>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</si>
  <si>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</si>
  <si>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</si>
  <si>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</si>
  <si>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</si>
  <si>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</si>
  <si>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</si>
  <si>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</si>
  <si>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</si>
  <si>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</si>
  <si>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</si>
  <si>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</si>
  <si>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</si>
  <si>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</si>
  <si>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</si>
  <si>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</si>
  <si>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</si>
  <si>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</si>
  <si>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</si>
  <si>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</si>
  <si>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</si>
  <si>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</si>
  <si>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</si>
  <si>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</si>
  <si>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</si>
  <si>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</si>
  <si>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</si>
  <si>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</si>
  <si>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</si>
  <si>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</si>
  <si>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</si>
  <si>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</si>
  <si>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</si>
  <si>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</si>
  <si>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</si>
  <si>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</si>
  <si>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</si>
  <si>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</si>
  <si>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</si>
  <si>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</si>
  <si>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</si>
  <si>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</si>
  <si>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</si>
  <si>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</si>
  <si>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</si>
  <si>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</si>
  <si>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</si>
  <si>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</si>
  <si>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</si>
  <si>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</si>
  <si>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</si>
  <si>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</si>
  <si>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</si>
  <si>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</si>
  <si>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</si>
  <si>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</si>
  <si>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</si>
  <si>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</si>
  <si>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</si>
  <si>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</si>
  <si>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</si>
  <si>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</si>
  <si>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</si>
  <si>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</si>
  <si>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</si>
  <si>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</si>
  <si>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</si>
  <si>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</si>
  <si>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</si>
  <si>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</si>
  <si>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</si>
  <si>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</si>
  <si>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</si>
  <si>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</si>
  <si>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</si>
  <si>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</si>
  <si>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</si>
  <si>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</si>
  <si>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</si>
  <si>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</si>
  <si>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</si>
  <si>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</si>
  <si>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</si>
  <si>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</si>
  <si>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</si>
  <si>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</si>
  <si>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</si>
  <si>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</si>
  <si>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</si>
  <si>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</si>
  <si>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</si>
  <si>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</si>
  <si>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</si>
  <si>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</si>
  <si>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</si>
  <si>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</si>
  <si>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</si>
  <si>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</si>
  <si>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</si>
  <si>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</si>
  <si>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</si>
  <si>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</si>
  <si>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</si>
  <si>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</si>
  <si>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</si>
  <si>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</si>
  <si>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</si>
  <si>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</si>
  <si>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</si>
  <si>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</si>
  <si>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</si>
  <si>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</si>
  <si>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</si>
  <si>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</si>
  <si>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</si>
  <si>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</si>
  <si>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</si>
  <si>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</si>
  <si>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</si>
  <si>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</si>
  <si>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</si>
  <si>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</si>
  <si>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</si>
  <si>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</si>
  <si>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</si>
  <si>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</si>
  <si>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</si>
  <si>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</si>
  <si>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</si>
  <si>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</si>
  <si>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</si>
  <si>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</si>
  <si>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</si>
  <si>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</si>
  <si>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</si>
  <si>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</si>
  <si>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</si>
  <si>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</si>
  <si>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</si>
  <si>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</si>
  <si>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</si>
  <si>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</si>
  <si>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</si>
  <si>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</si>
  <si>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</si>
  <si>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</si>
  <si>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</si>
  <si>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</si>
  <si>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</si>
  <si>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</si>
  <si>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</si>
  <si>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</si>
  <si>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</si>
  <si>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</si>
  <si>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</si>
  <si>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</si>
  <si>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</si>
  <si>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</si>
  <si>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</si>
  <si>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</si>
  <si>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</si>
  <si>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</si>
  <si>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</si>
  <si>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</si>
  <si>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</si>
  <si>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</si>
  <si>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</si>
  <si>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</si>
  <si>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</si>
  <si>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</si>
  <si>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</si>
  <si>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</si>
  <si>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</si>
  <si>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</si>
  <si>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</si>
  <si>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</si>
  <si>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</si>
  <si>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</si>
  <si>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</si>
  <si>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</si>
  <si>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</si>
  <si>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</si>
  <si>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</si>
  <si>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</si>
  <si>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</si>
  <si>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</si>
  <si>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</si>
  <si>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</si>
  <si>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</si>
  <si>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</si>
  <si>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</si>
  <si>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</si>
  <si>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</si>
  <si>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</si>
  <si>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</si>
  <si>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</si>
  <si>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</si>
  <si>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</si>
  <si>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</si>
  <si>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</si>
  <si>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</si>
  <si>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</si>
  <si>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</si>
  <si>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</si>
  <si>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</si>
  <si>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</si>
  <si>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</si>
  <si>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</si>
  <si>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</si>
  <si>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</si>
  <si>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</si>
  <si>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</si>
  <si>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</si>
  <si>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</si>
  <si>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</si>
  <si>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</si>
  <si>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</si>
  <si>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</si>
  <si>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</si>
  <si>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</si>
  <si>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</si>
  <si>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</si>
  <si>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</si>
  <si>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</si>
  <si>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</si>
  <si>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</si>
  <si>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</si>
  <si>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</si>
  <si>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</si>
  <si>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</si>
  <si>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</si>
  <si>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</si>
  <si>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</si>
  <si>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</si>
  <si>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</si>
  <si>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</si>
  <si>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</si>
  <si>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</si>
  <si>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</si>
  <si>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</si>
  <si>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</si>
  <si>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</si>
  <si>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</si>
  <si>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</si>
  <si>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</si>
  <si>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</si>
  <si>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</si>
  <si>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</si>
  <si>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</si>
  <si>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</si>
  <si>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</si>
  <si>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</si>
  <si>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</si>
  <si>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</si>
  <si>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</si>
  <si>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</si>
  <si>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</si>
  <si>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</si>
  <si>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</si>
  <si>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</si>
  <si>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</si>
  <si>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</si>
  <si>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</si>
  <si>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</si>
  <si>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</si>
  <si>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</si>
  <si>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</si>
  <si>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</si>
  <si>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</si>
  <si>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</si>
  <si>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</si>
  <si>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</si>
  <si>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</si>
  <si>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</si>
  <si>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</si>
  <si>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</si>
  <si>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</si>
  <si>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</si>
  <si>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</si>
  <si>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</si>
  <si>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</si>
  <si>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</si>
  <si>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</si>
  <si>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</si>
  <si>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</si>
  <si>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</si>
  <si>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</si>
  <si>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</si>
  <si>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</si>
  <si>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</si>
  <si>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</si>
  <si>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</si>
  <si>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</si>
  <si>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</si>
  <si>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</si>
  <si>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</si>
  <si>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Rye School District</t>
  </si>
  <si>
    <t>Rye School Distirct will not be requesting an indirect cost rate for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</si>
</sst>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3">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0" fontId="1" fillId="41" borderId="0" xfId="43" applyFont="1" applyFill="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 fontId="73"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471</v>
      </c>
      <c r="C2" s="21">
        <v>471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1062353.43+3368.5+41709.45</f>
        <v>1107431.3799999999</v>
      </c>
      <c r="G9" s="18">
        <v>91.72</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v>7769.64</v>
      </c>
      <c r="H12" s="18">
        <v>27064.31</v>
      </c>
      <c r="I12" s="18"/>
      <c r="J12" s="67">
        <f>SUM(I442)</f>
        <v>41709.449999999997</v>
      </c>
      <c r="K12" s="24" t="s">
        <v>288</v>
      </c>
      <c r="L12" s="24" t="s">
        <v>288</v>
      </c>
      <c r="M12" s="8"/>
      <c r="N12" s="264"/>
    </row>
    <row r="13" spans="1:14" s="3" customFormat="1" ht="12.2" customHeight="1" x14ac:dyDescent="0.15">
      <c r="A13" s="1" t="s">
        <v>604</v>
      </c>
      <c r="B13" s="2" t="s">
        <v>289</v>
      </c>
      <c r="C13" s="6">
        <v>5</v>
      </c>
      <c r="D13" s="2" t="s">
        <v>428</v>
      </c>
      <c r="E13" s="6">
        <v>140</v>
      </c>
      <c r="F13" s="18"/>
      <c r="G13" s="18">
        <v>6300.8</v>
      </c>
      <c r="H13" s="18">
        <v>11844.4</v>
      </c>
      <c r="I13" s="18"/>
      <c r="J13" s="67">
        <f>SUM(I443)</f>
        <v>457125.88</v>
      </c>
      <c r="K13" s="24" t="s">
        <v>288</v>
      </c>
      <c r="L13" s="24" t="s">
        <v>288</v>
      </c>
      <c r="M13" s="8"/>
      <c r="N13" s="264"/>
    </row>
    <row r="14" spans="1:14" s="3" customFormat="1" ht="12.2" customHeight="1" x14ac:dyDescent="0.15">
      <c r="A14" s="1" t="s">
        <v>565</v>
      </c>
      <c r="B14" s="2" t="s">
        <v>289</v>
      </c>
      <c r="C14" s="6">
        <v>6</v>
      </c>
      <c r="D14" s="2" t="s">
        <v>428</v>
      </c>
      <c r="E14" s="6">
        <v>150</v>
      </c>
      <c r="F14" s="18">
        <v>200</v>
      </c>
      <c r="G14" s="18">
        <v>615.30999999999995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443.09</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1107631.3799999999</v>
      </c>
      <c r="G19" s="41">
        <f>SUM(G9:G18)</f>
        <v>15220.56</v>
      </c>
      <c r="H19" s="41">
        <f>SUM(H9:H18)</f>
        <v>38908.71</v>
      </c>
      <c r="I19" s="41">
        <f>SUM(I9:I18)</f>
        <v>0</v>
      </c>
      <c r="J19" s="41">
        <f>SUM(J9:J18)</f>
        <v>498835.33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34833.95+41709.45</f>
        <v>76543.399999999994</v>
      </c>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12008.36</v>
      </c>
      <c r="G24" s="18"/>
      <c r="H24" s="18">
        <v>6977.12</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210170.6</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14777.47</v>
      </c>
      <c r="H30" s="18">
        <v>31931.59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298722.36</v>
      </c>
      <c r="G32" s="41">
        <f>SUM(G22:G31)</f>
        <v>14777.47</v>
      </c>
      <c r="H32" s="41">
        <f>SUM(H22:H31)</f>
        <v>38908.71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443.09</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164250.57999999999</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335775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498835.33</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258883.44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808909.02</v>
      </c>
      <c r="G51" s="41">
        <f>SUM(G35:G50)</f>
        <v>443.09</v>
      </c>
      <c r="H51" s="41">
        <f>SUM(H35:H50)</f>
        <v>0</v>
      </c>
      <c r="I51" s="41">
        <f>SUM(I35:I50)</f>
        <v>0</v>
      </c>
      <c r="J51" s="41">
        <f>SUM(J35:J50)</f>
        <v>498835.33</v>
      </c>
      <c r="K51" s="45" t="s">
        <v>288</v>
      </c>
      <c r="L51" s="45" t="s">
        <v>288</v>
      </c>
      <c r="N51" s="262"/>
    </row>
    <row r="52" spans="1:14" s="3" customFormat="1" ht="12.2" customHeight="1" thickTop="1" x14ac:dyDescent="0.15">
      <c r="A52" s="38" t="s">
        <v>455</v>
      </c>
      <c r="B52" s="39" t="s">
        <v>289</v>
      </c>
      <c r="C52" s="6">
        <v>37</v>
      </c>
      <c r="D52" s="39" t="s">
        <v>653</v>
      </c>
      <c r="E52" s="39"/>
      <c r="F52" s="41">
        <f>F51+F32</f>
        <v>1107631.3799999999</v>
      </c>
      <c r="G52" s="41">
        <f>G51+G32</f>
        <v>15220.56</v>
      </c>
      <c r="H52" s="41">
        <f>H51+H32</f>
        <v>38908.71</v>
      </c>
      <c r="I52" s="41">
        <f>I51+I32</f>
        <v>0</v>
      </c>
      <c r="J52" s="41">
        <f>J51+J32</f>
        <v>498835.33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8490349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8490349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13181.78</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79488.94</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92670.720000000001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3662.64</v>
      </c>
      <c r="G96" s="18">
        <v>1.42</v>
      </c>
      <c r="H96" s="18"/>
      <c r="I96" s="18"/>
      <c r="J96" s="18">
        <v>200.3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7814.8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450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4673.3500000000004</v>
      </c>
      <c r="G102" s="18"/>
      <c r="H102" s="18">
        <v>49224.24</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1196.11+62933.08+139851.32-614.7</f>
        <v>203365.81</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212151.8</v>
      </c>
      <c r="G111" s="41">
        <f>SUM(G96:G110)</f>
        <v>7816.22</v>
      </c>
      <c r="H111" s="41">
        <f>SUM(H96:H110)</f>
        <v>49224.24</v>
      </c>
      <c r="I111" s="41">
        <f>SUM(I96:I110)</f>
        <v>0</v>
      </c>
      <c r="J111" s="41">
        <f>SUM(J96:J110)</f>
        <v>200.3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8795171.5200000014</v>
      </c>
      <c r="G112" s="41">
        <f>G60+G111</f>
        <v>7816.22</v>
      </c>
      <c r="H112" s="41">
        <f>H60+H79+H94+H111</f>
        <v>49224.24</v>
      </c>
      <c r="I112" s="41">
        <f>I60+I111</f>
        <v>0</v>
      </c>
      <c r="J112" s="41">
        <f>J60+J111</f>
        <v>200.3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4940674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4940674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1704.46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1704.46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4940674</v>
      </c>
      <c r="G140" s="41">
        <f>G121+SUM(G136:G137)</f>
        <v>1704.46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15256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78271.100000000006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107794.01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61.94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109600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10648.4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61.94</v>
      </c>
      <c r="G163" s="41">
        <f>SUM(G150:G162)</f>
        <v>78271.100000000006</v>
      </c>
      <c r="H163" s="41">
        <f>SUM(H150:H162)</f>
        <v>243298.41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61.94</v>
      </c>
      <c r="G170" s="41">
        <f>G147+G163+SUM(G164:G169)</f>
        <v>78271.100000000006</v>
      </c>
      <c r="H170" s="41">
        <f>H147+H163+SUM(H164:H169)</f>
        <v>243298.41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36219.17</v>
      </c>
      <c r="H180" s="18"/>
      <c r="I180" s="18"/>
      <c r="J180" s="18">
        <v>150000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36219.17</v>
      </c>
      <c r="H184" s="41">
        <f>SUM(H180:H183)</f>
        <v>0</v>
      </c>
      <c r="I184" s="41">
        <f>SUM(I180:I183)</f>
        <v>0</v>
      </c>
      <c r="J184" s="41">
        <f>SUM(J180:J183)</f>
        <v>150000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36219.17</v>
      </c>
      <c r="H193" s="41">
        <f>+H184+SUM(H189:H192)</f>
        <v>0</v>
      </c>
      <c r="I193" s="41">
        <f>I178+I184+SUM(I189:I192)</f>
        <v>0</v>
      </c>
      <c r="J193" s="41">
        <f>J184</f>
        <v>150000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13735907.460000001</v>
      </c>
      <c r="G194" s="47">
        <f>G112+G140+G170+G193</f>
        <v>124010.95</v>
      </c>
      <c r="H194" s="47">
        <f>H112+H140+H170+H193</f>
        <v>292522.65000000002</v>
      </c>
      <c r="I194" s="47">
        <f>I112+I140+I170+I193</f>
        <v>0</v>
      </c>
      <c r="J194" s="47">
        <f>J112+J140+J193</f>
        <v>150200.29999999999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1883223.95+1531907.98</f>
        <v>3415131.9299999997</v>
      </c>
      <c r="G198" s="18">
        <f>871430.47+710287.71</f>
        <v>1581718.18</v>
      </c>
      <c r="H198" s="18">
        <f>2364.5+13271.69+3059.5</f>
        <v>18695.690000000002</v>
      </c>
      <c r="I198" s="18">
        <f>71350.57+56350.16</f>
        <v>127700.73000000001</v>
      </c>
      <c r="J198" s="18">
        <f>6052.61+13494.58</f>
        <v>19547.189999999999</v>
      </c>
      <c r="K198" s="18"/>
      <c r="L198" s="19">
        <f>SUM(F198:K198)</f>
        <v>5162793.7200000007</v>
      </c>
      <c r="M198" s="8"/>
      <c r="N198" s="264"/>
    </row>
    <row r="199" spans="1:14" s="3" customFormat="1" ht="12.2" customHeight="1" x14ac:dyDescent="0.15">
      <c r="A199" s="1" t="s">
        <v>439</v>
      </c>
      <c r="B199" s="2" t="s">
        <v>341</v>
      </c>
      <c r="C199" s="2" t="s">
        <v>291</v>
      </c>
      <c r="D199" s="2" t="s">
        <v>431</v>
      </c>
      <c r="E199" s="6">
        <v>1200</v>
      </c>
      <c r="F199" s="18">
        <f>391507.65+67141.46+421022.09</f>
        <v>879671.20000000007</v>
      </c>
      <c r="G199" s="18">
        <f>1250+219682.08+203101.89</f>
        <v>424033.97</v>
      </c>
      <c r="H199" s="18">
        <f>134053.29+91.86+21935.13</f>
        <v>156080.28</v>
      </c>
      <c r="I199" s="18">
        <f>4328.2+965</f>
        <v>5293.2</v>
      </c>
      <c r="J199" s="18">
        <v>1699.99</v>
      </c>
      <c r="K199" s="18"/>
      <c r="L199" s="19">
        <f>SUM(F199:K199)</f>
        <v>1466778.64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5340+6817.68+67698.66</f>
        <v>79856.34</v>
      </c>
      <c r="G201" s="18">
        <f>989.35+17607.14</f>
        <v>18596.489999999998</v>
      </c>
      <c r="H201" s="18">
        <f>165+2553.25+13090.33</f>
        <v>15808.58</v>
      </c>
      <c r="I201" s="18">
        <v>4484.8599999999997</v>
      </c>
      <c r="J201" s="18"/>
      <c r="K201" s="18"/>
      <c r="L201" s="19">
        <f>SUM(F201:K201)</f>
        <v>118746.26999999999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156946.87+78350.86+245746.99</f>
        <v>481044.72</v>
      </c>
      <c r="G203" s="18">
        <f>126529.17+106998.57</f>
        <v>233527.74</v>
      </c>
      <c r="H203" s="18">
        <f>19547.22+27046.19+29026.19</f>
        <v>75619.600000000006</v>
      </c>
      <c r="I203" s="18">
        <f>2976.04+1357.9+3958.34</f>
        <v>8292.2800000000007</v>
      </c>
      <c r="J203" s="18">
        <f>547.95+547.95</f>
        <v>1095.9000000000001</v>
      </c>
      <c r="K203" s="18"/>
      <c r="L203" s="19">
        <f t="shared" ref="L203:L209" si="0">SUM(F203:K203)</f>
        <v>799580.24</v>
      </c>
      <c r="M203" s="8"/>
      <c r="N203" s="264"/>
    </row>
    <row r="204" spans="1:14" s="3" customFormat="1" ht="12.2" customHeight="1" x14ac:dyDescent="0.15">
      <c r="A204" s="1" t="s">
        <v>443</v>
      </c>
      <c r="B204" s="2" t="s">
        <v>341</v>
      </c>
      <c r="C204" s="2" t="s">
        <v>295</v>
      </c>
      <c r="D204" s="2" t="s">
        <v>431</v>
      </c>
      <c r="E204" s="6">
        <v>2200</v>
      </c>
      <c r="F204" s="18">
        <f>87254+25173.95+86672.94</f>
        <v>199100.89</v>
      </c>
      <c r="G204" s="18">
        <f>31448+177+29692.36+56548.37</f>
        <v>117865.73000000001</v>
      </c>
      <c r="H204" s="18">
        <f>5927.14+5166.53</f>
        <v>11093.67</v>
      </c>
      <c r="I204" s="18">
        <f>32057.52+36557.93</f>
        <v>68615.45</v>
      </c>
      <c r="J204" s="18">
        <f>36154.62+49803.06</f>
        <v>85957.68</v>
      </c>
      <c r="K204" s="18">
        <f>89+469</f>
        <v>558</v>
      </c>
      <c r="L204" s="19">
        <f t="shared" si="0"/>
        <v>483191.42</v>
      </c>
      <c r="M204" s="8"/>
      <c r="N204" s="264"/>
    </row>
    <row r="205" spans="1:14" s="3" customFormat="1" ht="12.2" customHeight="1" x14ac:dyDescent="0.15">
      <c r="A205" s="1" t="s">
        <v>444</v>
      </c>
      <c r="B205" s="2" t="s">
        <v>341</v>
      </c>
      <c r="C205" s="2" t="s">
        <v>296</v>
      </c>
      <c r="D205" s="2" t="s">
        <v>431</v>
      </c>
      <c r="E205" s="6">
        <v>2300</v>
      </c>
      <c r="F205" s="18">
        <f>5069+5069</f>
        <v>10138</v>
      </c>
      <c r="G205" s="18">
        <f>412.5+416.07</f>
        <v>828.56999999999994</v>
      </c>
      <c r="H205" s="18">
        <f>375481.54+375481.55</f>
        <v>750963.09</v>
      </c>
      <c r="I205" s="18">
        <f>121.91+121.9</f>
        <v>243.81</v>
      </c>
      <c r="J205" s="18"/>
      <c r="K205" s="18">
        <f>4644.24+4644.24</f>
        <v>9288.48</v>
      </c>
      <c r="L205" s="19">
        <f t="shared" si="0"/>
        <v>771461.95</v>
      </c>
      <c r="M205" s="8"/>
      <c r="N205" s="264"/>
    </row>
    <row r="206" spans="1:14" s="3" customFormat="1" ht="12.2" customHeight="1" x14ac:dyDescent="0.15">
      <c r="A206" s="1" t="s">
        <v>445</v>
      </c>
      <c r="B206" s="2" t="s">
        <v>341</v>
      </c>
      <c r="C206" s="2" t="s">
        <v>297</v>
      </c>
      <c r="D206" s="2" t="s">
        <v>431</v>
      </c>
      <c r="E206" s="6">
        <v>2400</v>
      </c>
      <c r="F206" s="18">
        <f>184873.44+171931.76</f>
        <v>356805.2</v>
      </c>
      <c r="G206" s="18">
        <f>750+94370.28+87006</f>
        <v>182126.28</v>
      </c>
      <c r="H206" s="18">
        <f>5144.71+5408.04</f>
        <v>10552.75</v>
      </c>
      <c r="I206" s="18">
        <f>10373.2+21212.81</f>
        <v>31586.010000000002</v>
      </c>
      <c r="J206" s="18">
        <v>3146.13</v>
      </c>
      <c r="K206" s="18">
        <f>795+49.99</f>
        <v>844.99</v>
      </c>
      <c r="L206" s="19">
        <f t="shared" si="0"/>
        <v>585061.36</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130733.73+38375.5+144487.6</f>
        <v>313596.82999999996</v>
      </c>
      <c r="G208" s="18">
        <f>52087.39+47713.1</f>
        <v>99800.489999999991</v>
      </c>
      <c r="H208" s="18">
        <f>91605.33+187291.66</f>
        <v>278896.99</v>
      </c>
      <c r="I208" s="18">
        <f>111828.34+97663.26</f>
        <v>209491.59999999998</v>
      </c>
      <c r="J208" s="18">
        <f>43850+7265</f>
        <v>51115</v>
      </c>
      <c r="K208" s="18"/>
      <c r="L208" s="19">
        <f t="shared" si="0"/>
        <v>952900.90999999992</v>
      </c>
      <c r="M208" s="8"/>
      <c r="N208" s="264"/>
    </row>
    <row r="209" spans="1:14" s="3" customFormat="1" ht="12.2" customHeight="1" x14ac:dyDescent="0.15">
      <c r="A209" s="1" t="s">
        <v>448</v>
      </c>
      <c r="B209" s="2" t="s">
        <v>341</v>
      </c>
      <c r="C209" s="2" t="s">
        <v>300</v>
      </c>
      <c r="D209" s="2" t="s">
        <v>431</v>
      </c>
      <c r="E209" s="6">
        <v>2700</v>
      </c>
      <c r="F209" s="18"/>
      <c r="G209" s="18" t="s">
        <v>286</v>
      </c>
      <c r="H209" s="18">
        <f>480+152677.18+156949.67</f>
        <v>310106.84999999998</v>
      </c>
      <c r="I209" s="18">
        <v>0</v>
      </c>
      <c r="J209" s="18"/>
      <c r="K209" s="18"/>
      <c r="L209" s="19">
        <f t="shared" si="0"/>
        <v>310106.84999999998</v>
      </c>
      <c r="M209" s="8"/>
      <c r="N209" s="264"/>
    </row>
    <row r="210" spans="1:14" s="3" customFormat="1" ht="12.2" customHeight="1" x14ac:dyDescent="0.15">
      <c r="A210" s="1" t="s">
        <v>449</v>
      </c>
      <c r="B210" s="2" t="s">
        <v>341</v>
      </c>
      <c r="C210" s="2" t="s">
        <v>343</v>
      </c>
      <c r="D210" s="2" t="s">
        <v>431</v>
      </c>
      <c r="E210" s="6">
        <v>2800</v>
      </c>
      <c r="F210" s="18"/>
      <c r="G210" s="18">
        <f>226.75+300</f>
        <v>526.75</v>
      </c>
      <c r="H210" s="18">
        <f>3784.79+9988.99</f>
        <v>13773.779999999999</v>
      </c>
      <c r="I210" s="18"/>
      <c r="J210" s="18"/>
      <c r="K210" s="18"/>
      <c r="L210" s="19">
        <f>SUM(F210:K210)</f>
        <v>14300.529999999999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5735345.1099999994</v>
      </c>
      <c r="G212" s="41">
        <f t="shared" si="1"/>
        <v>2659024.1999999993</v>
      </c>
      <c r="H212" s="41">
        <f t="shared" si="1"/>
        <v>1641591.28</v>
      </c>
      <c r="I212" s="41">
        <f t="shared" si="1"/>
        <v>455707.94</v>
      </c>
      <c r="J212" s="41">
        <f t="shared" si="1"/>
        <v>162561.89000000001</v>
      </c>
      <c r="K212" s="41">
        <f t="shared" si="1"/>
        <v>10691.47</v>
      </c>
      <c r="L212" s="41">
        <f t="shared" si="1"/>
        <v>10664921.889999999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c r="L216" s="19">
        <f>SUM(F216:K216)</f>
        <v>0</v>
      </c>
      <c r="M216" s="8"/>
      <c r="N216" s="264"/>
    </row>
    <row r="217" spans="1:14" s="3" customFormat="1" ht="12.2" customHeight="1" x14ac:dyDescent="0.15">
      <c r="A217" s="1" t="s">
        <v>439</v>
      </c>
      <c r="B217" s="2" t="s">
        <v>346</v>
      </c>
      <c r="C217" s="2" t="s">
        <v>291</v>
      </c>
      <c r="D217" s="2" t="s">
        <v>431</v>
      </c>
      <c r="E217" s="6">
        <v>1200</v>
      </c>
      <c r="F217" s="18">
        <v>0</v>
      </c>
      <c r="G217" s="18">
        <v>0</v>
      </c>
      <c r="H217" s="18">
        <v>0</v>
      </c>
      <c r="I217" s="18">
        <v>0</v>
      </c>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v>0</v>
      </c>
      <c r="J225" s="18"/>
      <c r="K225" s="18"/>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v>0</v>
      </c>
      <c r="I227" s="18">
        <v>0</v>
      </c>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v>0</v>
      </c>
      <c r="H228" s="18">
        <v>0</v>
      </c>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3232098.45</v>
      </c>
      <c r="I234" s="18"/>
      <c r="J234" s="18"/>
      <c r="K234" s="18"/>
      <c r="L234" s="19">
        <f>SUM(F234:K234)</f>
        <v>3232098.45</v>
      </c>
      <c r="M234" s="8"/>
      <c r="N234" s="264"/>
    </row>
    <row r="235" spans="1:14" s="3" customFormat="1" ht="12.2" customHeight="1" x14ac:dyDescent="0.15">
      <c r="A235" s="1" t="s">
        <v>439</v>
      </c>
      <c r="B235" s="2" t="s">
        <v>350</v>
      </c>
      <c r="C235" s="2" t="s">
        <v>291</v>
      </c>
      <c r="D235" s="2" t="s">
        <v>431</v>
      </c>
      <c r="E235" s="6">
        <v>1200</v>
      </c>
      <c r="F235" s="18"/>
      <c r="G235" s="18"/>
      <c r="H235" s="18">
        <f>87457+10166.75</f>
        <v>97623.75</v>
      </c>
      <c r="I235" s="18"/>
      <c r="J235" s="18"/>
      <c r="K235" s="18"/>
      <c r="L235" s="19">
        <f>SUM(F235:K235)</f>
        <v>97623.75</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v>4200</v>
      </c>
      <c r="I237" s="18"/>
      <c r="J237" s="18"/>
      <c r="K237" s="18"/>
      <c r="L237" s="19">
        <f>SUM(F237:K237)</f>
        <v>4200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v>2400</v>
      </c>
      <c r="I240" s="18"/>
      <c r="J240" s="18"/>
      <c r="K240" s="18"/>
      <c r="L240" s="19">
        <f t="shared" si="4"/>
        <v>2400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11143.75</v>
      </c>
      <c r="I245" s="18"/>
      <c r="J245" s="18"/>
      <c r="K245" s="18"/>
      <c r="L245" s="19">
        <f t="shared" si="4"/>
        <v>11143.75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3347465.95</v>
      </c>
      <c r="I248" s="41">
        <f t="shared" si="5"/>
        <v>0</v>
      </c>
      <c r="J248" s="41">
        <f t="shared" si="5"/>
        <v>0</v>
      </c>
      <c r="K248" s="41">
        <f t="shared" si="5"/>
        <v>0</v>
      </c>
      <c r="L248" s="41">
        <f t="shared" si="5"/>
        <v>3347465.95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1560+2801</f>
        <v>4361</v>
      </c>
      <c r="I256" s="18"/>
      <c r="J256" s="18"/>
      <c r="K256" s="18"/>
      <c r="L256" s="19">
        <f t="shared" si="6"/>
        <v>4361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4361</v>
      </c>
      <c r="I257" s="41">
        <f t="shared" si="7"/>
        <v>0</v>
      </c>
      <c r="J257" s="41">
        <f t="shared" si="7"/>
        <v>0</v>
      </c>
      <c r="K257" s="41">
        <f t="shared" si="7"/>
        <v>0</v>
      </c>
      <c r="L257" s="41">
        <f>SUM(F257:K257)</f>
        <v>4361</v>
      </c>
      <c r="M257" s="8"/>
      <c r="N257" s="264"/>
    </row>
    <row r="258" spans="1:14" s="3" customFormat="1" ht="12.2" customHeight="1" thickTop="1" x14ac:dyDescent="0.15">
      <c r="A258" s="38" t="s">
        <v>462</v>
      </c>
      <c r="B258" s="40">
        <v>10</v>
      </c>
      <c r="C258" s="40">
        <v>8</v>
      </c>
      <c r="D258" s="39" t="s">
        <v>431</v>
      </c>
      <c r="E258" s="40"/>
      <c r="F258" s="41">
        <f t="shared" ref="F258:L258" si="8">F212+F230+F248+F257</f>
        <v>5735345.1099999994</v>
      </c>
      <c r="G258" s="41">
        <f t="shared" si="8"/>
        <v>2659024.1999999993</v>
      </c>
      <c r="H258" s="41">
        <f t="shared" si="8"/>
        <v>4993418.2300000004</v>
      </c>
      <c r="I258" s="41">
        <f t="shared" si="8"/>
        <v>455707.94</v>
      </c>
      <c r="J258" s="41">
        <f t="shared" si="8"/>
        <v>162561.89000000001</v>
      </c>
      <c r="K258" s="41">
        <f t="shared" si="8"/>
        <v>10691.47</v>
      </c>
      <c r="L258" s="41">
        <f t="shared" si="8"/>
        <v>14016748.84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36219.17</v>
      </c>
      <c r="L264" s="19">
        <f>SUM(F264:K264)</f>
        <v>36219.17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150000</v>
      </c>
      <c r="L267" s="19">
        <f t="shared" si="9"/>
        <v>150000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186219.16999999998</v>
      </c>
      <c r="L271" s="41">
        <f t="shared" si="9"/>
        <v>186219.16999999998</v>
      </c>
      <c r="M271" s="8"/>
      <c r="N271" s="264"/>
    </row>
    <row r="272" spans="1:14" s="34" customFormat="1" ht="12.2" customHeight="1" thickTop="1" x14ac:dyDescent="0.2">
      <c r="A272" s="43" t="s">
        <v>464</v>
      </c>
      <c r="B272" s="40">
        <v>10</v>
      </c>
      <c r="C272" s="40">
        <v>18</v>
      </c>
      <c r="D272" s="39" t="s">
        <v>431</v>
      </c>
      <c r="E272" s="40"/>
      <c r="F272" s="42">
        <f t="shared" ref="F272:L272" si="11">F258+F271</f>
        <v>5735345.1099999994</v>
      </c>
      <c r="G272" s="42">
        <f t="shared" si="11"/>
        <v>2659024.1999999993</v>
      </c>
      <c r="H272" s="42">
        <f t="shared" si="11"/>
        <v>4993418.2300000004</v>
      </c>
      <c r="I272" s="42">
        <f t="shared" si="11"/>
        <v>455707.94</v>
      </c>
      <c r="J272" s="42">
        <f t="shared" si="11"/>
        <v>162561.89000000001</v>
      </c>
      <c r="K272" s="42">
        <f t="shared" si="11"/>
        <v>196910.63999999998</v>
      </c>
      <c r="L272" s="42">
        <f t="shared" si="11"/>
        <v>14202968.01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8925.6200000000008</v>
      </c>
      <c r="G277" s="18"/>
      <c r="H277" s="18">
        <f>25016.62+8209.08</f>
        <v>33225.699999999997</v>
      </c>
      <c r="I277" s="18">
        <f>6190.89+18206.27</f>
        <v>24397.16</v>
      </c>
      <c r="J277" s="18">
        <f>13938.91+3954.65</f>
        <v>17893.560000000001</v>
      </c>
      <c r="K277" s="18">
        <v>109600</v>
      </c>
      <c r="L277" s="19">
        <f>SUM(F277:K277)</f>
        <v>194042.03999999998</v>
      </c>
      <c r="M277" s="8"/>
      <c r="N277" s="264"/>
    </row>
    <row r="278" spans="1:14" s="3" customFormat="1" ht="12.2" customHeight="1" x14ac:dyDescent="0.15">
      <c r="A278" s="1" t="s">
        <v>439</v>
      </c>
      <c r="B278" s="2" t="s">
        <v>357</v>
      </c>
      <c r="C278" s="2" t="s">
        <v>291</v>
      </c>
      <c r="D278" s="2" t="s">
        <v>431</v>
      </c>
      <c r="E278" s="6">
        <v>1200</v>
      </c>
      <c r="F278" s="18">
        <v>40947.360000000001</v>
      </c>
      <c r="G278" s="18">
        <v>14852.53</v>
      </c>
      <c r="H278" s="18">
        <v>29118.6</v>
      </c>
      <c r="I278" s="18">
        <v>7355.45</v>
      </c>
      <c r="J278" s="18">
        <v>6206.67</v>
      </c>
      <c r="K278" s="18"/>
      <c r="L278" s="19">
        <f>SUM(F278:K278)</f>
        <v>98480.609999999986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49872.98</v>
      </c>
      <c r="G291" s="42">
        <f t="shared" si="13"/>
        <v>14852.53</v>
      </c>
      <c r="H291" s="42">
        <f t="shared" si="13"/>
        <v>62344.299999999996</v>
      </c>
      <c r="I291" s="42">
        <f t="shared" si="13"/>
        <v>31752.61</v>
      </c>
      <c r="J291" s="42">
        <f t="shared" si="13"/>
        <v>24100.230000000003</v>
      </c>
      <c r="K291" s="42">
        <f t="shared" si="13"/>
        <v>109600</v>
      </c>
      <c r="L291" s="41">
        <f t="shared" si="13"/>
        <v>292522.64999999997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v>0</v>
      </c>
      <c r="I296" s="18">
        <v>0</v>
      </c>
      <c r="J296" s="18">
        <v>0</v>
      </c>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v>0</v>
      </c>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v>0</v>
      </c>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49872.98</v>
      </c>
      <c r="G339" s="41">
        <f t="shared" si="20"/>
        <v>14852.53</v>
      </c>
      <c r="H339" s="41">
        <f t="shared" si="20"/>
        <v>62344.299999999996</v>
      </c>
      <c r="I339" s="41">
        <f t="shared" si="20"/>
        <v>31752.61</v>
      </c>
      <c r="J339" s="41">
        <f t="shared" si="20"/>
        <v>24100.230000000003</v>
      </c>
      <c r="K339" s="41">
        <f t="shared" si="20"/>
        <v>109600</v>
      </c>
      <c r="L339" s="41">
        <f t="shared" si="20"/>
        <v>292522.64999999997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49872.98</v>
      </c>
      <c r="G353" s="41">
        <f>G339</f>
        <v>14852.53</v>
      </c>
      <c r="H353" s="41">
        <f>H339</f>
        <v>62344.299999999996</v>
      </c>
      <c r="I353" s="41">
        <f>I339</f>
        <v>31752.61</v>
      </c>
      <c r="J353" s="41">
        <f>J339</f>
        <v>24100.230000000003</v>
      </c>
      <c r="K353" s="47">
        <f>K339+K352</f>
        <v>109600</v>
      </c>
      <c r="L353" s="41">
        <f>L339+L352</f>
        <v>292522.64999999997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81182.789999999994</v>
      </c>
      <c r="G359" s="18">
        <v>60</v>
      </c>
      <c r="H359" s="18">
        <v>4947.95</v>
      </c>
      <c r="I359" s="18">
        <v>38121.160000000003</v>
      </c>
      <c r="J359" s="18"/>
      <c r="K359" s="18"/>
      <c r="L359" s="13">
        <f>SUM(F359:K359)</f>
        <v>124311.9</v>
      </c>
      <c r="M359" s="8"/>
      <c r="N359" s="264"/>
    </row>
    <row r="360" spans="1:22" s="3" customFormat="1" ht="12.2" customHeight="1" x14ac:dyDescent="0.15">
      <c r="A360" s="1" t="s">
        <v>542</v>
      </c>
      <c r="B360" s="2" t="s">
        <v>366</v>
      </c>
      <c r="C360" s="6">
        <v>2</v>
      </c>
      <c r="D360" s="2" t="s">
        <v>431</v>
      </c>
      <c r="E360" s="6"/>
      <c r="F360" s="18">
        <v>0</v>
      </c>
      <c r="G360" s="18"/>
      <c r="H360" s="18">
        <v>0</v>
      </c>
      <c r="I360" s="18">
        <v>0</v>
      </c>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81182.789999999994</v>
      </c>
      <c r="G363" s="47">
        <f t="shared" si="22"/>
        <v>60</v>
      </c>
      <c r="H363" s="47">
        <f t="shared" si="22"/>
        <v>4947.95</v>
      </c>
      <c r="I363" s="47">
        <f t="shared" si="22"/>
        <v>38121.160000000003</v>
      </c>
      <c r="J363" s="47">
        <f t="shared" si="22"/>
        <v>0</v>
      </c>
      <c r="K363" s="47">
        <f t="shared" si="22"/>
        <v>0</v>
      </c>
      <c r="L363" s="47">
        <f t="shared" si="22"/>
        <v>124311.9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32993.96</v>
      </c>
      <c r="G368" s="18">
        <v>0</v>
      </c>
      <c r="H368" s="18"/>
      <c r="I368" s="56">
        <f>SUM(F368:H368)</f>
        <v>32993.96</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5127.2</v>
      </c>
      <c r="G369" s="63">
        <v>0</v>
      </c>
      <c r="H369" s="63"/>
      <c r="I369" s="56">
        <f>SUM(F369:H369)</f>
        <v>5127.2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38121.159999999996</v>
      </c>
      <c r="G370" s="47">
        <f>SUM(G368:G369)</f>
        <v>0</v>
      </c>
      <c r="H370" s="47">
        <f>SUM(H368:H369)</f>
        <v>0</v>
      </c>
      <c r="I370" s="47">
        <f>SUM(I368:I369)</f>
        <v>38121.159999999996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150000</v>
      </c>
      <c r="H397" s="18">
        <v>86.44</v>
      </c>
      <c r="I397" s="18"/>
      <c r="J397" s="24" t="s">
        <v>288</v>
      </c>
      <c r="K397" s="24" t="s">
        <v>288</v>
      </c>
      <c r="L397" s="56">
        <f t="shared" si="26"/>
        <v>150086.44</v>
      </c>
      <c r="M397" s="8"/>
      <c r="N397" s="264"/>
    </row>
    <row r="398" spans="1:14" s="3" customFormat="1" ht="12.2" customHeight="1" x14ac:dyDescent="0.15">
      <c r="A398" s="79" t="s">
        <v>515</v>
      </c>
      <c r="B398" s="2" t="s">
        <v>381</v>
      </c>
      <c r="C398" s="6">
        <v>10</v>
      </c>
      <c r="D398" s="2" t="s">
        <v>432</v>
      </c>
      <c r="E398" s="6"/>
      <c r="F398" s="18"/>
      <c r="G398" s="18"/>
      <c r="H398" s="18">
        <v>89.71</v>
      </c>
      <c r="I398" s="18"/>
      <c r="J398" s="24" t="s">
        <v>288</v>
      </c>
      <c r="K398" s="24" t="s">
        <v>288</v>
      </c>
      <c r="L398" s="56">
        <f t="shared" si="26"/>
        <v>89.71</v>
      </c>
      <c r="M398" s="8"/>
      <c r="N398" s="264"/>
    </row>
    <row r="399" spans="1:14" s="3" customFormat="1" ht="12.2" customHeight="1" x14ac:dyDescent="0.15">
      <c r="A399" s="79" t="s">
        <v>558</v>
      </c>
      <c r="B399" s="2" t="s">
        <v>381</v>
      </c>
      <c r="C399" s="6">
        <v>11</v>
      </c>
      <c r="D399" s="2" t="s">
        <v>432</v>
      </c>
      <c r="E399" s="6"/>
      <c r="F399" s="18"/>
      <c r="G399" s="18"/>
      <c r="H399" s="18">
        <v>0.85</v>
      </c>
      <c r="I399" s="18"/>
      <c r="J399" s="24" t="s">
        <v>288</v>
      </c>
      <c r="K399" s="24" t="s">
        <v>288</v>
      </c>
      <c r="L399" s="56">
        <f t="shared" si="26"/>
        <v>0.85</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23.3</v>
      </c>
      <c r="I401" s="18"/>
      <c r="J401" s="24" t="s">
        <v>288</v>
      </c>
      <c r="K401" s="24" t="s">
        <v>288</v>
      </c>
      <c r="L401" s="56">
        <f t="shared" si="26"/>
        <v>23.3</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150000</v>
      </c>
      <c r="H402" s="47">
        <f>SUM(H396:H401)</f>
        <v>200.29999999999998</v>
      </c>
      <c r="I402" s="47">
        <f>SUM(I396:I401)</f>
        <v>0</v>
      </c>
      <c r="J402" s="45" t="s">
        <v>288</v>
      </c>
      <c r="K402" s="45" t="s">
        <v>288</v>
      </c>
      <c r="L402" s="47">
        <f>SUM(L396:L401)</f>
        <v>150200.29999999999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150000</v>
      </c>
      <c r="H409" s="47">
        <f>H394+H402+H408</f>
        <v>200.29999999999998</v>
      </c>
      <c r="I409" s="47">
        <f>I394+I402+I408</f>
        <v>0</v>
      </c>
      <c r="J409" s="24" t="s">
        <v>288</v>
      </c>
      <c r="K409" s="24" t="s">
        <v>288</v>
      </c>
      <c r="L409" s="47">
        <f>L394+L402+L408</f>
        <v>150200.29999999999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41709.449999999997</v>
      </c>
      <c r="H442" s="18"/>
      <c r="I442" s="56">
        <f t="shared" si="33"/>
        <v>41709.449999999997</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457125.88</v>
      </c>
      <c r="H443" s="18"/>
      <c r="I443" s="56">
        <f t="shared" si="33"/>
        <v>457125.88</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498835.33</v>
      </c>
      <c r="H447" s="13">
        <f>SUM(H440:H446)</f>
        <v>0</v>
      </c>
      <c r="I447" s="13">
        <f>SUM(I440:I446)</f>
        <v>498835.33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498835.33</v>
      </c>
      <c r="H460" s="18"/>
      <c r="I460" s="56">
        <f t="shared" si="34"/>
        <v>498835.33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498835.33</v>
      </c>
      <c r="H461" s="83">
        <f>SUM(H455:H460)</f>
        <v>0</v>
      </c>
      <c r="I461" s="83">
        <f>SUM(I455:I460)</f>
        <v>498835.33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498835.33</v>
      </c>
      <c r="H462" s="42">
        <f>H453+H461</f>
        <v>0</v>
      </c>
      <c r="I462" s="42">
        <f>I453+I461</f>
        <v>498835.33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1275969.57</v>
      </c>
      <c r="G466" s="18">
        <v>744.04</v>
      </c>
      <c r="H466" s="18"/>
      <c r="I466" s="18"/>
      <c r="J466" s="18">
        <v>348635.03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13735907.460000001</v>
      </c>
      <c r="G469" s="18">
        <v>124010.95</v>
      </c>
      <c r="H469" s="18">
        <v>292522.65000000002</v>
      </c>
      <c r="I469" s="18"/>
      <c r="J469" s="18">
        <v>150200.29999999999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13735907.460000001</v>
      </c>
      <c r="G471" s="53">
        <f>SUM(G469:G470)</f>
        <v>124010.95</v>
      </c>
      <c r="H471" s="53">
        <f>SUM(H469:H470)</f>
        <v>292522.65000000002</v>
      </c>
      <c r="I471" s="53">
        <f>SUM(I469:I470)</f>
        <v>0</v>
      </c>
      <c r="J471" s="53">
        <f>SUM(J469:J470)</f>
        <v>150200.29999999999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14202968.01</v>
      </c>
      <c r="G473" s="18">
        <v>124311.9</v>
      </c>
      <c r="H473" s="18">
        <v>292522.65000000002</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14202968.01</v>
      </c>
      <c r="G475" s="53">
        <f>SUM(G473:G474)</f>
        <v>124311.9</v>
      </c>
      <c r="H475" s="53">
        <f>SUM(H473:H474)</f>
        <v>292522.65000000002</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808909.02000000142</v>
      </c>
      <c r="G477" s="53">
        <f>(G466+G471)- G475</f>
        <v>443.08999999999651</v>
      </c>
      <c r="H477" s="53">
        <f>(H466+H471)- H475</f>
        <v>0</v>
      </c>
      <c r="I477" s="53">
        <f>(I466+I471)- I475</f>
        <v>0</v>
      </c>
      <c r="J477" s="53">
        <f>(J466+J471)- J475</f>
        <v>498835.33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879671.2+40947.36</f>
        <v>920618.55999999994</v>
      </c>
      <c r="G522" s="18">
        <f>14852.53+424033.97</f>
        <v>438886.5</v>
      </c>
      <c r="H522" s="18">
        <f>91.86+134053.29+29118.6+21935.13</f>
        <v>185198.88</v>
      </c>
      <c r="I522" s="18">
        <v>12648.65</v>
      </c>
      <c r="J522" s="18">
        <f>1699.99+6206.67</f>
        <v>7906.66</v>
      </c>
      <c r="K522" s="18"/>
      <c r="L522" s="88">
        <f>SUM(F522:K522)</f>
        <v>1565259.2499999998</v>
      </c>
      <c r="N522" s="263"/>
    </row>
    <row r="523" spans="1:14" s="52" customFormat="1" ht="12.2" customHeight="1" x14ac:dyDescent="0.2">
      <c r="A523" s="22" t="s">
        <v>634</v>
      </c>
      <c r="B523" s="105">
        <v>21</v>
      </c>
      <c r="C523" s="115">
        <v>2</v>
      </c>
      <c r="D523" s="2" t="s">
        <v>432</v>
      </c>
      <c r="E523" s="115"/>
      <c r="F523" s="18">
        <v>0</v>
      </c>
      <c r="G523" s="18"/>
      <c r="H523" s="18">
        <v>0</v>
      </c>
      <c r="I523" s="18">
        <v>0</v>
      </c>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87457+10166.75</f>
        <v>97623.75</v>
      </c>
      <c r="I524" s="18"/>
      <c r="J524" s="18"/>
      <c r="K524" s="18"/>
      <c r="L524" s="88">
        <f>SUM(F524:K524)</f>
        <v>97623.75</v>
      </c>
      <c r="N524" s="263"/>
    </row>
    <row r="525" spans="1:14" s="52" customFormat="1" ht="12.2" customHeight="1" thickTop="1" x14ac:dyDescent="0.2">
      <c r="A525" s="139" t="s">
        <v>63</v>
      </c>
      <c r="B525" s="107">
        <v>21</v>
      </c>
      <c r="C525" s="195">
        <v>4</v>
      </c>
      <c r="D525" s="196" t="s">
        <v>432</v>
      </c>
      <c r="E525" s="195"/>
      <c r="F525" s="108">
        <f>SUM(F522:F524)</f>
        <v>920618.55999999994</v>
      </c>
      <c r="G525" s="108">
        <f t="shared" ref="G525:L525" si="36">SUM(G522:G524)</f>
        <v>438886.5</v>
      </c>
      <c r="H525" s="108">
        <f t="shared" si="36"/>
        <v>282822.63</v>
      </c>
      <c r="I525" s="108">
        <f t="shared" si="36"/>
        <v>12648.65</v>
      </c>
      <c r="J525" s="108">
        <f t="shared" si="36"/>
        <v>7906.66</v>
      </c>
      <c r="K525" s="108">
        <f t="shared" si="36"/>
        <v>0</v>
      </c>
      <c r="L525" s="89">
        <f t="shared" si="36"/>
        <v>1662882.9999999998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481044.72</v>
      </c>
      <c r="G527" s="18">
        <v>233527.74</v>
      </c>
      <c r="H527" s="18">
        <v>75619.600000000006</v>
      </c>
      <c r="I527" s="18">
        <v>8292.2800000000007</v>
      </c>
      <c r="J527" s="18">
        <v>1095.9000000000001</v>
      </c>
      <c r="K527" s="18"/>
      <c r="L527" s="88">
        <f>SUM(F527:K527)</f>
        <v>799580.24</v>
      </c>
      <c r="M527" s="8"/>
      <c r="N527" s="264"/>
    </row>
    <row r="528" spans="1:14" s="3" customFormat="1" ht="12.2" customHeight="1" x14ac:dyDescent="0.15">
      <c r="A528" s="22" t="s">
        <v>634</v>
      </c>
      <c r="B528" s="105">
        <v>21</v>
      </c>
      <c r="C528" s="115">
        <v>6</v>
      </c>
      <c r="D528" s="2" t="s">
        <v>432</v>
      </c>
      <c r="E528" s="115"/>
      <c r="F528" s="18">
        <v>0</v>
      </c>
      <c r="G528" s="18"/>
      <c r="H528" s="18">
        <v>0</v>
      </c>
      <c r="I528" s="18">
        <v>0</v>
      </c>
      <c r="J528" s="18">
        <v>0</v>
      </c>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v>2400</v>
      </c>
      <c r="I529" s="18"/>
      <c r="J529" s="18"/>
      <c r="K529" s="18"/>
      <c r="L529" s="88">
        <f>SUM(F529:K529)</f>
        <v>2400</v>
      </c>
      <c r="M529" s="8"/>
      <c r="N529" s="264"/>
    </row>
    <row r="530" spans="1:14" s="3" customFormat="1" ht="12.2" customHeight="1" thickTop="1" x14ac:dyDescent="0.15">
      <c r="A530" s="139" t="s">
        <v>65</v>
      </c>
      <c r="B530" s="107">
        <v>21</v>
      </c>
      <c r="C530" s="107">
        <v>8</v>
      </c>
      <c r="D530" s="158" t="s">
        <v>432</v>
      </c>
      <c r="E530" s="107"/>
      <c r="F530" s="89">
        <f>SUM(F527:F529)</f>
        <v>481044.72</v>
      </c>
      <c r="G530" s="89">
        <f t="shared" ref="G530:L530" si="37">SUM(G527:G529)</f>
        <v>233527.74</v>
      </c>
      <c r="H530" s="89">
        <f t="shared" si="37"/>
        <v>78019.600000000006</v>
      </c>
      <c r="I530" s="89">
        <f t="shared" si="37"/>
        <v>8292.2800000000007</v>
      </c>
      <c r="J530" s="89">
        <f t="shared" si="37"/>
        <v>1095.9000000000001</v>
      </c>
      <c r="K530" s="89">
        <f t="shared" si="37"/>
        <v>0</v>
      </c>
      <c r="L530" s="89">
        <f t="shared" si="37"/>
        <v>801980.24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99502</v>
      </c>
      <c r="G532" s="18">
        <v>47996.67</v>
      </c>
      <c r="H532" s="18"/>
      <c r="I532" s="18"/>
      <c r="J532" s="18"/>
      <c r="K532" s="18"/>
      <c r="L532" s="88">
        <f>SUM(F532:K532)</f>
        <v>147498.66999999998</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99502</v>
      </c>
      <c r="G535" s="89">
        <f t="shared" ref="G535:L535" si="38">SUM(G532:G534)</f>
        <v>47996.67</v>
      </c>
      <c r="H535" s="89">
        <f t="shared" si="38"/>
        <v>0</v>
      </c>
      <c r="I535" s="89">
        <f t="shared" si="38"/>
        <v>0</v>
      </c>
      <c r="J535" s="89">
        <f t="shared" si="38"/>
        <v>0</v>
      </c>
      <c r="K535" s="89">
        <f t="shared" si="38"/>
        <v>0</v>
      </c>
      <c r="L535" s="89">
        <f t="shared" si="38"/>
        <v>147498.66999999998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9519.7800000000007</v>
      </c>
      <c r="I537" s="18"/>
      <c r="J537" s="18"/>
      <c r="K537" s="18"/>
      <c r="L537" s="88">
        <f>SUM(F537:K537)</f>
        <v>9519.7800000000007</v>
      </c>
      <c r="M537" s="8"/>
      <c r="N537" s="264"/>
    </row>
    <row r="538" spans="1:14" s="3" customFormat="1" ht="12.2" customHeight="1" x14ac:dyDescent="0.15">
      <c r="A538" s="22" t="s">
        <v>634</v>
      </c>
      <c r="B538" s="105">
        <v>21</v>
      </c>
      <c r="C538" s="105">
        <v>14</v>
      </c>
      <c r="D538" s="2" t="s">
        <v>432</v>
      </c>
      <c r="E538" s="105"/>
      <c r="F538" s="18"/>
      <c r="G538" s="18"/>
      <c r="H538" s="18">
        <v>0</v>
      </c>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9519.7800000000007</v>
      </c>
      <c r="I540" s="89">
        <f t="shared" si="39"/>
        <v>0</v>
      </c>
      <c r="J540" s="89">
        <f t="shared" si="39"/>
        <v>0</v>
      </c>
      <c r="K540" s="89">
        <f t="shared" si="39"/>
        <v>0</v>
      </c>
      <c r="L540" s="89">
        <f t="shared" si="39"/>
        <v>9519.7800000000007</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0</v>
      </c>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v>0</v>
      </c>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0</v>
      </c>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1501165.2799999998</v>
      </c>
      <c r="G546" s="89">
        <f t="shared" ref="G546:L546" si="41">G525+G530+G535+G540+G545</f>
        <v>720410.91</v>
      </c>
      <c r="H546" s="89">
        <f t="shared" si="41"/>
        <v>370362.01</v>
      </c>
      <c r="I546" s="89">
        <f t="shared" si="41"/>
        <v>20940.93</v>
      </c>
      <c r="J546" s="89">
        <f t="shared" si="41"/>
        <v>9002.56</v>
      </c>
      <c r="K546" s="89">
        <f t="shared" si="41"/>
        <v>0</v>
      </c>
      <c r="L546" s="89">
        <f t="shared" si="41"/>
        <v>2621881.6899999995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1565259.2499999998</v>
      </c>
      <c r="G550" s="87">
        <f>L527</f>
        <v>799580.24</v>
      </c>
      <c r="H550" s="87">
        <f>L532</f>
        <v>147498.66999999998</v>
      </c>
      <c r="I550" s="87">
        <f>L537</f>
        <v>9519.7800000000007</v>
      </c>
      <c r="J550" s="87">
        <f>L542</f>
        <v>0</v>
      </c>
      <c r="K550" s="87">
        <f>SUM(F550:J550)</f>
        <v>2521857.9399999995</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97623.75</v>
      </c>
      <c r="G552" s="87">
        <f>L529</f>
        <v>2400</v>
      </c>
      <c r="H552" s="87">
        <f>L534</f>
        <v>0</v>
      </c>
      <c r="I552" s="87">
        <f>L539</f>
        <v>0</v>
      </c>
      <c r="J552" s="87">
        <f>L544</f>
        <v>0</v>
      </c>
      <c r="K552" s="87">
        <f>SUM(F552:J552)</f>
        <v>100023.75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1662882.9999999998</v>
      </c>
      <c r="G553" s="89">
        <f t="shared" si="42"/>
        <v>801980.24</v>
      </c>
      <c r="H553" s="89">
        <f t="shared" si="42"/>
        <v>147498.66999999998</v>
      </c>
      <c r="I553" s="89">
        <f t="shared" si="42"/>
        <v>9519.7800000000007</v>
      </c>
      <c r="J553" s="89">
        <f t="shared" si="42"/>
        <v>0</v>
      </c>
      <c r="K553" s="89">
        <f t="shared" si="42"/>
        <v>2621881.6899999995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13271.69</v>
      </c>
      <c r="G576" s="18"/>
      <c r="H576" s="18">
        <v>3232098.45</v>
      </c>
      <c r="I576" s="87">
        <f>SUM(F576:H576)</f>
        <v>3245370.14</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4200</v>
      </c>
      <c r="I578" s="87">
        <f t="shared" si="47"/>
        <v>4200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87457</v>
      </c>
      <c r="I580" s="87">
        <f t="shared" si="47"/>
        <v>87457</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305354.34999999998</v>
      </c>
      <c r="I592" s="18">
        <v>0</v>
      </c>
      <c r="J592" s="18">
        <v>11143.75</v>
      </c>
      <c r="K592" s="104">
        <f t="shared" ref="K592:K598" si="48">SUM(H592:J592)</f>
        <v>316498.09999999998</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1080</v>
      </c>
      <c r="I595" s="18">
        <v>0</v>
      </c>
      <c r="J595" s="18"/>
      <c r="K595" s="104">
        <f t="shared" si="48"/>
        <v>1080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3672.5</v>
      </c>
      <c r="I596" s="18">
        <v>0</v>
      </c>
      <c r="J596" s="18"/>
      <c r="K596" s="104">
        <f t="shared" si="48"/>
        <v>3672.5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310106.84999999998</v>
      </c>
      <c r="I599" s="108">
        <f>SUM(I592:I598)</f>
        <v>0</v>
      </c>
      <c r="J599" s="108">
        <f>SUM(J592:J598)</f>
        <v>11143.75</v>
      </c>
      <c r="K599" s="108">
        <f>SUM(K592:K598)</f>
        <v>321250.59999999998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186662.12</v>
      </c>
      <c r="I605" s="18">
        <v>0</v>
      </c>
      <c r="J605" s="18"/>
      <c r="K605" s="104">
        <f>SUM(H605:J605)</f>
        <v>186662.12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186662.12</v>
      </c>
      <c r="I606" s="108">
        <f>SUM(I603:I605)</f>
        <v>0</v>
      </c>
      <c r="J606" s="108">
        <f>SUM(J603:J605)</f>
        <v>0</v>
      </c>
      <c r="K606" s="108">
        <f>SUM(K603:K605)</f>
        <v>186662.12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1107631.3799999999</v>
      </c>
      <c r="H618" s="109">
        <f>SUM(F52)</f>
        <v>1107631.3799999999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15220.56</v>
      </c>
      <c r="H619" s="109">
        <f>SUM(G52)</f>
        <v>15220.56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38908.71</v>
      </c>
      <c r="H620" s="109">
        <f>SUM(H52)</f>
        <v>38908.71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498835.33</v>
      </c>
      <c r="H622" s="109">
        <f>SUM(J52)</f>
        <v>498835.33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808909.02</v>
      </c>
      <c r="H623" s="109">
        <f>F477</f>
        <v>808909.02000000142</v>
      </c>
      <c r="I623" s="121" t="s">
        <v>101</v>
      </c>
      <c r="J623" s="109">
        <f t="shared" ref="J623:J656" si="50">G623-H623</f>
        <v>-1.3969838619232178E-9</v>
      </c>
      <c r="K623" s="109"/>
      <c r="L623" s="109"/>
      <c r="M623" s="8"/>
    </row>
    <row r="624" spans="1:14" s="3" customFormat="1" ht="12.2" customHeight="1" x14ac:dyDescent="0.15">
      <c r="A624" s="97"/>
      <c r="B624" s="105"/>
      <c r="C624" s="119"/>
      <c r="D624" s="119"/>
      <c r="E624" s="119"/>
      <c r="F624" s="119" t="s">
        <v>866</v>
      </c>
      <c r="G624" s="109">
        <f>G51</f>
        <v>443.09</v>
      </c>
      <c r="H624" s="109">
        <f>G477</f>
        <v>443.08999999999651</v>
      </c>
      <c r="I624" s="121" t="s">
        <v>102</v>
      </c>
      <c r="J624" s="109">
        <f t="shared" si="50"/>
        <v>3.4674485505092889E-12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498835.33</v>
      </c>
      <c r="H627" s="109">
        <f>J477</f>
        <v>498835.33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13735907.460000001</v>
      </c>
      <c r="H628" s="104">
        <f>SUM(F469)</f>
        <v>13735907.460000001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124010.95</v>
      </c>
      <c r="H629" s="104">
        <f>SUM(G469)</f>
        <v>124010.95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292522.65000000002</v>
      </c>
      <c r="H630" s="104">
        <f>SUM(H469)</f>
        <v>292522.65000000002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150200.29999999999</v>
      </c>
      <c r="H632" s="104">
        <f>SUM(J469)</f>
        <v>150200.29999999999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14202968.01</v>
      </c>
      <c r="H633" s="104">
        <f>SUM(F473)</f>
        <v>14202968.01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292522.64999999997</v>
      </c>
      <c r="H634" s="104">
        <f>SUM(H473)</f>
        <v>292522.65000000002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38121.160000000003</v>
      </c>
      <c r="H635" s="104">
        <f>I370</f>
        <v>38121.159999999996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124311.9</v>
      </c>
      <c r="H636" s="104">
        <f>SUM(G473)</f>
        <v>124311.9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150200.29999999999</v>
      </c>
      <c r="H638" s="164">
        <f>SUM(J469)</f>
        <v>150200.29999999999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498835.33</v>
      </c>
      <c r="H641" s="104">
        <f>SUM(G462)</f>
        <v>498835.33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498835.33</v>
      </c>
      <c r="H643" s="104">
        <f>SUM(I462)</f>
        <v>498835.33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200.3</v>
      </c>
      <c r="H645" s="104">
        <f>H409</f>
        <v>200.29999999999998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150000</v>
      </c>
      <c r="H646" s="104">
        <f>G409</f>
        <v>150000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150200.29999999999</v>
      </c>
      <c r="H647" s="104">
        <f>L409</f>
        <v>150200.29999999999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321250.59999999998</v>
      </c>
      <c r="H648" s="104">
        <f>L209+L227+L245</f>
        <v>321250.59999999998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186662.12</v>
      </c>
      <c r="H649" s="104">
        <f>(J258+J339)-(J256+J337)</f>
        <v>186662.12000000002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310106.84999999998</v>
      </c>
      <c r="H650" s="104">
        <f>H599</f>
        <v>310106.84999999998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11143.75</v>
      </c>
      <c r="H652" s="104">
        <f>J599</f>
        <v>11143.75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36219.17</v>
      </c>
      <c r="H653" s="104">
        <f>K264+K346</f>
        <v>36219.17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150000</v>
      </c>
      <c r="H656" s="104">
        <f>K267+K348</f>
        <v>150000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11081756.439999999</v>
      </c>
      <c r="G661" s="19">
        <f>(L230+L310+L360)</f>
        <v>0</v>
      </c>
      <c r="H661" s="19">
        <f>(L248+L329+L361)</f>
        <v>3347465.95</v>
      </c>
      <c r="I661" s="19">
        <f>SUM(F661:H661)</f>
        <v>14429222.390000001</v>
      </c>
      <c r="J661" s="13"/>
      <c r="K661" s="13"/>
      <c r="L661" s="13"/>
      <c r="M661" s="9"/>
    </row>
    <row r="662" spans="1:13" s="3" customFormat="1" ht="12.2" customHeight="1" x14ac:dyDescent="0.2">
      <c r="A662" s="1" t="s">
        <v>127</v>
      </c>
      <c r="F662" s="19">
        <f>(L359/IF(SUM(L359:L361)=0,1,SUM(L359:L361))*(SUM(G97:G110)))</f>
        <v>7814.8</v>
      </c>
      <c r="G662" s="19">
        <f>(L360/IF(SUM(L359:L361)=0,1,SUM(L359:L361))*(SUM(G97:G110)))</f>
        <v>0</v>
      </c>
      <c r="H662" s="19">
        <f>(L361/IF(SUM(L359:L361)=0,1,SUM(L359:L361))*(SUM(G97:G110)))</f>
        <v>0</v>
      </c>
      <c r="I662" s="19">
        <f>SUM(F662:H662)</f>
        <v>7814.8</v>
      </c>
      <c r="J662"/>
      <c r="K662" s="13"/>
      <c r="L662" s="13"/>
      <c r="M662" s="8"/>
    </row>
    <row r="663" spans="1:13" s="3" customFormat="1" ht="12.2" customHeight="1" x14ac:dyDescent="0.2">
      <c r="A663" s="1" t="s">
        <v>128</v>
      </c>
      <c r="F663" s="19">
        <f>(L209+L288)-(J209+J288)</f>
        <v>310106.84999999998</v>
      </c>
      <c r="G663" s="19">
        <f>(L227+L307)-(J227+J307)</f>
        <v>0</v>
      </c>
      <c r="H663" s="19">
        <f>(L245+L326)-(J245+J326)</f>
        <v>11143.75</v>
      </c>
      <c r="I663" s="19">
        <f>SUM(F663:H663)</f>
        <v>321250.59999999998</v>
      </c>
      <c r="J663"/>
      <c r="K663" s="13"/>
      <c r="L663" s="13"/>
      <c r="M663" s="9"/>
    </row>
    <row r="664" spans="1:13" s="3" customFormat="1" ht="12.2" customHeight="1" x14ac:dyDescent="0.15">
      <c r="A664" s="198" t="s">
        <v>129</v>
      </c>
      <c r="B664" s="169"/>
      <c r="C664" s="169"/>
      <c r="D664" s="169"/>
      <c r="E664" s="169"/>
      <c r="F664" s="199">
        <f>SUM(F576:F588)+SUM(H603:H605)+SUM(L612)</f>
        <v>199933.81</v>
      </c>
      <c r="G664" s="199">
        <f>SUM(G576:G588)+SUM(I603:I605)+L613</f>
        <v>0</v>
      </c>
      <c r="H664" s="199">
        <f>SUM(H576:H588)+SUM(J603:J605)+L614</f>
        <v>3323755.45</v>
      </c>
      <c r="I664" s="19">
        <f>SUM(F664:H664)</f>
        <v>3523689.2600000002</v>
      </c>
      <c r="J664" s="13"/>
      <c r="K664" s="13"/>
      <c r="L664" s="13"/>
      <c r="M664" s="9"/>
    </row>
    <row r="665" spans="1:13" s="3" customFormat="1" ht="12.2" customHeight="1" x14ac:dyDescent="0.15">
      <c r="A665" s="1" t="s">
        <v>130</v>
      </c>
      <c r="F665" s="19">
        <f>F661-SUM(F662:F664)</f>
        <v>10563900.98</v>
      </c>
      <c r="G665" s="19">
        <f>G661-SUM(G662:G664)</f>
        <v>0</v>
      </c>
      <c r="H665" s="19">
        <f>H661-SUM(H662:H664)</f>
        <v>12566.75</v>
      </c>
      <c r="I665" s="19">
        <f>I661-SUM(I662:I664)</f>
        <v>10576467.73</v>
      </c>
      <c r="J665" s="13"/>
      <c r="K665" s="13"/>
      <c r="L665" s="13"/>
      <c r="M665" s="8"/>
    </row>
    <row r="666" spans="1:13" s="3" customFormat="1" ht="12.2" customHeight="1" x14ac:dyDescent="0.25">
      <c r="A666" s="1" t="s">
        <v>131</v>
      </c>
      <c r="F666" s="392">
        <v>365.98</v>
      </c>
      <c r="G666" s="392">
        <v>0</v>
      </c>
      <c r="H666" s="392">
        <v>0</v>
      </c>
      <c r="I666" s="19">
        <f>SUM(F666:H666)</f>
        <v>365.98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28864.69</v>
      </c>
      <c r="G668" s="19" t="e">
        <f>ROUND(G665/G666,2)</f>
        <v>#DIV/0!</v>
      </c>
      <c r="H668" s="19" t="e">
        <f>ROUND(H665/H666,2)</f>
        <v>#DIV/0!</v>
      </c>
      <c r="I668" s="19">
        <f>ROUND(I665/I666,2)</f>
        <v>28899.03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-12566.75</v>
      </c>
      <c r="I670" s="19">
        <f>SUM(F670:H670)</f>
        <v>-12566.75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28864.69</v>
      </c>
      <c r="G673" s="19" t="e">
        <f>ROUND((G665+G670)/(G666+G671),2)</f>
        <v>#DIV/0!</v>
      </c>
      <c r="H673" s="19" t="e">
        <f>ROUND((H665+H670)/(H666+H671),2)</f>
        <v>#DIV/0!</v>
      </c>
      <c r="I673" s="19">
        <f>ROUND((I665+I670)/(I666+I671),2)</f>
        <v>28864.69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10648.4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109600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59">
        <v>73596.800000000003</v>
      </c>
      <c r="F22" s="346"/>
    </row>
    <row r="23" spans="2:8" x14ac:dyDescent="0.25">
      <c r="B23" s="346"/>
      <c r="C23" s="346"/>
      <c r="D23" s="346"/>
      <c r="E23" s="346"/>
      <c r="F23" s="346"/>
    </row>
    <row r="24" spans="2:8" ht="26.25" customHeight="1" x14ac:dyDescent="0.25">
      <c r="B24" s="346"/>
      <c r="C24" s="348" t="s">
        <v>1661</v>
      </c>
      <c r="D24" s="346"/>
      <c r="E24" s="341">
        <f>31684.62+5950+29429.56</f>
        <v>67064.179999999993</v>
      </c>
      <c r="F24" s="346"/>
    </row>
    <row r="25" spans="2:8" ht="18" x14ac:dyDescent="0.25">
      <c r="B25" s="346"/>
      <c r="C25" s="349"/>
      <c r="D25" s="346"/>
      <c r="E25" s="346"/>
      <c r="F25" s="346"/>
    </row>
    <row r="26" spans="2:8" ht="27.75" customHeight="1" x14ac:dyDescent="0.25">
      <c r="B26" s="346"/>
      <c r="C26" s="348" t="s">
        <v>1662</v>
      </c>
      <c r="D26" s="346"/>
      <c r="E26" s="341">
        <v>6532.62</v>
      </c>
      <c r="F26" s="346"/>
    </row>
    <row r="27" spans="2:8" x14ac:dyDescent="0.25">
      <c r="B27" s="346"/>
      <c r="C27" s="348"/>
      <c r="D27" s="346"/>
      <c r="E27" s="346"/>
      <c r="F27" s="346"/>
    </row>
    <row r="28" spans="2:8" ht="15.75" customHeight="1" x14ac:dyDescent="0.25">
      <c r="B28" s="346"/>
      <c r="C28" s="348" t="s">
        <v>1663</v>
      </c>
      <c r="D28" s="346"/>
      <c r="E28" s="342">
        <f>13983.92+1319.08+957.2</f>
        <v>16260.2</v>
      </c>
      <c r="F28" s="346"/>
    </row>
    <row r="29" spans="2:8" x14ac:dyDescent="0.25">
      <c r="B29" s="346"/>
      <c r="C29" s="346"/>
      <c r="D29" s="346"/>
      <c r="E29" s="346"/>
      <c r="F29" s="346"/>
    </row>
    <row r="30" spans="2:8" ht="16.5" customHeight="1" x14ac:dyDescent="0.25">
      <c r="B30" s="346"/>
      <c r="C30" s="348" t="s">
        <v>1664</v>
      </c>
      <c r="D30" s="346"/>
      <c r="E30" s="341">
        <f>27450+1604.4+1337</f>
        <v>30391.4</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Rye School District</v>
      </c>
      <c r="C5" s="363"/>
      <c r="D5" s="363"/>
      <c r="E5" s="363"/>
      <c r="F5" s="363"/>
    </row>
    <row r="8" spans="1:9" ht="18" x14ac:dyDescent="0.25">
      <c r="A8" s="317" t="s">
        <v>1576</v>
      </c>
      <c r="F8" s="324" t="s">
        <v>1594</v>
      </c>
    </row>
    <row r="9" spans="1:9" ht="15" x14ac:dyDescent="0.2">
      <c r="A9" s="315" t="s">
        <v>1577</v>
      </c>
      <c r="B9" s="318">
        <f>'DOE25'!G97</f>
        <v>7814.8</v>
      </c>
      <c r="F9" s="315" t="s">
        <v>1590</v>
      </c>
    </row>
    <row r="10" spans="1:9" ht="15" x14ac:dyDescent="0.2">
      <c r="A10" s="315" t="s">
        <v>1578</v>
      </c>
      <c r="B10" s="318">
        <f>'DOE25'!G112-'DOE25'!G97</f>
        <v>1.4200000000000728</v>
      </c>
      <c r="F10" s="315" t="s">
        <v>1591</v>
      </c>
    </row>
    <row r="11" spans="1:9" ht="15" x14ac:dyDescent="0.2">
      <c r="A11" s="315" t="s">
        <v>1579</v>
      </c>
      <c r="B11" s="318">
        <f>'DOE25'!G140</f>
        <v>1704.46</v>
      </c>
      <c r="F11" s="315" t="s">
        <v>1592</v>
      </c>
    </row>
    <row r="12" spans="1:9" ht="15" x14ac:dyDescent="0.2">
      <c r="A12" s="315" t="s">
        <v>1580</v>
      </c>
      <c r="B12" s="318">
        <f>'DOE25'!G170</f>
        <v>78271.100000000006</v>
      </c>
      <c r="F12" s="315" t="s">
        <v>1593</v>
      </c>
    </row>
    <row r="13" spans="1:9" ht="15" x14ac:dyDescent="0.2">
      <c r="A13" s="315" t="s">
        <v>1581</v>
      </c>
      <c r="B13" s="318">
        <f>'DOE25'!G193-'DOE25'!G180</f>
        <v>0</v>
      </c>
      <c r="F13" s="315" t="s">
        <v>1603</v>
      </c>
    </row>
    <row r="14" spans="1:9" ht="18" x14ac:dyDescent="0.25">
      <c r="A14" s="317" t="s">
        <v>732</v>
      </c>
      <c r="B14" s="319">
        <f>SUM(B9:B13)</f>
        <v>87791.78</v>
      </c>
    </row>
    <row r="16" spans="1:9" ht="18" x14ac:dyDescent="0.25">
      <c r="A16" s="317" t="s">
        <v>786</v>
      </c>
      <c r="F16" s="324" t="s">
        <v>1595</v>
      </c>
    </row>
    <row r="17" spans="1:6" ht="15" x14ac:dyDescent="0.2">
      <c r="A17" s="315" t="s">
        <v>1582</v>
      </c>
      <c r="B17" s="318">
        <f>'DOE25'!L363-'DOE25'!L362</f>
        <v>124311.9</v>
      </c>
      <c r="F17" s="315" t="s">
        <v>1596</v>
      </c>
    </row>
    <row r="18" spans="1:6" ht="15" x14ac:dyDescent="0.2">
      <c r="A18" s="315" t="s">
        <v>1583</v>
      </c>
      <c r="B18" s="328"/>
      <c r="F18" s="324" t="s">
        <v>1620</v>
      </c>
    </row>
    <row r="19" spans="1:6" ht="18" x14ac:dyDescent="0.25">
      <c r="A19" s="317" t="s">
        <v>725</v>
      </c>
      <c r="B19" s="319">
        <f>SUM(B17:B18)</f>
        <v>124311.9</v>
      </c>
    </row>
    <row r="21" spans="1:6" ht="18.75" thickBot="1" x14ac:dyDescent="0.3">
      <c r="A21" s="317" t="s">
        <v>1584</v>
      </c>
    </row>
    <row r="22" spans="1:6" ht="18.75" thickTop="1" x14ac:dyDescent="0.25">
      <c r="A22" s="317" t="s">
        <v>1585</v>
      </c>
      <c r="B22" s="323">
        <f>B14-B19</f>
        <v>-36520.119999999995</v>
      </c>
      <c r="F22" s="315" t="s">
        <v>1597</v>
      </c>
    </row>
    <row r="26" spans="1:6" ht="18" x14ac:dyDescent="0.25">
      <c r="A26" s="317" t="s">
        <v>186</v>
      </c>
    </row>
    <row r="27" spans="1:6" ht="15" x14ac:dyDescent="0.2">
      <c r="A27" s="315" t="s">
        <v>1586</v>
      </c>
      <c r="B27" s="318">
        <f>'DOE25'!G180</f>
        <v>36219.17</v>
      </c>
      <c r="F27" s="315" t="s">
        <v>1598</v>
      </c>
    </row>
    <row r="28" spans="1:6" ht="15" x14ac:dyDescent="0.2">
      <c r="A28" s="315" t="s">
        <v>1588</v>
      </c>
      <c r="B28" s="318">
        <f>'DOE25'!L362</f>
        <v>0</v>
      </c>
      <c r="F28" s="315" t="s">
        <v>1599</v>
      </c>
    </row>
    <row r="31" spans="1:6" ht="15" x14ac:dyDescent="0.2">
      <c r="A31" s="315" t="s">
        <v>1628</v>
      </c>
      <c r="B31" s="318">
        <f>'DOE25'!G466</f>
        <v>744.04</v>
      </c>
      <c r="F31" s="315" t="s">
        <v>1600</v>
      </c>
    </row>
    <row r="33" spans="1:6" ht="15" x14ac:dyDescent="0.2">
      <c r="A33" s="315" t="s">
        <v>1629</v>
      </c>
      <c r="B33" s="318">
        <f>'DOE25'!G477</f>
        <v>443.08999999999651</v>
      </c>
      <c r="F33" s="315" t="s">
        <v>1601</v>
      </c>
    </row>
    <row r="36" spans="1:6" ht="15" x14ac:dyDescent="0.2">
      <c r="A36" s="315" t="s">
        <v>1587</v>
      </c>
      <c r="B36" s="329">
        <v>11408.94</v>
      </c>
      <c r="F36" s="324" t="s">
        <v>1602</v>
      </c>
    </row>
  </sheetData>
  <sheetProtection password="B50A" sheet="1" selectLockedCells="1"/>
  <mergeCells count="3">
    <mergeCell ref="A1:H1"/>
    <mergeCell ref="A2:H2"/>
    <mergeCell ref="B5:F5"/>
  </mergeCells>
  <dataValidations disablePrompts="1"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1" sqref="C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Rye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3424057.55</v>
      </c>
      <c r="C9" s="229">
        <f>'DOE25'!G198+'DOE25'!G216+'DOE25'!G234+'DOE25'!G277+'DOE25'!G296+'DOE25'!G315</f>
        <v>1581718.18</v>
      </c>
    </row>
    <row r="10" spans="1:3" x14ac:dyDescent="0.2">
      <c r="A10" t="s">
        <v>775</v>
      </c>
      <c r="B10" s="240">
        <f>1739106.25+1489577.95</f>
        <v>3228684.2</v>
      </c>
      <c r="C10" s="240">
        <v>1554885.9</v>
      </c>
    </row>
    <row r="11" spans="1:3" x14ac:dyDescent="0.2">
      <c r="A11" t="s">
        <v>776</v>
      </c>
      <c r="B11" s="240">
        <f>104262.04+18053.4</f>
        <v>122315.44</v>
      </c>
      <c r="C11" s="240">
        <v>19319.830000000002</v>
      </c>
    </row>
    <row r="12" spans="1:3" x14ac:dyDescent="0.2">
      <c r="A12" t="s">
        <v>777</v>
      </c>
      <c r="B12" s="240">
        <f>29563.19+1892.47+8400+10402.5+4378+9496.13+8925.62</f>
        <v>73057.91</v>
      </c>
      <c r="C12" s="240">
        <v>7512.45</v>
      </c>
    </row>
    <row r="13" spans="1:3" x14ac:dyDescent="0.2">
      <c r="A13" t="str">
        <f>IF(B9=B13,IF(C9=C13,"Check Total OK","Check Total Error"),"Check Total Error")</f>
        <v>Check Total OK</v>
      </c>
      <c r="B13" s="231">
        <f>SUM(B10:B12)</f>
        <v>3424057.5500000003</v>
      </c>
      <c r="C13" s="231">
        <f>SUM(C10:C12)</f>
        <v>1581718.18</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920618.56</v>
      </c>
      <c r="C18" s="229">
        <f>'DOE25'!G199+'DOE25'!G217+'DOE25'!G235+'DOE25'!G278+'DOE25'!G297+'DOE25'!G316</f>
        <v>438886.5</v>
      </c>
    </row>
    <row r="19" spans="1:3" x14ac:dyDescent="0.2">
      <c r="A19" t="s">
        <v>775</v>
      </c>
      <c r="B19" s="240">
        <f>224748+250693+40947.36+41050.8</f>
        <v>557439.16</v>
      </c>
      <c r="C19" s="240">
        <v>299974.12</v>
      </c>
    </row>
    <row r="20" spans="1:3" x14ac:dyDescent="0.2">
      <c r="A20" t="s">
        <v>776</v>
      </c>
      <c r="B20" s="240">
        <f>125708.85+103187.63</f>
        <v>228896.48</v>
      </c>
      <c r="C20" s="240">
        <v>89097.7</v>
      </c>
    </row>
    <row r="21" spans="1:3" x14ac:dyDescent="0.2">
      <c r="A21" t="s">
        <v>777</v>
      </c>
      <c r="B21" s="240">
        <v>134282.92000000001</v>
      </c>
      <c r="C21" s="240">
        <v>49814.68</v>
      </c>
    </row>
    <row r="22" spans="1:3" x14ac:dyDescent="0.2">
      <c r="A22" t="str">
        <f>IF(B18=B22,IF(C18=C22,"Check Total OK","Check Total Error"),"Check Total Error")</f>
        <v>Check Total OK</v>
      </c>
      <c r="B22" s="231">
        <f>SUM(B19:B21)</f>
        <v>920618.56</v>
      </c>
      <c r="C22" s="231">
        <f>SUM(C19:C21)</f>
        <v>438886.5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79856.34</v>
      </c>
      <c r="C36" s="235">
        <f>'DOE25'!G201+'DOE25'!G219+'DOE25'!G237+'DOE25'!G280+'DOE25'!G299+'DOE25'!G318</f>
        <v>18596.489999999998</v>
      </c>
    </row>
    <row r="37" spans="1:3" x14ac:dyDescent="0.2">
      <c r="A37" t="s">
        <v>775</v>
      </c>
      <c r="B37" s="240"/>
      <c r="C37" s="240"/>
    </row>
    <row r="38" spans="1:3" x14ac:dyDescent="0.2">
      <c r="A38" t="s">
        <v>776</v>
      </c>
      <c r="B38" s="240"/>
      <c r="C38" s="240"/>
    </row>
    <row r="39" spans="1:3" x14ac:dyDescent="0.2">
      <c r="A39" t="s">
        <v>777</v>
      </c>
      <c r="B39" s="240">
        <v>79856.34</v>
      </c>
      <c r="C39" s="240">
        <v>18596.490000000002</v>
      </c>
    </row>
    <row r="40" spans="1:3" x14ac:dyDescent="0.2">
      <c r="A40" t="str">
        <f>IF(B36=B40,IF(C36=C40,"Check Total OK","Check Total Error"),"Check Total Error")</f>
        <v>Check Total OK</v>
      </c>
      <c r="B40" s="231">
        <f>SUM(B37:B39)</f>
        <v>79856.34</v>
      </c>
      <c r="C40" s="231">
        <f>SUM(C37:C39)</f>
        <v>18596.490000000002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Rye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10082240.83</v>
      </c>
      <c r="D5" s="20">
        <f>SUM('DOE25'!L198:L201)+SUM('DOE25'!L216:L219)+SUM('DOE25'!L234:L237)-F5-G5-H5</f>
        <v>10060993.65</v>
      </c>
      <c r="E5" s="243"/>
      <c r="F5" s="244"/>
      <c r="G5" s="53">
        <f>SUM('DOE25'!J198:J201)+SUM('DOE25'!J216:J219)+SUM('DOE25'!J234:J237)</f>
        <v>21247.18</v>
      </c>
      <c r="H5" s="53">
        <f>SUM('DOE25'!K198:K201)+SUM('DOE25'!K216:K219)+SUM('DOE25'!K234:K237)</f>
        <v>0</v>
      </c>
      <c r="I5" s="254"/>
    </row>
    <row r="6" spans="1:9" x14ac:dyDescent="0.2">
      <c r="A6" s="32">
        <v>2100</v>
      </c>
      <c r="B6" t="s">
        <v>796</v>
      </c>
      <c r="C6" s="273">
        <f t="shared" si="0"/>
        <v>799580.24</v>
      </c>
      <c r="D6" s="20">
        <f>'DOE25'!L203+'DOE25'!L221+'DOE25'!L239-F6-G6-H6</f>
        <v>798484.34</v>
      </c>
      <c r="E6" s="243"/>
      <c r="F6" s="244"/>
      <c r="G6" s="53">
        <f>'DOE25'!J203+'DOE25'!J221+'DOE25'!J239</f>
        <v>1095.9000000000001</v>
      </c>
      <c r="H6" s="53">
        <f>'DOE25'!K203+'DOE25'!K221+'DOE25'!K239</f>
        <v>0</v>
      </c>
      <c r="I6" s="254"/>
    </row>
    <row r="7" spans="1:9" x14ac:dyDescent="0.2">
      <c r="A7" s="32">
        <v>2200</v>
      </c>
      <c r="B7" t="s">
        <v>821</v>
      </c>
      <c r="C7" s="273">
        <f t="shared" si="0"/>
        <v>485591.42</v>
      </c>
      <c r="D7" s="20">
        <f>'DOE25'!L204+'DOE25'!L222+'DOE25'!L240-F7-G7-H7</f>
        <v>399075.74</v>
      </c>
      <c r="E7" s="243"/>
      <c r="F7" s="244"/>
      <c r="G7" s="53">
        <f>'DOE25'!J204+'DOE25'!J222+'DOE25'!J240</f>
        <v>85957.68</v>
      </c>
      <c r="H7" s="53">
        <f>'DOE25'!K204+'DOE25'!K222+'DOE25'!K240</f>
        <v>558</v>
      </c>
      <c r="I7" s="254"/>
    </row>
    <row r="8" spans="1:9" x14ac:dyDescent="0.2">
      <c r="A8" s="32">
        <v>2300</v>
      </c>
      <c r="B8" t="s">
        <v>797</v>
      </c>
      <c r="C8" s="273">
        <f t="shared" si="0"/>
        <v>771461.95</v>
      </c>
      <c r="D8" s="243"/>
      <c r="E8" s="20">
        <f>'DOE25'!L205+'DOE25'!L223+'DOE25'!L241-F8-G8-H8-D9-D11</f>
        <v>762173.47</v>
      </c>
      <c r="F8" s="244"/>
      <c r="G8" s="53">
        <f>'DOE25'!J205+'DOE25'!J223+'DOE25'!J241</f>
        <v>0</v>
      </c>
      <c r="H8" s="53">
        <f>'DOE25'!K205+'DOE25'!K223+'DOE25'!K241</f>
        <v>9288.48</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585061.36</v>
      </c>
      <c r="D12" s="20">
        <f>'DOE25'!L206+'DOE25'!L224+'DOE25'!L242-F12-G12-H12</f>
        <v>581070.24</v>
      </c>
      <c r="E12" s="243"/>
      <c r="F12" s="244"/>
      <c r="G12" s="53">
        <f>'DOE25'!J206+'DOE25'!J224+'DOE25'!J242</f>
        <v>3146.13</v>
      </c>
      <c r="H12" s="53">
        <f>'DOE25'!K206+'DOE25'!K224+'DOE25'!K242</f>
        <v>844.99</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952900.90999999992</v>
      </c>
      <c r="D14" s="20">
        <f>'DOE25'!L208+'DOE25'!L226+'DOE25'!L244-F14-G14-H14</f>
        <v>901785.90999999992</v>
      </c>
      <c r="E14" s="243"/>
      <c r="F14" s="244"/>
      <c r="G14" s="53">
        <f>'DOE25'!J208+'DOE25'!J226+'DOE25'!J244</f>
        <v>51115</v>
      </c>
      <c r="H14" s="53">
        <f>'DOE25'!K208+'DOE25'!K226+'DOE25'!K244</f>
        <v>0</v>
      </c>
      <c r="I14" s="254"/>
    </row>
    <row r="15" spans="1:9" x14ac:dyDescent="0.2">
      <c r="A15" s="32">
        <v>2700</v>
      </c>
      <c r="B15" t="s">
        <v>799</v>
      </c>
      <c r="C15" s="273">
        <f t="shared" si="0"/>
        <v>321250.59999999998</v>
      </c>
      <c r="D15" s="20">
        <f>'DOE25'!L209+'DOE25'!L227+'DOE25'!L245-F15-G15-H15</f>
        <v>321250.59999999998</v>
      </c>
      <c r="E15" s="243"/>
      <c r="F15" s="244"/>
      <c r="G15" s="53">
        <f>'DOE25'!J209+'DOE25'!J227+'DOE25'!J245</f>
        <v>0</v>
      </c>
      <c r="H15" s="53">
        <f>'DOE25'!K209+'DOE25'!K227+'DOE25'!K245</f>
        <v>0</v>
      </c>
      <c r="I15" s="254"/>
    </row>
    <row r="16" spans="1:9" x14ac:dyDescent="0.2">
      <c r="A16" s="32">
        <v>2800</v>
      </c>
      <c r="B16" t="s">
        <v>800</v>
      </c>
      <c r="C16" s="273">
        <f t="shared" si="0"/>
        <v>14300.529999999999</v>
      </c>
      <c r="D16" s="243"/>
      <c r="E16" s="20">
        <f>'DOE25'!L210+'DOE25'!L228+'DOE25'!L246-F16-G16-H16</f>
        <v>14300.529999999999</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4361</v>
      </c>
      <c r="D22" s="243"/>
      <c r="E22" s="243"/>
      <c r="F22" s="243"/>
      <c r="G22" s="53">
        <f>'DOE25'!L256+'DOE25'!L337</f>
        <v>4361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91317.94</v>
      </c>
      <c r="D29" s="281">
        <f>'DOE25'!L359+'DOE25'!L360+'DOE25'!L361-'DOE25'!I368-F29-G29-H29</f>
        <v>91317.94</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292522.65000000002</v>
      </c>
      <c r="D31" s="20">
        <f>'DOE25'!L291+'DOE25'!L310+'DOE25'!L329+'DOE25'!L334+'DOE25'!L335+'DOE25'!L336-F31-G31-H31</f>
        <v>158822.41999999998</v>
      </c>
      <c r="E31" s="243"/>
      <c r="F31" s="244"/>
      <c r="G31" s="53">
        <f>'DOE25'!J291+'DOE25'!J310+'DOE25'!J329+'DOE25'!J334+'DOE25'!J335+'DOE25'!J336</f>
        <v>24100.230000000003</v>
      </c>
      <c r="H31" s="53">
        <f>'DOE25'!K291+'DOE25'!K310+'DOE25'!K329+'DOE25'!K334+'DOE25'!K335+'DOE25'!K336</f>
        <v>109600</v>
      </c>
      <c r="I31" s="254"/>
    </row>
    <row r="32" spans="1:9" ht="12" thickBot="1" x14ac:dyDescent="0.25">
      <c r="C32" s="274"/>
      <c r="G32" s="249"/>
      <c r="H32" s="249"/>
      <c r="I32" s="256"/>
    </row>
    <row r="33" spans="1:9" ht="12" thickTop="1" x14ac:dyDescent="0.2">
      <c r="B33" t="s">
        <v>809</v>
      </c>
      <c r="D33" s="245">
        <f t="shared" ref="D33:I33" si="1">SUM(D5:D31)</f>
        <v>13312800.84</v>
      </c>
      <c r="E33" s="245">
        <f t="shared" si="1"/>
        <v>776474</v>
      </c>
      <c r="F33" s="245">
        <f t="shared" si="1"/>
        <v>0</v>
      </c>
      <c r="G33" s="245">
        <f t="shared" si="1"/>
        <v>191023.12000000002</v>
      </c>
      <c r="H33" s="245">
        <f t="shared" si="1"/>
        <v>120291.47</v>
      </c>
      <c r="I33" s="245">
        <f t="shared" si="1"/>
        <v>0</v>
      </c>
    </row>
    <row r="35" spans="1:9" ht="12" thickBot="1" x14ac:dyDescent="0.25">
      <c r="B35" s="249" t="s">
        <v>831</v>
      </c>
      <c r="D35" s="250">
        <f>E33</f>
        <v>776474</v>
      </c>
      <c r="E35" s="246"/>
      <c r="F35" s="333" t="s">
        <v>1632</v>
      </c>
      <c r="G35" s="334"/>
      <c r="H35" s="334"/>
      <c r="I35" s="334"/>
    </row>
    <row r="36" spans="1:9" ht="12" thickTop="1" x14ac:dyDescent="0.2">
      <c r="B36" t="s">
        <v>810</v>
      </c>
      <c r="D36" s="20">
        <f>D33</f>
        <v>13312800.84</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Rye School District</v>
      </c>
      <c r="B2" s="126">
        <f>'DOE25'!B2</f>
        <v>471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10957444.539999999</v>
      </c>
      <c r="G4" s="300">
        <f>'DOE25'!L212+'DOE25'!L291</f>
        <v>10957444.539999999</v>
      </c>
      <c r="H4" s="353">
        <f>F4-G4</f>
        <v>0</v>
      </c>
      <c r="I4" s="371" t="str">
        <f>IF(H4=0,"","ISSUES!! Please review page 7 and 11 totals in comparison with total on this page")</f>
        <v/>
      </c>
      <c r="N4"/>
    </row>
    <row r="5" spans="1:18" x14ac:dyDescent="0.2">
      <c r="A5" s="21" t="s">
        <v>1397</v>
      </c>
      <c r="B5" s="301">
        <f>IFERROR(VLOOKUP(A5,'School Tables'!$C$3:$D$365,2,FALSE),"")</f>
        <v>22475</v>
      </c>
      <c r="C5" s="294" t="str">
        <f>IFERROR(INDEX('School Tables'!$B$3:$B$365,MATCH('School Level Expenditures'!B5,'School Tables'!$D$3:$D$365,0)),"")</f>
        <v>Rye</v>
      </c>
      <c r="D5" s="291">
        <f>3471453.15+2081488.63</f>
        <v>5552941.7799999993</v>
      </c>
      <c r="E5" s="291">
        <v>262152.65000000002</v>
      </c>
      <c r="F5" s="304">
        <f>D5+E5</f>
        <v>5815094.4299999997</v>
      </c>
      <c r="G5" s="294"/>
      <c r="H5" s="294"/>
      <c r="I5" s="372"/>
      <c r="N5"/>
    </row>
    <row r="6" spans="1:18" x14ac:dyDescent="0.2">
      <c r="A6" s="21" t="s">
        <v>1396</v>
      </c>
      <c r="B6" s="301">
        <f>IFERROR(VLOOKUP(A6,'School Tables'!$C$3:$D$365,2,FALSE),"")</f>
        <v>22470</v>
      </c>
      <c r="C6" s="294" t="str">
        <f>IFERROR(INDEX('School Tables'!$B$3:$B$365,MATCH('School Level Expenditures'!B6,'School Tables'!$D$3:$D$365,0)),"")</f>
        <v>Rye</v>
      </c>
      <c r="D6" s="291">
        <f>2081488.63+3030491.48</f>
        <v>5111980.1099999994</v>
      </c>
      <c r="E6" s="291">
        <v>30370</v>
      </c>
      <c r="F6" s="304">
        <f t="shared" ref="F6:F20" si="0">D6+E6</f>
        <v>5142350.1099999994</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10664921.889999999</v>
      </c>
      <c r="E21" s="351">
        <f>SUM(E5:E20)</f>
        <v>292522.65000000002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3347465.95</v>
      </c>
      <c r="G36" s="300">
        <f>'DOE25'!L248+'DOE25'!L329</f>
        <v>3347465.95</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3336322.2+11143.75</f>
        <v>3347465.95</v>
      </c>
      <c r="E37" s="291"/>
      <c r="F37" s="304">
        <f t="shared" ref="F37:F42" si="2">D37+E37</f>
        <v>3347465.95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3347465.95</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Rye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1107431.3799999999</v>
      </c>
      <c r="D8" s="95">
        <f>'DOE25'!G9</f>
        <v>91.72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7769.64</v>
      </c>
      <c r="E11" s="95">
        <f>'DOE25'!H12</f>
        <v>27064.31</v>
      </c>
      <c r="F11" s="95">
        <f>'DOE25'!I12</f>
        <v>0</v>
      </c>
      <c r="G11" s="95">
        <f>'DOE25'!J12</f>
        <v>41709.449999999997</v>
      </c>
      <c r="H11" s="124"/>
      <c r="I11" s="124"/>
    </row>
    <row r="12" spans="1:9" x14ac:dyDescent="0.2">
      <c r="A12" s="1" t="s">
        <v>143</v>
      </c>
      <c r="B12" s="6">
        <v>140</v>
      </c>
      <c r="C12" s="95">
        <f>'DOE25'!F13</f>
        <v>0</v>
      </c>
      <c r="D12" s="95">
        <f>'DOE25'!G13</f>
        <v>6300.8</v>
      </c>
      <c r="E12" s="95">
        <f>'DOE25'!H13</f>
        <v>11844.4</v>
      </c>
      <c r="F12" s="95">
        <f>'DOE25'!I13</f>
        <v>0</v>
      </c>
      <c r="G12" s="95">
        <f>'DOE25'!J13</f>
        <v>457125.88</v>
      </c>
      <c r="H12" s="124"/>
      <c r="I12" s="124"/>
    </row>
    <row r="13" spans="1:9" x14ac:dyDescent="0.2">
      <c r="A13" s="1" t="s">
        <v>144</v>
      </c>
      <c r="B13" s="6">
        <v>150</v>
      </c>
      <c r="C13" s="95">
        <f>'DOE25'!F14</f>
        <v>200</v>
      </c>
      <c r="D13" s="95">
        <f>'DOE25'!G14</f>
        <v>615.30999999999995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443.09</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1107631.3799999999</v>
      </c>
      <c r="D18" s="41">
        <f>SUM(D8:D17)</f>
        <v>15220.56</v>
      </c>
      <c r="E18" s="41">
        <f>SUM(E8:E17)</f>
        <v>38908.71</v>
      </c>
      <c r="F18" s="41">
        <f>SUM(F8:F17)</f>
        <v>0</v>
      </c>
      <c r="G18" s="41">
        <f>SUM(G8:G17)</f>
        <v>498835.33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76543.399999999994</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12008.36</v>
      </c>
      <c r="D23" s="95">
        <f>'DOE25'!G24</f>
        <v>0</v>
      </c>
      <c r="E23" s="95">
        <f>'DOE25'!H24</f>
        <v>6977.12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210170.6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14777.47</v>
      </c>
      <c r="E29" s="95">
        <f>'DOE25'!H30</f>
        <v>31931.59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298722.36</v>
      </c>
      <c r="D31" s="41">
        <f>SUM(D21:D30)</f>
        <v>14777.47</v>
      </c>
      <c r="E31" s="41">
        <f>SUM(E21:E30)</f>
        <v>38908.71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443.09</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164250.57999999999</v>
      </c>
      <c r="D44" s="95">
        <f>'DOE25'!G45</f>
        <v>0</v>
      </c>
      <c r="E44" s="95">
        <f>'DOE25'!H45</f>
        <v>0</v>
      </c>
      <c r="F44" s="95">
        <f>'DOE25'!I45</f>
        <v>0</v>
      </c>
      <c r="G44" s="95">
        <f>'DOE25'!J45</f>
        <v>0</v>
      </c>
      <c r="H44" s="124"/>
      <c r="I44" s="124"/>
    </row>
    <row r="45" spans="1:9" x14ac:dyDescent="0.2">
      <c r="A45" s="1" t="s">
        <v>880</v>
      </c>
      <c r="B45" s="6"/>
      <c r="C45" s="95">
        <f>'DOE25'!F46</f>
        <v>335775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498835.33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258883.44</v>
      </c>
      <c r="D49" s="24" t="s">
        <v>288</v>
      </c>
      <c r="E49" s="24" t="s">
        <v>288</v>
      </c>
      <c r="F49" s="24" t="s">
        <v>288</v>
      </c>
      <c r="G49" s="24" t="s">
        <v>288</v>
      </c>
      <c r="H49" s="124"/>
      <c r="I49" s="124"/>
    </row>
    <row r="50" spans="1:9" ht="12.75" thickTop="1" thickBot="1" x14ac:dyDescent="0.25">
      <c r="A50" s="38" t="s">
        <v>884</v>
      </c>
      <c r="B50" s="48"/>
      <c r="C50" s="41">
        <f>SUM(C34:C49)</f>
        <v>808909.02</v>
      </c>
      <c r="D50" s="41">
        <f>SUM(D34:D49)</f>
        <v>443.09</v>
      </c>
      <c r="E50" s="41">
        <f>SUM(E34:E49)</f>
        <v>0</v>
      </c>
      <c r="F50" s="41">
        <f>SUM(F34:F49)</f>
        <v>0</v>
      </c>
      <c r="G50" s="41">
        <f>SUM(G34:G49)</f>
        <v>498835.33</v>
      </c>
      <c r="H50" s="124"/>
      <c r="I50" s="124"/>
    </row>
    <row r="51" spans="1:9" ht="12" thickTop="1" x14ac:dyDescent="0.2">
      <c r="A51" s="38" t="s">
        <v>885</v>
      </c>
      <c r="B51" s="2"/>
      <c r="C51" s="41">
        <f>C50+C31</f>
        <v>1107631.3799999999</v>
      </c>
      <c r="D51" s="41">
        <f>D50+D31</f>
        <v>15220.56</v>
      </c>
      <c r="E51" s="41">
        <f>E50+E31</f>
        <v>38908.71</v>
      </c>
      <c r="F51" s="41">
        <f>F50+F31</f>
        <v>0</v>
      </c>
      <c r="G51" s="41">
        <f>G50+G31</f>
        <v>498835.33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8490349</v>
      </c>
      <c r="D56" s="95">
        <f>'DOE25'!G60</f>
        <v>0</v>
      </c>
      <c r="E56" s="95">
        <f>'DOE25'!H60</f>
        <v>0</v>
      </c>
      <c r="F56" s="95">
        <f>'DOE25'!I60</f>
        <v>0</v>
      </c>
      <c r="G56" s="95">
        <f>'DOE25'!J60</f>
        <v>0</v>
      </c>
      <c r="H56"/>
      <c r="I56"/>
    </row>
    <row r="57" spans="1:9" x14ac:dyDescent="0.2">
      <c r="A57" s="1" t="s">
        <v>164</v>
      </c>
      <c r="B57" s="6" t="s">
        <v>165</v>
      </c>
      <c r="C57" s="95">
        <f>'DOE25'!F79</f>
        <v>92670.720000000001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3662.64</v>
      </c>
      <c r="D59" s="95">
        <f>'DOE25'!G96</f>
        <v>1.42</v>
      </c>
      <c r="E59" s="95">
        <f>'DOE25'!H96</f>
        <v>0</v>
      </c>
      <c r="F59" s="95">
        <f>'DOE25'!I96</f>
        <v>0</v>
      </c>
      <c r="G59" s="95">
        <f>'DOE25'!J96</f>
        <v>200.3</v>
      </c>
      <c r="H59"/>
      <c r="I59"/>
    </row>
    <row r="60" spans="1:9" x14ac:dyDescent="0.2">
      <c r="A60" s="1" t="s">
        <v>170</v>
      </c>
      <c r="B60" s="118" t="s">
        <v>171</v>
      </c>
      <c r="C60" s="24" t="s">
        <v>288</v>
      </c>
      <c r="D60" s="95">
        <f>'DOE25'!G97</f>
        <v>7814.8</v>
      </c>
      <c r="E60" s="24" t="s">
        <v>288</v>
      </c>
      <c r="F60" s="24" t="s">
        <v>288</v>
      </c>
      <c r="G60" s="24" t="s">
        <v>288</v>
      </c>
      <c r="H60"/>
      <c r="I60"/>
    </row>
    <row r="61" spans="1:9" ht="12" thickBot="1" x14ac:dyDescent="0.25">
      <c r="A61" s="1" t="s">
        <v>172</v>
      </c>
      <c r="B61" s="118" t="s">
        <v>173</v>
      </c>
      <c r="C61" s="95">
        <f>SUM('DOE25'!F98:F110)</f>
        <v>208489.16</v>
      </c>
      <c r="D61" s="95">
        <f>SUM('DOE25'!G98:G110)</f>
        <v>0</v>
      </c>
      <c r="E61" s="95">
        <f>SUM('DOE25'!H98:H110)</f>
        <v>49224.24</v>
      </c>
      <c r="F61" s="95">
        <f>SUM('DOE25'!I98:I110)</f>
        <v>0</v>
      </c>
      <c r="G61" s="95">
        <f>SUM('DOE25'!J98:J110)</f>
        <v>0</v>
      </c>
      <c r="H61"/>
      <c r="I61"/>
    </row>
    <row r="62" spans="1:9" ht="12.75" thickTop="1" thickBot="1" x14ac:dyDescent="0.25">
      <c r="A62" s="29" t="s">
        <v>174</v>
      </c>
      <c r="B62" s="6"/>
      <c r="C62" s="130">
        <f>SUM(C57:C61)</f>
        <v>304822.52</v>
      </c>
      <c r="D62" s="130">
        <f>SUM(D57:D61)</f>
        <v>7816.22</v>
      </c>
      <c r="E62" s="130">
        <f>SUM(E57:E61)</f>
        <v>49224.24</v>
      </c>
      <c r="F62" s="130">
        <f>SUM(F57:F61)</f>
        <v>0</v>
      </c>
      <c r="G62" s="130">
        <f>SUM(G57:G61)</f>
        <v>200.3</v>
      </c>
      <c r="H62"/>
      <c r="I62"/>
    </row>
    <row r="63" spans="1:9" ht="12" thickTop="1" x14ac:dyDescent="0.2">
      <c r="A63" s="29" t="s">
        <v>175</v>
      </c>
      <c r="B63" s="6"/>
      <c r="C63" s="22">
        <f>C56+C62</f>
        <v>8795171.5199999996</v>
      </c>
      <c r="D63" s="22">
        <f>D56+D62</f>
        <v>7816.22</v>
      </c>
      <c r="E63" s="22">
        <f>E56+E62</f>
        <v>49224.24</v>
      </c>
      <c r="F63" s="22">
        <f>F56+F62</f>
        <v>0</v>
      </c>
      <c r="G63" s="22">
        <f>G56+G62</f>
        <v>200.3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4940674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4940674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1704.46</v>
      </c>
      <c r="E77" s="95">
        <f>SUM('DOE25'!H131:H135)</f>
        <v>0</v>
      </c>
      <c r="F77" s="95">
        <f>SUM('DOE25'!I131:I135)</f>
        <v>0</v>
      </c>
      <c r="G77" s="95">
        <f>SUM('DOE25'!J131:J135)</f>
        <v>0</v>
      </c>
      <c r="H77"/>
      <c r="I77"/>
    </row>
    <row r="78" spans="1:9" ht="12.75" thickTop="1" thickBot="1" x14ac:dyDescent="0.25">
      <c r="A78" s="29" t="s">
        <v>259</v>
      </c>
      <c r="B78" s="6"/>
      <c r="C78" s="130">
        <f>SUM(C72:C77)</f>
        <v>0</v>
      </c>
      <c r="D78" s="130">
        <f>SUM(D72:D77)</f>
        <v>1704.46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4940674</v>
      </c>
      <c r="D81" s="130">
        <f>SUM(D79:D80)+D78+D70</f>
        <v>1704.46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61.94</v>
      </c>
      <c r="D88" s="331">
        <f>SUM('DOE25'!G153:G162)</f>
        <v>78271.100000000006</v>
      </c>
      <c r="E88" s="331">
        <f>SUM('DOE25'!H153:H162)</f>
        <v>243298.41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61.94</v>
      </c>
      <c r="D91" s="131">
        <f>SUM(D85:D90)</f>
        <v>78271.100000000006</v>
      </c>
      <c r="E91" s="131">
        <f>SUM(E85:E90)</f>
        <v>243298.41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36219.17</v>
      </c>
      <c r="E96" s="95">
        <f>'DOE25'!H180</f>
        <v>0</v>
      </c>
      <c r="F96" s="95">
        <f>'DOE25'!I180</f>
        <v>0</v>
      </c>
      <c r="G96" s="95">
        <f>'DOE25'!J180</f>
        <v>150000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36219.17</v>
      </c>
      <c r="E103" s="86">
        <f>SUM(E93:E102)</f>
        <v>0</v>
      </c>
      <c r="F103" s="86">
        <f>SUM(F93:F102)</f>
        <v>0</v>
      </c>
      <c r="G103" s="86">
        <f>SUM(G93:G102)</f>
        <v>150000</v>
      </c>
    </row>
    <row r="104" spans="1:7" ht="12.75" thickTop="1" thickBot="1" x14ac:dyDescent="0.25">
      <c r="A104" s="33" t="s">
        <v>761</v>
      </c>
      <c r="C104" s="86">
        <f>C63+C81+C91+C103</f>
        <v>13735907.459999999</v>
      </c>
      <c r="D104" s="86">
        <f>D63+D81+D91+D103</f>
        <v>124010.95</v>
      </c>
      <c r="E104" s="86">
        <f>E63+E81+E91+E103</f>
        <v>292522.65000000002</v>
      </c>
      <c r="F104" s="86">
        <f>F63+F81+F91+F103</f>
        <v>0</v>
      </c>
      <c r="G104" s="86">
        <f>G63+G81+G103</f>
        <v>150200.29999999999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8394892.1700000018</v>
      </c>
      <c r="D109" s="24" t="s">
        <v>288</v>
      </c>
      <c r="E109" s="95">
        <f>('DOE25'!L277)+('DOE25'!L296)+('DOE25'!L315)</f>
        <v>194042.03999999998</v>
      </c>
      <c r="F109" s="24" t="s">
        <v>288</v>
      </c>
      <c r="G109" s="24" t="s">
        <v>288</v>
      </c>
    </row>
    <row r="110" spans="1:7" x14ac:dyDescent="0.2">
      <c r="A110" t="s">
        <v>198</v>
      </c>
      <c r="B110" s="32" t="s">
        <v>199</v>
      </c>
      <c r="C110" s="95">
        <f>('DOE25'!L199)+('DOE25'!L217)+('DOE25'!L235)</f>
        <v>1564402.39</v>
      </c>
      <c r="D110" s="24" t="s">
        <v>288</v>
      </c>
      <c r="E110" s="95">
        <f>('DOE25'!L278)+('DOE25'!L297)+('DOE25'!L316)</f>
        <v>98480.609999999986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122946.26999999999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10082240.830000002</v>
      </c>
      <c r="D115" s="86">
        <f>SUM(D109:D114)</f>
        <v>0</v>
      </c>
      <c r="E115" s="86">
        <f>SUM(E109:E114)</f>
        <v>292522.64999999997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799580.24</v>
      </c>
      <c r="D118" s="24" t="s">
        <v>288</v>
      </c>
      <c r="E118" s="95">
        <f>+('DOE25'!L282)+('DOE25'!L301)+('DOE25'!L320)</f>
        <v>0</v>
      </c>
      <c r="F118" s="24" t="s">
        <v>288</v>
      </c>
      <c r="G118" s="24" t="s">
        <v>288</v>
      </c>
    </row>
    <row r="119" spans="1:7" x14ac:dyDescent="0.2">
      <c r="A119" t="s">
        <v>208</v>
      </c>
      <c r="B119" s="32" t="s">
        <v>209</v>
      </c>
      <c r="C119" s="95">
        <f>('DOE25'!L204)+('DOE25'!L222)+('DOE25'!L240)</f>
        <v>485591.42</v>
      </c>
      <c r="D119" s="24" t="s">
        <v>288</v>
      </c>
      <c r="E119" s="95">
        <f>+('DOE25'!L283)+('DOE25'!L302)+('DOE25'!L321)</f>
        <v>0</v>
      </c>
      <c r="F119" s="24" t="s">
        <v>288</v>
      </c>
      <c r="G119" s="24" t="s">
        <v>288</v>
      </c>
    </row>
    <row r="120" spans="1:7" x14ac:dyDescent="0.2">
      <c r="A120" t="s">
        <v>210</v>
      </c>
      <c r="B120" s="32" t="s">
        <v>211</v>
      </c>
      <c r="C120" s="95">
        <f>('DOE25'!L205)+('DOE25'!L223)+('DOE25'!L241)</f>
        <v>771461.95</v>
      </c>
      <c r="D120" s="24" t="s">
        <v>288</v>
      </c>
      <c r="E120" s="95">
        <f>+('DOE25'!L284)+('DOE25'!L303)+('DOE25'!L322)</f>
        <v>0</v>
      </c>
      <c r="F120" s="24" t="s">
        <v>288</v>
      </c>
      <c r="G120" s="24" t="s">
        <v>288</v>
      </c>
    </row>
    <row r="121" spans="1:7" x14ac:dyDescent="0.2">
      <c r="A121" t="s">
        <v>212</v>
      </c>
      <c r="B121" s="32" t="s">
        <v>213</v>
      </c>
      <c r="C121" s="95">
        <f>('DOE25'!L206)+('DOE25'!L224)+('DOE25'!L242)</f>
        <v>585061.36</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952900.90999999992</v>
      </c>
      <c r="D123" s="24" t="s">
        <v>288</v>
      </c>
      <c r="E123" s="95">
        <f>+('DOE25'!L287)+('DOE25'!L306)+('DOE25'!L325)</f>
        <v>0</v>
      </c>
      <c r="F123" s="24" t="s">
        <v>288</v>
      </c>
      <c r="G123" s="24" t="s">
        <v>288</v>
      </c>
    </row>
    <row r="124" spans="1:7" x14ac:dyDescent="0.2">
      <c r="A124" t="s">
        <v>218</v>
      </c>
      <c r="B124" s="32" t="s">
        <v>219</v>
      </c>
      <c r="C124" s="95">
        <f>('DOE25'!L209)+('DOE25'!L227)+('DOE25'!L245+'DOE25'!L255)</f>
        <v>321250.59999999998</v>
      </c>
      <c r="D124" s="24" t="s">
        <v>288</v>
      </c>
      <c r="E124" s="95">
        <f>+('DOE25'!L288)+('DOE25'!L307)+('DOE25'!L326)</f>
        <v>0</v>
      </c>
      <c r="F124" s="24" t="s">
        <v>288</v>
      </c>
      <c r="G124" s="24" t="s">
        <v>288</v>
      </c>
    </row>
    <row r="125" spans="1:7" x14ac:dyDescent="0.2">
      <c r="A125" t="s">
        <v>220</v>
      </c>
      <c r="B125" s="32" t="s">
        <v>221</v>
      </c>
      <c r="C125" s="95">
        <f>('DOE25'!L210)+('DOE25'!L228)+('DOE25'!L246)</f>
        <v>14300.529999999999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124311.9</v>
      </c>
      <c r="E127" s="24" t="s">
        <v>288</v>
      </c>
      <c r="F127" s="24" t="s">
        <v>288</v>
      </c>
      <c r="G127" s="24" t="s">
        <v>288</v>
      </c>
    </row>
    <row r="128" spans="1:7" ht="12.75" thickTop="1" thickBot="1" x14ac:dyDescent="0.25">
      <c r="A128" s="33" t="s">
        <v>226</v>
      </c>
      <c r="C128" s="86">
        <f>SUM(C118:C127)</f>
        <v>3930147.01</v>
      </c>
      <c r="D128" s="86">
        <f>SUM(D118:D127)</f>
        <v>124311.9</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4361</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36219.17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150200.29999999999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-200.29999999998836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190580.16999999998</v>
      </c>
      <c r="D144" s="141">
        <f>SUM(D130:D143)</f>
        <v>0</v>
      </c>
      <c r="E144" s="141">
        <f>SUM(E130:E143)</f>
        <v>0</v>
      </c>
      <c r="F144" s="141">
        <f>SUM(F130:F143)</f>
        <v>0</v>
      </c>
      <c r="G144" s="141">
        <f>SUM(G130:G143)</f>
        <v>0</v>
      </c>
    </row>
    <row r="145" spans="1:9" ht="12.75" thickTop="1" thickBot="1" x14ac:dyDescent="0.25">
      <c r="A145" s="33" t="s">
        <v>244</v>
      </c>
      <c r="C145" s="86">
        <f>(C115+C128+C144)</f>
        <v>14202968.010000002</v>
      </c>
      <c r="D145" s="86">
        <f>(D115+D128+D144)</f>
        <v>124311.9</v>
      </c>
      <c r="E145" s="86">
        <f>(E115+E128+E144)</f>
        <v>292522.64999999997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Rye School District</v>
      </c>
    </row>
    <row r="3" spans="1:4" x14ac:dyDescent="0.2">
      <c r="B3" s="188" t="s">
        <v>1666</v>
      </c>
    </row>
    <row r="4" spans="1:4" x14ac:dyDescent="0.2">
      <c r="B4" t="s">
        <v>61</v>
      </c>
      <c r="C4" s="179">
        <f>IF('DOE25'!F666+'DOE25'!F671=0,0,ROUND('DOE25'!F673,0))</f>
        <v>28865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28865</v>
      </c>
    </row>
    <row r="9" spans="1:4" x14ac:dyDescent="0.2">
      <c r="A9" s="187" t="s">
        <v>94</v>
      </c>
      <c r="B9" s="188" t="s">
        <v>1671</v>
      </c>
      <c r="C9" s="181" t="s">
        <v>720</v>
      </c>
      <c r="D9" s="181" t="s">
        <v>721</v>
      </c>
    </row>
    <row r="10" spans="1:4" x14ac:dyDescent="0.2">
      <c r="A10">
        <v>1100</v>
      </c>
      <c r="B10" t="s">
        <v>702</v>
      </c>
      <c r="C10" s="179">
        <f>ROUND('DOE25'!L198+'DOE25'!L216+'DOE25'!L234+'DOE25'!L277+'DOE25'!L296+'DOE25'!L315,0)</f>
        <v>8588934</v>
      </c>
      <c r="D10" s="182">
        <f>ROUND((C10/$C$28)*100,1)</f>
        <v>59.6</v>
      </c>
    </row>
    <row r="11" spans="1:4" x14ac:dyDescent="0.2">
      <c r="A11">
        <v>1200</v>
      </c>
      <c r="B11" t="s">
        <v>703</v>
      </c>
      <c r="C11" s="179">
        <f>ROUND('DOE25'!L199+'DOE25'!L217+'DOE25'!L235+'DOE25'!L278+'DOE25'!L297+'DOE25'!L316,0)</f>
        <v>1662883</v>
      </c>
      <c r="D11" s="182">
        <f>ROUND((C11/$C$28)*100,1)</f>
        <v>11.5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122946</v>
      </c>
      <c r="D13" s="182">
        <f>ROUND((C13/$C$28)*100,1)</f>
        <v>0.9</v>
      </c>
    </row>
    <row r="14" spans="1:4" x14ac:dyDescent="0.2">
      <c r="D14" s="182"/>
    </row>
    <row r="15" spans="1:4" x14ac:dyDescent="0.2">
      <c r="A15">
        <v>2100</v>
      </c>
      <c r="B15" t="s">
        <v>706</v>
      </c>
      <c r="C15" s="179">
        <f>ROUND('DOE25'!L203+'DOE25'!L221+'DOE25'!L239+'DOE25'!L282+'DOE25'!L301+'DOE25'!L320,0)</f>
        <v>799580</v>
      </c>
      <c r="D15" s="182">
        <f t="shared" ref="D15:D27" si="0">ROUND((C15/$C$28)*100,1)</f>
        <v>5.5</v>
      </c>
    </row>
    <row r="16" spans="1:4" x14ac:dyDescent="0.2">
      <c r="A16">
        <v>2200</v>
      </c>
      <c r="B16" t="s">
        <v>707</v>
      </c>
      <c r="C16" s="179">
        <f>ROUND('DOE25'!L204+'DOE25'!L222+'DOE25'!L240+'DOE25'!L283+'DOE25'!L302+'DOE25'!L321,0)</f>
        <v>485591</v>
      </c>
      <c r="D16" s="182">
        <f t="shared" si="0"/>
        <v>3.4</v>
      </c>
    </row>
    <row r="17" spans="1:4" x14ac:dyDescent="0.2">
      <c r="A17" s="183" t="s">
        <v>723</v>
      </c>
      <c r="B17" t="s">
        <v>738</v>
      </c>
      <c r="C17" s="179">
        <f>ROUND('DOE25'!L205+'DOE25'!L210+'DOE25'!L223+'DOE25'!L228+'DOE25'!L241+'DOE25'!L246+'DOE25'!L284+'DOE25'!L289+'DOE25'!L303+'DOE25'!L308+'DOE25'!L322+'DOE25'!L327,0)</f>
        <v>785762</v>
      </c>
      <c r="D17" s="182">
        <f t="shared" si="0"/>
        <v>5.4</v>
      </c>
    </row>
    <row r="18" spans="1:4" x14ac:dyDescent="0.2">
      <c r="A18">
        <v>2400</v>
      </c>
      <c r="B18" t="s">
        <v>711</v>
      </c>
      <c r="C18" s="179">
        <f>ROUND('DOE25'!L206+'DOE25'!L224+'DOE25'!L242+'DOE25'!L285+'DOE25'!L304+'DOE25'!L323,0)</f>
        <v>585061</v>
      </c>
      <c r="D18" s="182">
        <f t="shared" si="0"/>
        <v>4.0999999999999996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952901</v>
      </c>
      <c r="D20" s="182">
        <f t="shared" si="0"/>
        <v>6.6</v>
      </c>
    </row>
    <row r="21" spans="1:4" x14ac:dyDescent="0.2">
      <c r="A21">
        <v>2700</v>
      </c>
      <c r="B21" t="s">
        <v>710</v>
      </c>
      <c r="C21" s="179">
        <f>ROUND('DOE25'!L209+'DOE25'!L227+'DOE25'!L245+'DOE25'!L288+'DOE25'!L307+'DOE25'!L326,0)</f>
        <v>321251</v>
      </c>
      <c r="D21" s="182">
        <f t="shared" si="0"/>
        <v>2.2000000000000002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116497.2</v>
      </c>
      <c r="D27" s="182">
        <f t="shared" si="0"/>
        <v>0.8</v>
      </c>
    </row>
    <row r="28" spans="1:4" x14ac:dyDescent="0.2">
      <c r="B28" s="187" t="s">
        <v>719</v>
      </c>
      <c r="C28" s="180">
        <f>SUM(C10:C27)</f>
        <v>14421406.199999999</v>
      </c>
      <c r="D28" s="184">
        <f>ROUND(SUM(D10:D27),0)</f>
        <v>100</v>
      </c>
    </row>
    <row r="29" spans="1:4" x14ac:dyDescent="0.2">
      <c r="A29">
        <v>4000</v>
      </c>
      <c r="B29" t="s">
        <v>724</v>
      </c>
      <c r="C29" s="179">
        <f>ROUND('DOE25'!L256+'DOE25'!L337+'DOE25'!L375+'DOE25'!L376+'DOE25'!L377+'DOE25'!L378+'DOE25'!L379+'DOE25'!L380+'DOE25'!L381,0)</f>
        <v>4361</v>
      </c>
    </row>
    <row r="30" spans="1:4" x14ac:dyDescent="0.2">
      <c r="B30" s="187" t="s">
        <v>725</v>
      </c>
      <c r="C30" s="180">
        <f>SUM(C28:C29)</f>
        <v>14425767.199999999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8490349</v>
      </c>
      <c r="D35" s="182">
        <f t="shared" ref="D35:D40" si="1">ROUND((C35/$C$41)*100,1)</f>
        <v>60.2</v>
      </c>
    </row>
    <row r="36" spans="1:4" x14ac:dyDescent="0.2">
      <c r="B36" s="185" t="s">
        <v>739</v>
      </c>
      <c r="C36" s="179">
        <f>SUM('DOE25'!F112:J112)-SUM('DOE25'!G97:G110)+('DOE25'!F175+'DOE25'!F176+'DOE25'!I175+'DOE25'!I176)-C35</f>
        <v>354248.48000000231</v>
      </c>
      <c r="D36" s="182">
        <f t="shared" si="1"/>
        <v>2.5</v>
      </c>
    </row>
    <row r="37" spans="1:4" x14ac:dyDescent="0.2">
      <c r="A37" s="183" t="s">
        <v>835</v>
      </c>
      <c r="B37" s="185" t="s">
        <v>728</v>
      </c>
      <c r="C37" s="179">
        <f>ROUND('DOE25'!F117+'DOE25'!F118,0)</f>
        <v>4940674</v>
      </c>
      <c r="D37" s="182">
        <f t="shared" si="1"/>
        <v>35</v>
      </c>
    </row>
    <row r="38" spans="1:4" x14ac:dyDescent="0.2">
      <c r="A38" s="183" t="s">
        <v>734</v>
      </c>
      <c r="B38" s="185" t="s">
        <v>729</v>
      </c>
      <c r="C38" s="179">
        <f>ROUND(SUM('DOE25'!F140:J140)-SUM('DOE25'!F117:F119),0)</f>
        <v>1704</v>
      </c>
      <c r="D38" s="182">
        <f t="shared" si="1"/>
        <v>0</v>
      </c>
    </row>
    <row r="39" spans="1:4" x14ac:dyDescent="0.2">
      <c r="A39">
        <v>4000</v>
      </c>
      <c r="B39" s="185" t="s">
        <v>730</v>
      </c>
      <c r="C39" s="179">
        <f>ROUND('DOE25'!F170+'DOE25'!G170+'DOE25'!H170+'DOE25'!I170,0)</f>
        <v>321631</v>
      </c>
      <c r="D39" s="182">
        <f t="shared" si="1"/>
        <v>2.2999999999999998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14108606.480000002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6" sqref="C16:M16"/>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Rye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t="s">
        <v>1673</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2021-09-01T16:40:36Z</cp:lastPrinted>
  <dcterms:created xsi:type="dcterms:W3CDTF">1997-12-04T19:04:30Z</dcterms:created>
  <dcterms:modified xsi:type="dcterms:W3CDTF">2021-12-09T13:36:44Z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