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510" yWindow="0" windowWidth="19575" windowHeight="7035"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527" i="1" l="1"/>
  <c r="H529" i="1"/>
  <c r="H528" i="1"/>
  <c r="G529" i="1"/>
  <c r="G527" i="1"/>
  <c r="G532" i="1"/>
  <c r="G533" i="1"/>
  <c r="G534" i="1"/>
  <c r="H539" i="1"/>
  <c r="H538" i="1"/>
  <c r="F534" i="1"/>
  <c r="H534" i="1"/>
  <c r="I534" i="1"/>
  <c r="J534" i="1"/>
  <c r="J533" i="1"/>
  <c r="I533" i="1"/>
  <c r="H533" i="1"/>
  <c r="F533" i="1"/>
  <c r="J532" i="1"/>
  <c r="I532" i="1"/>
  <c r="H532" i="1"/>
  <c r="F532" i="1"/>
  <c r="H537" i="1"/>
  <c r="E24" i="17" l="1"/>
  <c r="F581" i="1" l="1"/>
  <c r="H583" i="1"/>
  <c r="F583" i="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s="1"/>
  <c r="G147" i="1"/>
  <c r="H147" i="1"/>
  <c r="H170" i="1" s="1"/>
  <c r="I147" i="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G62" i="2"/>
  <c r="I170" i="1"/>
  <c r="J652" i="1" l="1"/>
  <c r="G477" i="1"/>
  <c r="H624" i="1" s="1"/>
  <c r="J624" i="1" s="1"/>
  <c r="H477" i="1"/>
  <c r="H625" i="1" s="1"/>
  <c r="J625" i="1" s="1"/>
  <c r="G662" i="1"/>
  <c r="K339" i="1"/>
  <c r="K353" i="1" s="1"/>
  <c r="H663" i="1"/>
  <c r="C12" i="10"/>
  <c r="D15" i="13"/>
  <c r="C15" i="13" s="1"/>
  <c r="C110" i="2"/>
  <c r="C119" i="2"/>
  <c r="C112" i="2"/>
  <c r="C121" i="2"/>
  <c r="C120" i="2"/>
  <c r="C13" i="10"/>
  <c r="A40" i="12"/>
  <c r="E123" i="2"/>
  <c r="E110" i="2"/>
  <c r="H409" i="1"/>
  <c r="H645" i="1" s="1"/>
  <c r="J645" i="1" s="1"/>
  <c r="J572" i="1"/>
  <c r="G553" i="1"/>
  <c r="J258" i="1"/>
  <c r="E119" i="2"/>
  <c r="D6" i="13"/>
  <c r="C6" i="13" s="1"/>
  <c r="E13" i="13"/>
  <c r="C13" i="13" s="1"/>
  <c r="G339" i="1"/>
  <c r="G353" i="1" s="1"/>
  <c r="F258" i="1"/>
  <c r="F272" i="1" s="1"/>
  <c r="C20" i="10"/>
  <c r="I370" i="1"/>
  <c r="H635" i="1" s="1"/>
  <c r="L257" i="1"/>
  <c r="H193" i="1"/>
  <c r="H194" i="1" s="1"/>
  <c r="G630" i="1" s="1"/>
  <c r="J630" i="1" s="1"/>
  <c r="C11" i="10"/>
  <c r="A31" i="12"/>
  <c r="E114" i="2"/>
  <c r="E85" i="2"/>
  <c r="E91" i="2" s="1"/>
  <c r="H112" i="1"/>
  <c r="L402" i="1"/>
  <c r="C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35" i="1"/>
  <c r="G626" i="1"/>
  <c r="L530" i="1"/>
  <c r="H546" i="1"/>
  <c r="G164" i="2"/>
  <c r="G161" i="2"/>
  <c r="G157" i="2"/>
  <c r="G156" i="2"/>
  <c r="G81" i="2"/>
  <c r="C78" i="2"/>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F194" i="1" s="1"/>
  <c r="G63" i="2"/>
  <c r="J619" i="1"/>
  <c r="G42" i="2"/>
  <c r="G50" i="2" s="1"/>
  <c r="J51" i="1"/>
  <c r="G16" i="2"/>
  <c r="G18" i="2" s="1"/>
  <c r="J19" i="1"/>
  <c r="G622" i="1" s="1"/>
  <c r="F546" i="1"/>
  <c r="H435" i="1"/>
  <c r="D103" i="2"/>
  <c r="I140" i="1"/>
  <c r="A22" i="12"/>
  <c r="J653" i="1"/>
  <c r="G572" i="1"/>
  <c r="I435" i="1"/>
  <c r="G435" i="1"/>
  <c r="I664" i="1"/>
  <c r="B33" i="16" l="1"/>
  <c r="C141" i="2"/>
  <c r="G24" i="14"/>
  <c r="H24" i="14" s="1"/>
  <c r="I24" i="14" s="1"/>
  <c r="H649" i="1"/>
  <c r="J649" i="1" s="1"/>
  <c r="E128" i="2"/>
  <c r="E115" i="2"/>
  <c r="F661" i="1"/>
  <c r="F665" i="1" s="1"/>
  <c r="F668" i="1" s="1"/>
  <c r="J272" i="1"/>
  <c r="E51" i="2"/>
  <c r="H661" i="1"/>
  <c r="H665" i="1" s="1"/>
  <c r="H668" i="1"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E145" i="2"/>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<sst xmlns="http://schemas.openxmlformats.org/spreadsheetml/2006/main" count="5577" uniqueCount="1675">
  <si>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</si>
  <si>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</si>
  <si>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</si>
  <si>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</si>
  <si>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</si>
  <si>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</si>
  <si>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</si>
  <si>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</si>
  <si>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</si>
  <si>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</si>
  <si>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</si>
  <si>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</si>
  <si>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</si>
  <si>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</si>
  <si>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</si>
  <si>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</si>
  <si>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</si>
  <si>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</si>
  <si>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</si>
  <si>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</si>
  <si>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</si>
  <si>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</si>
  <si>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</si>
  <si>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</si>
  <si>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</si>
  <si>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</si>
  <si>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</si>
  <si>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</si>
  <si>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</si>
  <si>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</si>
  <si>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</si>
  <si>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</si>
  <si>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</si>
  <si>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</si>
  <si>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</si>
  <si>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</si>
  <si>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</si>
  <si>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</si>
  <si>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</si>
  <si>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</si>
  <si>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</si>
  <si>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</si>
  <si>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</si>
  <si>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</si>
  <si>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</si>
  <si>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</si>
  <si>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</si>
  <si>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</si>
  <si>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</si>
  <si>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</si>
  <si>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</si>
  <si>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</si>
  <si>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</si>
  <si>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</si>
  <si>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</si>
  <si>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</si>
  <si>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</si>
  <si>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</si>
  <si>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</si>
  <si>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</si>
  <si>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</si>
  <si>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</si>
  <si>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</si>
  <si>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</si>
  <si>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</si>
  <si>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</si>
  <si>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</si>
  <si>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</si>
  <si>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</si>
  <si>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</si>
  <si>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</si>
  <si>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</si>
  <si>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</si>
  <si>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</si>
  <si>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</si>
  <si>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</si>
  <si>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</si>
  <si>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</si>
  <si>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</si>
  <si>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</si>
  <si>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</si>
  <si>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</si>
  <si>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</si>
  <si>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</si>
  <si>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</si>
  <si>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</si>
  <si>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</si>
  <si>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</si>
  <si>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</si>
  <si>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</si>
  <si>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</si>
  <si>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</si>
  <si>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</si>
  <si>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</si>
  <si>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</si>
  <si>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</si>
  <si>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</si>
  <si>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</si>
  <si>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</si>
  <si>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</si>
  <si>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</si>
  <si>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</si>
  <si>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</si>
  <si>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</si>
  <si>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</si>
  <si>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</si>
  <si>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</si>
  <si>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</si>
  <si>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</si>
  <si>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</si>
  <si>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</si>
  <si>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</si>
  <si>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</si>
  <si>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</si>
  <si>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</si>
  <si>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</si>
  <si>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</si>
  <si>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</si>
  <si>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</si>
  <si>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</si>
  <si>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</si>
  <si>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</si>
  <si>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</si>
  <si>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</si>
  <si>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</si>
  <si>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</si>
  <si>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</si>
  <si>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</si>
  <si>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</si>
  <si>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</si>
  <si>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</si>
  <si>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</si>
  <si>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</si>
  <si>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</si>
  <si>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</si>
  <si>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</si>
  <si>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</si>
  <si>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</si>
  <si>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</si>
  <si>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</si>
  <si>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</si>
  <si>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</si>
  <si>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</si>
  <si>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</si>
  <si>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</si>
  <si>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</si>
  <si>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</si>
  <si>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</si>
  <si>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</si>
  <si>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</si>
  <si>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</si>
  <si>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</si>
  <si>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</si>
  <si>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</si>
  <si>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</si>
  <si>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</si>
  <si>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</si>
  <si>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</si>
  <si>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</si>
  <si>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</si>
  <si>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</si>
  <si>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</si>
  <si>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</si>
  <si>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</si>
  <si>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</si>
  <si>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</si>
  <si>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</si>
  <si>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</si>
  <si>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</si>
  <si>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</si>
  <si>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</si>
  <si>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</si>
  <si>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</si>
  <si>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</si>
  <si>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</si>
  <si>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</si>
  <si>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</si>
  <si>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</si>
  <si>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</si>
  <si>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</si>
  <si>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</si>
  <si>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</si>
  <si>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</si>
  <si>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</si>
  <si>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</si>
  <si>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</si>
  <si>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</si>
  <si>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</si>
  <si>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</si>
  <si>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</si>
  <si>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</si>
  <si>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</si>
  <si>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</si>
  <si>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</si>
  <si>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</si>
  <si>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</si>
  <si>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</si>
  <si>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</si>
  <si>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</si>
  <si>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</si>
  <si>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</si>
  <si>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</si>
  <si>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</si>
  <si>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</si>
  <si>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</si>
  <si>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</si>
  <si>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</si>
  <si>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</si>
  <si>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</si>
  <si>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</si>
  <si>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</si>
  <si>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</si>
  <si>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</si>
  <si>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</si>
  <si>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</si>
  <si>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</si>
  <si>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</si>
  <si>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</si>
  <si>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</si>
  <si>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</si>
  <si>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</si>
  <si>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</si>
  <si>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</si>
  <si>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</si>
  <si>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</si>
  <si>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</si>
  <si>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</si>
  <si>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</si>
  <si>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</si>
  <si>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</si>
  <si>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</si>
  <si>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</si>
  <si>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</si>
  <si>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</si>
  <si>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</si>
  <si>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</si>
  <si>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</si>
  <si>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</si>
  <si>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</si>
  <si>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</si>
  <si>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</si>
  <si>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</si>
  <si>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</si>
  <si>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</si>
  <si>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</si>
  <si>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</si>
  <si>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</si>
  <si>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</si>
  <si>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</si>
  <si>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</si>
  <si>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</si>
  <si>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</si>
  <si>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</si>
  <si>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</si>
  <si>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</si>
  <si>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</si>
  <si>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</si>
  <si>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</si>
  <si>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</si>
  <si>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</si>
  <si>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</si>
  <si>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</si>
  <si>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</si>
  <si>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</si>
  <si>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</si>
  <si>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</si>
  <si>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</si>
  <si>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</si>
  <si>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</si>
  <si>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</si>
  <si>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</si>
  <si>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</si>
  <si>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</si>
  <si>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</si>
  <si>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</si>
  <si>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</si>
  <si>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</si>
  <si>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</si>
  <si>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</si>
  <si>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</si>
  <si>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</si>
  <si>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</si>
  <si>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</si>
  <si>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</si>
  <si>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</si>
  <si>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</si>
  <si>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</si>
  <si>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</si>
  <si>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</si>
  <si>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</si>
  <si>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</si>
  <si>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</si>
  <si>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</si>
  <si>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</si>
  <si>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</si>
  <si>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</si>
  <si>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</si>
  <si>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</si>
  <si>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</si>
  <si>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</si>
  <si>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</si>
  <si>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</si>
  <si>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</si>
  <si>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</si>
  <si>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</si>
  <si>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</si>
  <si>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</si>
  <si>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</si>
  <si>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</si>
  <si>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</si>
  <si>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</si>
  <si>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</si>
  <si>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</si>
  <si>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</si>
  <si>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</si>
  <si>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</si>
  <si>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</si>
  <si>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</si>
  <si>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</si>
  <si>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</si>
  <si>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</si>
  <si>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</si>
  <si>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</si>
  <si>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</si>
  <si>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</si>
  <si>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</si>
  <si>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</si>
  <si>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</si>
  <si>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</si>
  <si>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</si>
  <si>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</si>
  <si>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</si>
  <si>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</si>
  <si>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</si>
  <si>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</si>
  <si>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</si>
  <si>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</si>
  <si>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</si>
  <si>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</si>
  <si>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</si>
  <si>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</si>
  <si>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</si>
  <si>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</si>
  <si>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</si>
  <si>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</si>
  <si>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</si>
  <si>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</si>
  <si>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</si>
  <si>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</si>
  <si>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</si>
  <si>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</si>
  <si>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</si>
  <si>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</si>
  <si>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</si>
  <si>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</si>
  <si>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</si>
  <si>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</si>
  <si>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</si>
  <si>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</si>
  <si>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</si>
  <si>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</si>
  <si>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</si>
  <si>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</si>
  <si>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</si>
  <si>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</si>
  <si>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</si>
  <si>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</si>
  <si>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</si>
  <si>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</si>
  <si>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</si>
  <si>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</si>
  <si>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</si>
  <si>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</si>
  <si>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</si>
  <si>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</si>
  <si>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</si>
  <si>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</si>
  <si>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</si>
  <si>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</si>
  <si>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</si>
  <si>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</si>
  <si>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</si>
  <si>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</si>
  <si>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</si>
  <si>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</si>
  <si>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</si>
  <si>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</si>
  <si>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</si>
  <si>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</si>
  <si>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</si>
  <si>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</si>
  <si>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</si>
  <si>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</si>
  <si>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</si>
  <si>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</si>
  <si>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</si>
  <si>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</si>
  <si>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</si>
  <si>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</si>
  <si>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</si>
  <si>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</si>
  <si>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</si>
  <si>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</si>
  <si>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</si>
  <si>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</si>
  <si>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</si>
  <si>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</si>
  <si>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</si>
  <si>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</si>
  <si>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</si>
  <si>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</si>
  <si>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</si>
  <si>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</si>
  <si>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</si>
  <si>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</si>
  <si>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</si>
  <si>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</si>
  <si>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</si>
  <si>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</si>
  <si>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</si>
  <si>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</si>
  <si>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</si>
  <si>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</si>
  <si>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</si>
  <si>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</si>
  <si>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</si>
  <si>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</si>
  <si>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</si>
  <si>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</si>
  <si>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</si>
  <si>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</si>
  <si>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</si>
  <si>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</si>
  <si>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</si>
  <si>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</si>
  <si>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</si>
  <si>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</si>
  <si>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</si>
  <si>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</si>
  <si>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</si>
  <si>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</si>
  <si>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</si>
  <si>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</si>
  <si>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</si>
  <si>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</si>
  <si>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</si>
  <si>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</si>
  <si>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</si>
  <si>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</si>
  <si>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</si>
  <si>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</si>
  <si>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</si>
  <si>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</si>
  <si>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</si>
  <si>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</si>
  <si>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</si>
  <si>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</si>
  <si>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</si>
  <si>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</si>
  <si>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</si>
  <si>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</si>
  <si>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</si>
  <si>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</si>
  <si>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</si>
  <si>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</si>
  <si>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</si>
  <si>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</si>
  <si>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</si>
  <si>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</si>
  <si>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</si>
  <si>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</si>
  <si>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</si>
  <si>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</si>
  <si>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</si>
  <si>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</si>
  <si>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</si>
  <si>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</si>
  <si>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</si>
  <si>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</si>
  <si>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</si>
  <si>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</si>
  <si>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</si>
  <si>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</si>
  <si>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</si>
  <si>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</si>
  <si>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</si>
  <si>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</si>
  <si>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</si>
  <si>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</si>
  <si>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</si>
  <si>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</si>
  <si>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</si>
  <si>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</si>
  <si>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</si>
  <si>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</si>
  <si>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</si>
  <si>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</si>
  <si>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</si>
  <si>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</si>
  <si>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</si>
  <si>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</si>
  <si>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</si>
  <si>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</si>
  <si>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</si>
  <si>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</si>
  <si>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</si>
  <si>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</si>
  <si>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</si>
  <si>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</si>
  <si>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</si>
  <si>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</si>
  <si>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</si>
  <si>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</si>
  <si>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</si>
  <si>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</si>
  <si>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</si>
  <si>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</si>
  <si>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</si>
  <si>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</si>
  <si>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</si>
  <si>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</si>
  <si>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</si>
  <si>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</si>
  <si>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</si>
  <si>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</si>
  <si>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</si>
  <si>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</si>
  <si>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</si>
  <si>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</si>
  <si>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</si>
  <si>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</si>
  <si>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</si>
  <si>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</si>
  <si>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</si>
  <si>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</si>
  <si>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</si>
  <si>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</si>
  <si>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</si>
  <si>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</si>
  <si>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</si>
  <si>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</si>
  <si>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</si>
  <si>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</si>
  <si>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</si>
  <si>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</si>
  <si>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</si>
  <si>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</si>
  <si>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</si>
  <si>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</si>
  <si>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</si>
  <si>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</si>
  <si>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</si>
  <si>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</si>
  <si>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</si>
  <si>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</si>
  <si>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</si>
  <si>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</si>
  <si>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</si>
  <si>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</si>
  <si>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</si>
  <si>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</si>
  <si>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</si>
  <si>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</si>
  <si>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</si>
  <si>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</si>
  <si>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</si>
  <si>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</si>
  <si>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</si>
  <si>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</si>
  <si>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</si>
  <si>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</si>
  <si>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</si>
  <si>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</si>
  <si>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</si>
  <si>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</si>
  <si>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</si>
  <si>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</si>
  <si>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</si>
  <si>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</si>
  <si>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</si>
  <si>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</si>
  <si>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</si>
  <si>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</si>
  <si>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</si>
  <si>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</si>
  <si>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</si>
  <si>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</si>
  <si>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</si>
  <si>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</si>
  <si>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</si>
  <si>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</si>
  <si>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</si>
  <si>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</si>
  <si>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</si>
  <si>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</si>
  <si>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</si>
  <si>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</si>
  <si>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</si>
  <si>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</si>
  <si>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</si>
  <si>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</si>
  <si>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</si>
  <si>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</si>
  <si>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</si>
  <si>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</si>
  <si>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</si>
  <si>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</si>
  <si>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</si>
  <si>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</si>
  <si>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</si>
  <si>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</si>
  <si>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</si>
  <si>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</si>
  <si>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</si>
  <si>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</si>
  <si>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</si>
  <si>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</si>
  <si>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</si>
  <si>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</si>
  <si>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</si>
  <si>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</si>
  <si>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</si>
  <si>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</si>
  <si>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</si>
  <si>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</si>
  <si>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</si>
  <si>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</si>
  <si>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</si>
  <si>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</si>
  <si>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</si>
  <si>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</si>
  <si>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</si>
  <si>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</si>
  <si>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</si>
  <si>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</si>
  <si>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</si>
  <si>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</si>
  <si>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</si>
  <si>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</si>
  <si>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</si>
  <si>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</si>
  <si>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</si>
  <si>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</si>
  <si>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</si>
  <si>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</si>
  <si>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</si>
  <si>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</si>
  <si>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</si>
  <si>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</si>
  <si>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</si>
  <si>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</si>
  <si>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</si>
  <si>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</si>
  <si>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</si>
  <si>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</si>
  <si>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</si>
  <si>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</si>
  <si>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</si>
  <si>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</si>
  <si>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</si>
  <si>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</si>
  <si>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</si>
  <si>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</si>
  <si>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</si>
  <si>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</si>
  <si>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</si>
  <si>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</si>
  <si>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</si>
  <si>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</si>
  <si>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</si>
  <si>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</si>
  <si>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</si>
  <si>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</si>
  <si>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</si>
  <si>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</si>
  <si>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</si>
  <si>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</si>
  <si>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</si>
  <si>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</si>
  <si>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</si>
  <si>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</si>
  <si>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</si>
  <si>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</si>
  <si>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</si>
  <si>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</si>
  <si>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</si>
  <si>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</si>
  <si>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</si>
  <si>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</si>
  <si>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</si>
  <si>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</si>
  <si>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</si>
  <si>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</si>
  <si>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</si>
  <si>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</si>
  <si>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</si>
  <si>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</si>
  <si>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</si>
  <si>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</si>
  <si>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</si>
  <si>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</si>
  <si>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</si>
  <si>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</si>
  <si>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</si>
  <si>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</si>
  <si>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</si>
  <si>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</si>
  <si>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</si>
  <si>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</si>
  <si>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</si>
  <si>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</si>
  <si>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</si>
  <si>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</si>
  <si>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</si>
  <si>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</si>
  <si>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</si>
  <si>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</si>
  <si>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</si>
  <si>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</si>
  <si>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</si>
  <si>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</si>
  <si>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</si>
  <si>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</si>
  <si>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</si>
  <si>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</si>
  <si>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</si>
  <si>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</si>
  <si>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</si>
  <si>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</si>
  <si>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</si>
  <si>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</si>
  <si>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</si>
  <si>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</si>
  <si>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</si>
  <si>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</si>
  <si>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</si>
  <si>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</si>
  <si>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</si>
  <si>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</si>
  <si>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</si>
  <si>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</si>
  <si>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</si>
  <si>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</si>
  <si>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</si>
  <si>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</si>
  <si>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</si>
  <si>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</si>
  <si>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</si>
  <si>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</si>
  <si>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</si>
  <si>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</si>
  <si>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</si>
  <si>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</si>
  <si>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</si>
  <si>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</si>
  <si>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</si>
  <si>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</si>
  <si>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</si>
  <si>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</si>
  <si>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</si>
  <si>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</si>
  <si>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</si>
  <si>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</si>
  <si>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</si>
  <si>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</si>
  <si>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</si>
  <si>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</si>
  <si>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</si>
  <si>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</si>
  <si>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</si>
  <si>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</si>
  <si>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</si>
  <si>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</si>
  <si>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</si>
  <si>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</si>
  <si>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</si>
  <si>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</si>
  <si>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</si>
  <si>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</si>
  <si>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</si>
  <si>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</si>
  <si>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</si>
  <si>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</si>
  <si>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</si>
  <si>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</si>
  <si>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</si>
  <si>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</si>
  <si>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</si>
  <si>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</si>
  <si>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</si>
  <si>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</si>
  <si>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</si>
  <si>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</si>
  <si>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</si>
  <si>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</si>
  <si>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</si>
  <si>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</si>
  <si>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</si>
  <si>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</si>
  <si>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</si>
  <si>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</si>
  <si>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</si>
  <si>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</si>
  <si>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</si>
  <si>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</si>
  <si>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</si>
  <si>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</si>
  <si>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</si>
  <si>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</si>
  <si>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</si>
  <si>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</si>
  <si>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</si>
  <si>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</si>
  <si>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</si>
  <si>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</si>
  <si>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</si>
  <si>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</si>
  <si>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</si>
  <si>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</si>
  <si>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</si>
  <si>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</si>
  <si>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</si>
  <si>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</si>
  <si>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</si>
  <si>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</si>
  <si>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</si>
  <si>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</si>
  <si>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</si>
  <si>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</si>
  <si>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</si>
  <si>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</si>
  <si>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</si>
  <si>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</si>
  <si>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</si>
  <si>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</si>
  <si>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</si>
  <si>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</si>
  <si>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</si>
  <si>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</si>
  <si>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</si>
  <si>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</si>
  <si>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</si>
  <si>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</si>
  <si>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</si>
  <si>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</si>
  <si>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</si>
  <si>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</si>
  <si>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</si>
  <si>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</si>
  <si>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</si>
  <si>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</si>
  <si>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</si>
  <si>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</si>
  <si>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</si>
  <si>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</si>
  <si>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</si>
  <si>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</si>
  <si>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</si>
  <si>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</si>
  <si>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</si>
  <si>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</si>
  <si>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</si>
  <si>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</si>
  <si>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</si>
  <si>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</si>
  <si>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</si>
  <si>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</si>
  <si>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</si>
  <si>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</si>
  <si>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</si>
  <si>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</si>
  <si>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</si>
  <si>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</si>
  <si>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</si>
  <si>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</si>
  <si>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</si>
  <si>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</si>
  <si>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</si>
  <si>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</si>
  <si>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</si>
  <si>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</si>
  <si>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</si>
  <si>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</si>
  <si>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</si>
  <si>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</si>
  <si>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</si>
  <si>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</si>
  <si>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</si>
  <si>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</si>
  <si>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</si>
  <si>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</si>
  <si>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</si>
  <si>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</si>
  <si>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</si>
  <si>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</si>
  <si>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</si>
  <si>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</si>
  <si>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</si>
  <si>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</si>
  <si>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</si>
  <si>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</si>
  <si>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</si>
  <si>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</si>
  <si>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</si>
  <si>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</si>
  <si>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</si>
  <si>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</si>
  <si>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</si>
  <si>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</si>
  <si>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</si>
  <si>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</si>
  <si>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</si>
  <si>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</si>
  <si>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</si>
  <si>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</si>
  <si>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</si>
  <si>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</si>
  <si>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</si>
  <si>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</si>
  <si>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</si>
  <si>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</si>
  <si>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</si>
  <si>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</si>
  <si>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</si>
  <si>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</si>
  <si>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</si>
  <si>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</si>
  <si>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</si>
  <si>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</si>
  <si>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</si>
  <si>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</si>
  <si>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</si>
  <si>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</si>
  <si>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</si>
  <si>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</si>
  <si>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</si>
  <si>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</si>
  <si>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</si>
  <si>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</si>
  <si>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</si>
  <si>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</si>
  <si>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</si>
  <si>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</si>
  <si>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</si>
  <si>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</si>
  <si>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</si>
  <si>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</si>
  <si>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</si>
  <si>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</si>
  <si>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</si>
  <si>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</si>
  <si>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</si>
  <si>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</si>
  <si>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</si>
  <si>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</si>
  <si>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</si>
  <si>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</si>
  <si>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</si>
  <si>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</si>
  <si>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</si>
  <si>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</si>
  <si>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</si>
  <si>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</si>
  <si>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</si>
  <si>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</si>
  <si>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</si>
  <si>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</si>
  <si>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</si>
  <si>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</si>
  <si>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</si>
  <si>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</si>
  <si>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</si>
  <si>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</si>
  <si>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</si>
  <si>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</si>
  <si>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</si>
  <si>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</si>
  <si>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</si>
  <si>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</si>
  <si>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</si>
  <si>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</si>
  <si>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</si>
  <si>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</si>
  <si>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</si>
  <si>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</si>
  <si>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</si>
  <si>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</si>
  <si>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</si>
  <si>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</si>
  <si>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</si>
  <si>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</si>
  <si>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</si>
  <si>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</si>
  <si>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</si>
  <si>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</si>
  <si>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</si>
  <si>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</si>
  <si>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</si>
  <si>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</si>
  <si>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</si>
  <si>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</si>
  <si>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</si>
  <si>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</si>
  <si>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</si>
  <si>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</si>
  <si>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</si>
  <si>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</si>
  <si>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</si>
  <si>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</si>
  <si>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</si>
  <si>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</si>
  <si>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</si>
  <si>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</si>
  <si>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</si>
  <si>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</si>
  <si>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</si>
  <si>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</si>
  <si>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</si>
  <si>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</si>
  <si>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</si>
  <si>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</si>
  <si>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</si>
  <si>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</si>
  <si>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</si>
  <si>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</si>
  <si>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</si>
  <si>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</si>
  <si>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</si>
  <si>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</si>
  <si>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</si>
  <si>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</si>
  <si>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</si>
  <si>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</si>
  <si>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</si>
  <si>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</si>
  <si>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</si>
  <si>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</si>
  <si>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</si>
  <si>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</si>
  <si>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</si>
  <si>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</si>
  <si>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</si>
  <si>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</si>
  <si>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</si>
  <si>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</si>
  <si>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</si>
  <si>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</si>
  <si>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</si>
  <si>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</si>
  <si>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</si>
  <si>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</si>
  <si>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</si>
  <si>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</si>
  <si>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</si>
  <si>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</si>
  <si>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</si>
  <si>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</si>
  <si>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</si>
  <si>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</si>
  <si>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</si>
  <si>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</si>
  <si>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</si>
  <si>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</si>
  <si>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</si>
  <si>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</si>
  <si>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</si>
  <si>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</si>
  <si>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</si>
  <si>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</si>
  <si>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</si>
  <si>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</si>
  <si>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</si>
  <si>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</si>
  <si>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</si>
  <si>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</si>
  <si>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</si>
  <si>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</si>
  <si>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</si>
  <si>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</si>
  <si>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</si>
  <si>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</si>
  <si>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</si>
  <si>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</si>
  <si>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</si>
  <si>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</si>
  <si>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</si>
  <si>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</si>
  <si>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</si>
  <si>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</si>
  <si>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</si>
  <si>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</si>
  <si>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</si>
  <si>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</si>
  <si>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</si>
  <si>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</si>
  <si>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</si>
  <si>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</si>
  <si>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</si>
  <si>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</si>
  <si>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</si>
  <si>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</si>
  <si>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</si>
  <si>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</si>
  <si>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</si>
  <si>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</si>
  <si>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</si>
  <si>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</si>
  <si>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</si>
  <si>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</si>
  <si>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</si>
  <si>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</si>
  <si>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</si>
  <si>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</si>
  <si>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</si>
  <si>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</si>
  <si>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</si>
  <si>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</si>
  <si>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</si>
  <si>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</si>
  <si>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</si>
  <si>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</si>
  <si>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</si>
  <si>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</si>
  <si>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</si>
  <si>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</si>
  <si>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</si>
  <si>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</si>
  <si>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</si>
  <si>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</si>
  <si>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</si>
  <si>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</si>
  <si>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</si>
  <si>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</si>
  <si>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</si>
  <si>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</si>
  <si>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</si>
  <si>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</si>
  <si>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</si>
  <si>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</si>
  <si>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</si>
  <si>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</si>
  <si>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</si>
  <si>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</si>
  <si>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</si>
  <si>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</si>
  <si>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</si>
  <si>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</si>
  <si>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</si>
  <si>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</si>
  <si>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</si>
  <si>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</si>
  <si>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</si>
  <si>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</si>
  <si>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</si>
  <si>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</si>
  <si>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</si>
  <si>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</si>
  <si>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</si>
  <si>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</si>
  <si>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</si>
  <si>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</si>
  <si>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</si>
  <si>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</si>
  <si>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</si>
  <si>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</si>
  <si>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</si>
  <si>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</si>
  <si>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</si>
  <si>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</si>
  <si>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</si>
  <si>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</si>
  <si>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</si>
  <si>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</si>
  <si>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</si>
  <si>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</si>
  <si>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</si>
  <si>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</si>
  <si>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</si>
  <si>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</si>
  <si>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</si>
  <si>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</si>
  <si>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</si>
  <si>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</si>
  <si>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</si>
  <si>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</si>
  <si>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</si>
  <si>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</si>
  <si>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</si>
  <si>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</si>
  <si>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</si>
  <si>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</si>
  <si>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</si>
  <si>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</si>
  <si>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</si>
  <si>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</si>
  <si>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</si>
  <si>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</si>
  <si>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</si>
  <si>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</si>
  <si>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</si>
  <si>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</si>
  <si>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</si>
  <si>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</si>
  <si>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</si>
  <si>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</si>
  <si>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</si>
  <si>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</si>
  <si>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</si>
  <si>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</si>
  <si>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</si>
  <si>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</si>
  <si>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</si>
  <si>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</si>
  <si>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</si>
  <si>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</si>
  <si>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</si>
  <si>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</si>
  <si>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</si>
  <si>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</si>
  <si>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</si>
  <si>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</si>
  <si>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</si>
  <si>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</si>
  <si>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</si>
  <si>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</si>
  <si>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</si>
  <si>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</si>
  <si>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</si>
  <si>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</si>
  <si>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</si>
  <si>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</si>
  <si>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</si>
  <si>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</si>
  <si>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</si>
  <si>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</si>
  <si>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</si>
  <si>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</si>
  <si>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</si>
  <si>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</si>
  <si>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</si>
  <si>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</si>
  <si>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</si>
  <si>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</si>
  <si>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</si>
  <si>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</si>
  <si>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</si>
  <si>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</si>
  <si>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</si>
  <si>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</si>
  <si>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</si>
  <si>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</si>
  <si>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</si>
  <si>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</si>
  <si>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</si>
  <si>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</si>
  <si>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</si>
  <si>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</si>
  <si>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</si>
  <si>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</si>
  <si>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</si>
  <si>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</si>
  <si>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</si>
  <si>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</si>
  <si>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</si>
  <si>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</si>
  <si>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</si>
  <si>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</si>
  <si>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</si>
  <si>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</si>
  <si>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</si>
  <si>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</si>
  <si>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</si>
  <si>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</si>
  <si>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</si>
  <si>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</si>
  <si>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</si>
  <si>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</si>
  <si>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</si>
  <si>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</si>
  <si>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</si>
  <si>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</si>
  <si>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</si>
  <si>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</si>
  <si>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</si>
  <si>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</si>
  <si>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</si>
  <si>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</si>
  <si>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</si>
  <si>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</si>
  <si>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</si>
  <si>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</si>
  <si>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</si>
  <si>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</si>
  <si>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</si>
  <si>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</si>
  <si>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</si>
  <si>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</si>
  <si>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</si>
  <si>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</si>
  <si>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</si>
  <si>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</si>
  <si>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</si>
  <si>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</si>
  <si>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</si>
  <si>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</si>
  <si>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</si>
  <si>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</si>
  <si>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</si>
  <si>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</si>
  <si>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</si>
  <si>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</si>
  <si>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</si>
  <si>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</si>
  <si>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</si>
  <si>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</si>
  <si>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</si>
  <si>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</si>
  <si>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</si>
  <si>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</si>
  <si>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</si>
  <si>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</si>
  <si>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</si>
  <si>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</si>
  <si>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</si>
  <si>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</si>
  <si>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</si>
  <si>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</si>
  <si>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</si>
  <si>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</si>
  <si>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</si>
  <si>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</si>
  <si>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</si>
  <si>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</si>
  <si>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</si>
  <si>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</si>
  <si>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</si>
  <si>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</si>
  <si>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</si>
  <si>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</si>
  <si>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</si>
  <si>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</si>
  <si>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</si>
  <si>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</si>
  <si>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</si>
  <si>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</si>
  <si>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</si>
  <si>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</si>
  <si>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</si>
  <si>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</si>
  <si>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</si>
  <si>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</si>
  <si>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</si>
  <si>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</si>
  <si>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</si>
  <si>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</si>
  <si>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</si>
  <si>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</si>
  <si>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</si>
  <si>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</si>
  <si>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</si>
  <si>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</si>
  <si>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</si>
  <si>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</si>
  <si>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</si>
  <si>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</si>
  <si>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</si>
  <si>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</si>
  <si>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</si>
  <si>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</si>
  <si>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</si>
  <si>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</si>
  <si>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</si>
  <si>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</si>
  <si>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</si>
  <si>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</si>
  <si>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</si>
  <si>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</si>
  <si>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</si>
  <si>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</si>
  <si>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</si>
  <si>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</si>
  <si>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</si>
  <si>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</si>
  <si>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</si>
  <si>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</si>
  <si>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</si>
  <si>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</si>
  <si>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</si>
  <si>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</si>
  <si>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</si>
  <si>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</si>
  <si>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</si>
  <si>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</si>
  <si>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</si>
  <si>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</si>
  <si>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</si>
  <si>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</si>
  <si>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</si>
  <si>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</si>
  <si>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</si>
  <si>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</si>
  <si>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</si>
  <si>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</si>
  <si>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</si>
  <si>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</si>
  <si>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</si>
  <si>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</si>
  <si>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</si>
  <si>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</si>
  <si>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</si>
  <si>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</si>
  <si>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</si>
  <si>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</si>
  <si>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</si>
  <si>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</si>
  <si>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</si>
  <si>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</si>
  <si>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</si>
  <si>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</si>
  <si>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</si>
  <si>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</si>
  <si>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</si>
  <si>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</si>
  <si>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</si>
  <si>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</si>
  <si>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</si>
  <si>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</si>
  <si>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</si>
  <si>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</si>
  <si>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</si>
  <si>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</si>
  <si>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</si>
  <si>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</si>
  <si>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</si>
  <si>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</si>
  <si>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</si>
  <si>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</si>
  <si>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</si>
  <si>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</si>
  <si>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</si>
  <si>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</si>
  <si>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</si>
  <si>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</si>
  <si>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</si>
  <si>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</si>
  <si>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</si>
  <si>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</si>
  <si>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</si>
  <si>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</si>
  <si>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</si>
  <si>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</si>
  <si>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</si>
  <si>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</si>
  <si>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</si>
  <si>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</si>
  <si>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</si>
  <si>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</si>
  <si>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</si>
  <si>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</si>
  <si>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</si>
  <si>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</si>
  <si>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</si>
  <si>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</si>
  <si>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</si>
  <si>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</si>
  <si>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</si>
  <si>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</si>
  <si>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</si>
  <si>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</si>
  <si>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</si>
  <si>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</si>
  <si>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</si>
  <si>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</si>
  <si>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</si>
  <si>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</si>
  <si>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</si>
  <si>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</si>
  <si>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</si>
  <si>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</si>
  <si>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</si>
  <si>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</si>
  <si>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</si>
  <si>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</si>
  <si>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</si>
  <si>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</si>
  <si>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</si>
  <si>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</si>
  <si>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</si>
  <si>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</si>
  <si>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</si>
  <si>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</si>
  <si>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</si>
  <si>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</si>
  <si>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</si>
  <si>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</si>
  <si>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</si>
  <si>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</si>
  <si>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</si>
  <si>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</si>
  <si>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</si>
  <si>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</si>
  <si>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</si>
  <si>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</si>
  <si>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</si>
  <si>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</si>
  <si>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</si>
  <si>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</si>
  <si>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</si>
  <si>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</si>
  <si>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</si>
  <si>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</si>
  <si>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</si>
  <si>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</si>
  <si>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</si>
  <si>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</si>
  <si>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</si>
  <si>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</si>
  <si>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</si>
  <si>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</si>
  <si>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</si>
  <si>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</si>
  <si>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</si>
  <si>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</si>
  <si>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</si>
  <si>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</si>
  <si>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</si>
  <si>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</si>
  <si>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</si>
  <si>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</si>
  <si>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</si>
  <si>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</si>
  <si>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</si>
  <si>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</si>
  <si>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</si>
  <si>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</si>
  <si>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</si>
  <si>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</si>
  <si>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</si>
  <si>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</si>
  <si>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</si>
  <si>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</si>
  <si>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</si>
  <si>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</si>
  <si>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</si>
  <si>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</si>
  <si>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</si>
  <si>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</si>
  <si>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</si>
  <si>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</si>
  <si>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</si>
  <si>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</si>
  <si>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</si>
  <si>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</si>
  <si>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</si>
  <si>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</si>
  <si>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</si>
  <si>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</si>
  <si>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</si>
  <si>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</si>
  <si>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</si>
  <si>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</si>
  <si>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</si>
  <si>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</si>
  <si>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</si>
  <si>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</si>
  <si>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</si>
  <si>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</si>
  <si>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</si>
  <si>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</si>
  <si>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</si>
  <si>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</si>
  <si>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</si>
  <si>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</si>
  <si>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</si>
  <si>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</si>
  <si>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</si>
  <si>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</si>
  <si>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</si>
  <si>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</si>
  <si>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</si>
  <si>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</si>
  <si>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</si>
  <si>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</si>
  <si>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</si>
  <si>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</si>
  <si>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</si>
  <si>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</si>
  <si>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</si>
  <si>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</si>
  <si>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</si>
  <si>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</si>
  <si>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</si>
  <si>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</si>
  <si>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</si>
  <si>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</si>
  <si>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</si>
  <si>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</si>
  <si>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</si>
  <si>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</si>
  <si>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</si>
  <si>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</si>
  <si>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</si>
  <si>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</si>
  <si>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</si>
  <si>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</si>
  <si>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</si>
  <si>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</si>
  <si>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</si>
  <si>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</si>
  <si>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</si>
  <si>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</si>
  <si>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</si>
  <si>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</si>
  <si>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</si>
  <si>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</si>
  <si>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</si>
  <si>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</si>
  <si>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</si>
  <si>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</si>
  <si>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</si>
  <si>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</si>
  <si>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</si>
  <si>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</si>
  <si>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</si>
  <si>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</si>
  <si>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</si>
  <si>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</si>
  <si>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</si>
  <si>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</si>
  <si>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</si>
  <si>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</si>
  <si>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</si>
  <si>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</si>
  <si>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</si>
  <si>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</si>
  <si>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</si>
  <si>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</si>
  <si>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</si>
  <si>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</si>
  <si>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</si>
  <si>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</si>
  <si>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</si>
  <si>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</si>
  <si>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</si>
  <si>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</si>
  <si>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</si>
  <si>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</si>
  <si>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</si>
  <si>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</si>
  <si>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</si>
  <si>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</si>
  <si>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</si>
  <si>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</si>
  <si>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</si>
  <si>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</si>
  <si>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</si>
  <si>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</si>
  <si>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</si>
  <si>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</si>
  <si>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</si>
  <si>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</si>
  <si>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</si>
  <si>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</si>
  <si>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</si>
  <si>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</si>
  <si>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</si>
  <si>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</si>
  <si>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</si>
  <si>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</si>
  <si>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</si>
  <si>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</si>
  <si>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</si>
  <si>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02/15/2005</t>
  </si>
  <si>
    <t>08/15/2024</t>
  </si>
  <si>
    <t>Sanborn Regional School District - SAU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</si>
</sst>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55"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476</v>
      </c>
      <c r="C2" s="21">
        <v>476</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3974329</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126574</v>
      </c>
      <c r="G12" s="18">
        <v>36529</v>
      </c>
      <c r="H12" s="18">
        <v>193597</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9235</v>
      </c>
      <c r="H13" s="18">
        <v>16789</v>
      </c>
      <c r="I13" s="18"/>
      <c r="J13" s="67">
        <f>SUM(I443)</f>
        <v>614459</v>
      </c>
      <c r="K13" s="24" t="s">
        <v>288</v>
      </c>
      <c r="L13" s="24" t="s">
        <v>288</v>
      </c>
      <c r="M13" s="8"/>
      <c r="N13" s="264"/>
    </row>
    <row r="14" spans="1:14" s="3" customFormat="1" ht="12.2" customHeight="1" x14ac:dyDescent="0.15">
      <c r="A14" s="1" t="s">
        <v>565</v>
      </c>
      <c r="B14" s="2" t="s">
        <v>289</v>
      </c>
      <c r="C14" s="6">
        <v>6</v>
      </c>
      <c r="D14" s="2" t="s">
        <v>428</v>
      </c>
      <c r="E14" s="6">
        <v>150</v>
      </c>
      <c r="F14" s="18">
        <v>31846</v>
      </c>
      <c r="G14" s="18"/>
      <c r="H14" s="18">
        <v>192959</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131747</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4264496</v>
      </c>
      <c r="G19" s="41">
        <f>SUM(G9:G18)</f>
        <v>45764</v>
      </c>
      <c r="H19" s="41">
        <f>SUM(H9:H18)</f>
        <v>403345</v>
      </c>
      <c r="I19" s="41">
        <f>SUM(I9:I18)</f>
        <v>0</v>
      </c>
      <c r="J19" s="41">
        <f>SUM(J9:J18)</f>
        <v>614459</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230126</v>
      </c>
      <c r="G22" s="18"/>
      <c r="H22" s="18">
        <v>126574</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341892</v>
      </c>
      <c r="G24" s="18">
        <v>64367</v>
      </c>
      <c r="H24" s="18">
        <v>15239</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89350</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51872</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v>31364</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713240</v>
      </c>
      <c r="G32" s="41">
        <f>SUM(G22:G31)</f>
        <v>64367</v>
      </c>
      <c r="H32" s="41">
        <f>SUM(H22:H31)</f>
        <v>173177</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131747</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-18603</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v>195098</v>
      </c>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545012</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35070</v>
      </c>
      <c r="I48" s="18"/>
      <c r="J48" s="13">
        <f>SUM(I460)</f>
        <v>614459</v>
      </c>
      <c r="K48" s="24" t="s">
        <v>288</v>
      </c>
      <c r="L48" s="24" t="s">
        <v>288</v>
      </c>
      <c r="M48" s="8"/>
      <c r="N48" s="264"/>
    </row>
    <row r="49" spans="1:14" s="3" customFormat="1" ht="12.2" customHeight="1" x14ac:dyDescent="0.15">
      <c r="A49" s="1" t="s">
        <v>859</v>
      </c>
      <c r="B49" s="2" t="s">
        <v>289</v>
      </c>
      <c r="C49" s="6">
        <v>34</v>
      </c>
      <c r="D49" s="2"/>
      <c r="E49" s="6">
        <v>753</v>
      </c>
      <c r="F49" s="18">
        <v>492409</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2282088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3551256</v>
      </c>
      <c r="G51" s="41">
        <f>SUM(G35:G50)</f>
        <v>-18603</v>
      </c>
      <c r="H51" s="41">
        <f>SUM(H35:H50)</f>
        <v>230168</v>
      </c>
      <c r="I51" s="41">
        <f>SUM(I35:I50)</f>
        <v>0</v>
      </c>
      <c r="J51" s="41">
        <f>SUM(J35:J50)</f>
        <v>614459</v>
      </c>
      <c r="K51" s="45" t="s">
        <v>288</v>
      </c>
      <c r="L51" s="45" t="s">
        <v>288</v>
      </c>
      <c r="N51" s="262"/>
    </row>
    <row r="52" spans="1:14" s="3" customFormat="1" ht="12.2" customHeight="1" thickTop="1" x14ac:dyDescent="0.15">
      <c r="A52" s="38" t="s">
        <v>455</v>
      </c>
      <c r="B52" s="39" t="s">
        <v>289</v>
      </c>
      <c r="C52" s="6">
        <v>37</v>
      </c>
      <c r="D52" s="39" t="s">
        <v>653</v>
      </c>
      <c r="E52" s="39"/>
      <c r="F52" s="41">
        <f>F51+F32</f>
        <v>4264496</v>
      </c>
      <c r="G52" s="41">
        <f>G51+G32</f>
        <v>45764</v>
      </c>
      <c r="H52" s="41">
        <f>H51+H32</f>
        <v>403345</v>
      </c>
      <c r="I52" s="41">
        <f>I51+I32</f>
        <v>0</v>
      </c>
      <c r="J52" s="41">
        <f>J51+J32</f>
        <v>614459</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21800486</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21800486</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4083750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v>29188</v>
      </c>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4083750</v>
      </c>
      <c r="G79" s="45" t="s">
        <v>288</v>
      </c>
      <c r="H79" s="41">
        <f>SUM(H63:H78)</f>
        <v>29188</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6735</v>
      </c>
      <c r="G96" s="18"/>
      <c r="H96" s="18"/>
      <c r="I96" s="18"/>
      <c r="J96" s="18">
        <v>368</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41812</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v>140334</v>
      </c>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25387</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187992</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194727</v>
      </c>
      <c r="G111" s="41">
        <f>SUM(G96:G110)</f>
        <v>41812</v>
      </c>
      <c r="H111" s="41">
        <f>SUM(H96:H110)</f>
        <v>165721</v>
      </c>
      <c r="I111" s="41">
        <f>SUM(I96:I110)</f>
        <v>0</v>
      </c>
      <c r="J111" s="41">
        <f>SUM(J96:J110)</f>
        <v>368</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26078963</v>
      </c>
      <c r="G112" s="41">
        <f>G60+G111</f>
        <v>41812</v>
      </c>
      <c r="H112" s="41">
        <f>H60+H79+H94+H111</f>
        <v>194909</v>
      </c>
      <c r="I112" s="41">
        <f>I60+I111</f>
        <v>0</v>
      </c>
      <c r="J112" s="41">
        <f>J60+J111</f>
        <v>368</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3302763</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2701738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5986</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6010487</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513515</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232878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15498</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9650</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761891</v>
      </c>
      <c r="G136" s="41">
        <f>SUM(G123:G135)</f>
        <v>9650</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6772378</v>
      </c>
      <c r="G140" s="41">
        <f>G121+SUM(G136:G137)</f>
        <v>9650</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127637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55819</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529935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302701</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89112</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v>115919</v>
      </c>
      <c r="G161" s="18"/>
      <c r="H161" s="18">
        <v>459430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v>153376</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205031</v>
      </c>
      <c r="G163" s="41">
        <f>SUM(G150:G162)</f>
        <v>529935</v>
      </c>
      <c r="H163" s="41">
        <f>SUM(H150:H162)</f>
        <v>1098963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205031</v>
      </c>
      <c r="G170" s="41">
        <f>G147+G163+SUM(G164:G169)</f>
        <v>529935</v>
      </c>
      <c r="H170" s="41">
        <f>H147+H163+SUM(H164:H169)</f>
        <v>1098963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125000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125000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125000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33056372</v>
      </c>
      <c r="G194" s="47">
        <f>G112+G140+G170+G193</f>
        <v>581397</v>
      </c>
      <c r="H194" s="47">
        <f>H112+H140+H170+H193</f>
        <v>1293872</v>
      </c>
      <c r="I194" s="47">
        <f>I112+I140+I170+I193</f>
        <v>0</v>
      </c>
      <c r="J194" s="47">
        <f>J112+J140+J193</f>
        <v>125368</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3479318</v>
      </c>
      <c r="G198" s="18">
        <v>1621499</v>
      </c>
      <c r="H198" s="18">
        <v>71938</v>
      </c>
      <c r="I198" s="18">
        <v>177536</v>
      </c>
      <c r="J198" s="18">
        <v>39054</v>
      </c>
      <c r="K198" s="18">
        <v>3749</v>
      </c>
      <c r="L198" s="19">
        <f>SUM(F198:K198)</f>
        <v>5393094</v>
      </c>
      <c r="M198" s="8"/>
      <c r="N198" s="264"/>
    </row>
    <row r="199" spans="1:14" s="3" customFormat="1" ht="12.2" customHeight="1" x14ac:dyDescent="0.15">
      <c r="A199" s="1" t="s">
        <v>439</v>
      </c>
      <c r="B199" s="2" t="s">
        <v>341</v>
      </c>
      <c r="C199" s="2" t="s">
        <v>291</v>
      </c>
      <c r="D199" s="2" t="s">
        <v>431</v>
      </c>
      <c r="E199" s="6">
        <v>1200</v>
      </c>
      <c r="F199" s="18">
        <v>1277883</v>
      </c>
      <c r="G199" s="18">
        <v>816394</v>
      </c>
      <c r="H199" s="18">
        <v>352534</v>
      </c>
      <c r="I199" s="18">
        <v>13354</v>
      </c>
      <c r="J199" s="18">
        <v>1223</v>
      </c>
      <c r="K199" s="18"/>
      <c r="L199" s="19">
        <f>SUM(F199:K199)</f>
        <v>2461388</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53864</v>
      </c>
      <c r="G201" s="18">
        <v>13317</v>
      </c>
      <c r="H201" s="18"/>
      <c r="I201" s="18"/>
      <c r="J201" s="18"/>
      <c r="K201" s="18"/>
      <c r="L201" s="19">
        <f>SUM(F201:K201)</f>
        <v>67181</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707360</v>
      </c>
      <c r="G203" s="18">
        <v>369993</v>
      </c>
      <c r="H203" s="18">
        <v>240265</v>
      </c>
      <c r="I203" s="18">
        <v>4127</v>
      </c>
      <c r="J203" s="18"/>
      <c r="K203" s="18"/>
      <c r="L203" s="19">
        <f t="shared" ref="L203:L209" si="0">SUM(F203:K203)</f>
        <v>1321745</v>
      </c>
      <c r="M203" s="8"/>
      <c r="N203" s="264"/>
    </row>
    <row r="204" spans="1:14" s="3" customFormat="1" ht="12.2" customHeight="1" x14ac:dyDescent="0.15">
      <c r="A204" s="1" t="s">
        <v>443</v>
      </c>
      <c r="B204" s="2" t="s">
        <v>341</v>
      </c>
      <c r="C204" s="2" t="s">
        <v>295</v>
      </c>
      <c r="D204" s="2" t="s">
        <v>431</v>
      </c>
      <c r="E204" s="6">
        <v>2200</v>
      </c>
      <c r="F204" s="18">
        <v>134898</v>
      </c>
      <c r="G204" s="18">
        <v>89972</v>
      </c>
      <c r="H204" s="18">
        <v>28104</v>
      </c>
      <c r="I204" s="18">
        <v>6581</v>
      </c>
      <c r="J204" s="18"/>
      <c r="K204" s="18"/>
      <c r="L204" s="19">
        <f t="shared" si="0"/>
        <v>259555</v>
      </c>
      <c r="M204" s="8"/>
      <c r="N204" s="264"/>
    </row>
    <row r="205" spans="1:14" s="3" customFormat="1" ht="12.2" customHeight="1" x14ac:dyDescent="0.15">
      <c r="A205" s="1" t="s">
        <v>444</v>
      </c>
      <c r="B205" s="2" t="s">
        <v>341</v>
      </c>
      <c r="C205" s="2" t="s">
        <v>296</v>
      </c>
      <c r="D205" s="2" t="s">
        <v>431</v>
      </c>
      <c r="E205" s="6">
        <v>2300</v>
      </c>
      <c r="F205" s="18">
        <v>275924</v>
      </c>
      <c r="G205" s="18">
        <v>92482</v>
      </c>
      <c r="H205" s="18">
        <v>215812</v>
      </c>
      <c r="I205" s="18">
        <v>7763</v>
      </c>
      <c r="J205" s="18">
        <v>272</v>
      </c>
      <c r="K205" s="18">
        <v>8647</v>
      </c>
      <c r="L205" s="19">
        <f t="shared" si="0"/>
        <v>600900</v>
      </c>
      <c r="M205" s="8"/>
      <c r="N205" s="264"/>
    </row>
    <row r="206" spans="1:14" s="3" customFormat="1" ht="12.2" customHeight="1" x14ac:dyDescent="0.15">
      <c r="A206" s="1" t="s">
        <v>445</v>
      </c>
      <c r="B206" s="2" t="s">
        <v>341</v>
      </c>
      <c r="C206" s="2" t="s">
        <v>297</v>
      </c>
      <c r="D206" s="2" t="s">
        <v>431</v>
      </c>
      <c r="E206" s="6">
        <v>2400</v>
      </c>
      <c r="F206" s="18">
        <v>605736</v>
      </c>
      <c r="G206" s="18">
        <v>282173</v>
      </c>
      <c r="H206" s="18">
        <v>5321</v>
      </c>
      <c r="I206" s="18">
        <v>1007</v>
      </c>
      <c r="J206" s="18"/>
      <c r="K206" s="18">
        <v>5927</v>
      </c>
      <c r="L206" s="19">
        <f t="shared" si="0"/>
        <v>900164</v>
      </c>
      <c r="M206" s="8"/>
      <c r="N206" s="264"/>
    </row>
    <row r="207" spans="1:14" s="3" customFormat="1" ht="12.2" customHeight="1" x14ac:dyDescent="0.15">
      <c r="A207" s="1" t="s">
        <v>446</v>
      </c>
      <c r="B207" s="2" t="s">
        <v>341</v>
      </c>
      <c r="C207" s="2" t="s">
        <v>298</v>
      </c>
      <c r="D207" s="2" t="s">
        <v>431</v>
      </c>
      <c r="E207" s="6">
        <v>2500</v>
      </c>
      <c r="F207" s="18">
        <v>130543</v>
      </c>
      <c r="G207" s="18">
        <v>70293</v>
      </c>
      <c r="H207" s="18">
        <v>2085</v>
      </c>
      <c r="I207" s="18">
        <v>1689</v>
      </c>
      <c r="J207" s="18">
        <v>296</v>
      </c>
      <c r="K207" s="18">
        <v>2821</v>
      </c>
      <c r="L207" s="19">
        <f t="shared" si="0"/>
        <v>207727</v>
      </c>
      <c r="M207" s="8"/>
      <c r="N207" s="264"/>
    </row>
    <row r="208" spans="1:14" s="3" customFormat="1" ht="12.2" customHeight="1" x14ac:dyDescent="0.15">
      <c r="A208" s="1" t="s">
        <v>447</v>
      </c>
      <c r="B208" s="2" t="s">
        <v>341</v>
      </c>
      <c r="C208" s="2" t="s">
        <v>299</v>
      </c>
      <c r="D208" s="2" t="s">
        <v>431</v>
      </c>
      <c r="E208" s="6">
        <v>2600</v>
      </c>
      <c r="F208" s="18">
        <v>410448</v>
      </c>
      <c r="G208" s="18">
        <v>192667</v>
      </c>
      <c r="H208" s="18">
        <v>257708</v>
      </c>
      <c r="I208" s="18">
        <v>214127</v>
      </c>
      <c r="J208" s="18">
        <v>36910</v>
      </c>
      <c r="K208" s="18">
        <v>3899</v>
      </c>
      <c r="L208" s="19">
        <f t="shared" si="0"/>
        <v>1115759</v>
      </c>
      <c r="M208" s="8"/>
      <c r="N208" s="264"/>
    </row>
    <row r="209" spans="1:14" s="3" customFormat="1" ht="12.2" customHeight="1" x14ac:dyDescent="0.15">
      <c r="A209" s="1" t="s">
        <v>448</v>
      </c>
      <c r="B209" s="2" t="s">
        <v>341</v>
      </c>
      <c r="C209" s="2" t="s">
        <v>300</v>
      </c>
      <c r="D209" s="2" t="s">
        <v>431</v>
      </c>
      <c r="E209" s="6">
        <v>2700</v>
      </c>
      <c r="F209" s="18"/>
      <c r="G209" s="18"/>
      <c r="H209" s="18">
        <v>508733</v>
      </c>
      <c r="I209" s="18">
        <v>19028</v>
      </c>
      <c r="J209" s="18"/>
      <c r="K209" s="18"/>
      <c r="L209" s="19">
        <f t="shared" si="0"/>
        <v>527761</v>
      </c>
      <c r="M209" s="8"/>
      <c r="N209" s="264"/>
    </row>
    <row r="210" spans="1:14" s="3" customFormat="1" ht="12.2" customHeight="1" x14ac:dyDescent="0.15">
      <c r="A210" s="1" t="s">
        <v>449</v>
      </c>
      <c r="B210" s="2" t="s">
        <v>341</v>
      </c>
      <c r="C210" s="2" t="s">
        <v>343</v>
      </c>
      <c r="D210" s="2" t="s">
        <v>431</v>
      </c>
      <c r="E210" s="6">
        <v>2800</v>
      </c>
      <c r="F210" s="18">
        <v>114481</v>
      </c>
      <c r="G210" s="18">
        <v>145100</v>
      </c>
      <c r="H210" s="18">
        <v>127070</v>
      </c>
      <c r="I210" s="18"/>
      <c r="J210" s="18"/>
      <c r="K210" s="18"/>
      <c r="L210" s="19">
        <f>SUM(F210:K210)</f>
        <v>386651</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7190455</v>
      </c>
      <c r="G212" s="41">
        <f t="shared" si="1"/>
        <v>3693890</v>
      </c>
      <c r="H212" s="41">
        <f t="shared" si="1"/>
        <v>1809570</v>
      </c>
      <c r="I212" s="41">
        <f t="shared" si="1"/>
        <v>445212</v>
      </c>
      <c r="J212" s="41">
        <f t="shared" si="1"/>
        <v>77755</v>
      </c>
      <c r="K212" s="41">
        <f t="shared" si="1"/>
        <v>25043</v>
      </c>
      <c r="L212" s="41">
        <f t="shared" si="1"/>
        <v>13241925</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1088740</v>
      </c>
      <c r="G216" s="18">
        <v>627767</v>
      </c>
      <c r="H216" s="18">
        <v>25348</v>
      </c>
      <c r="I216" s="18">
        <v>51454</v>
      </c>
      <c r="J216" s="18">
        <v>16965</v>
      </c>
      <c r="K216" s="18">
        <v>1113</v>
      </c>
      <c r="L216" s="19">
        <f>SUM(F216:K216)</f>
        <v>1811387</v>
      </c>
      <c r="M216" s="8"/>
      <c r="N216" s="264"/>
    </row>
    <row r="217" spans="1:14" s="3" customFormat="1" ht="12.2" customHeight="1" x14ac:dyDescent="0.15">
      <c r="A217" s="1" t="s">
        <v>439</v>
      </c>
      <c r="B217" s="2" t="s">
        <v>346</v>
      </c>
      <c r="C217" s="2" t="s">
        <v>291</v>
      </c>
      <c r="D217" s="2" t="s">
        <v>431</v>
      </c>
      <c r="E217" s="6">
        <v>1200</v>
      </c>
      <c r="F217" s="18">
        <v>495734</v>
      </c>
      <c r="G217" s="18">
        <v>312363</v>
      </c>
      <c r="H217" s="18">
        <v>10362</v>
      </c>
      <c r="I217" s="18">
        <v>2055</v>
      </c>
      <c r="J217" s="18"/>
      <c r="K217" s="18"/>
      <c r="L217" s="19">
        <f>SUM(F217:K217)</f>
        <v>820514</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v>42267</v>
      </c>
      <c r="G219" s="18">
        <v>9305</v>
      </c>
      <c r="H219" s="18">
        <v>8501</v>
      </c>
      <c r="I219" s="18">
        <v>4721</v>
      </c>
      <c r="J219" s="18">
        <v>9886</v>
      </c>
      <c r="K219" s="18">
        <v>705</v>
      </c>
      <c r="L219" s="19">
        <f>SUM(F219:K219)</f>
        <v>75385</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115567</v>
      </c>
      <c r="G221" s="18">
        <v>49672</v>
      </c>
      <c r="H221" s="18">
        <v>137506</v>
      </c>
      <c r="I221" s="18">
        <v>580</v>
      </c>
      <c r="J221" s="18"/>
      <c r="K221" s="18"/>
      <c r="L221" s="19">
        <f t="shared" ref="L221:L227" si="2">SUM(F221:K221)</f>
        <v>303325</v>
      </c>
      <c r="M221" s="8"/>
      <c r="N221" s="264"/>
    </row>
    <row r="222" spans="1:14" s="3" customFormat="1" ht="12.2" customHeight="1" x14ac:dyDescent="0.15">
      <c r="A222" s="1" t="s">
        <v>443</v>
      </c>
      <c r="B222" s="2" t="s">
        <v>346</v>
      </c>
      <c r="C222" s="2" t="s">
        <v>295</v>
      </c>
      <c r="D222" s="2" t="s">
        <v>431</v>
      </c>
      <c r="E222" s="6">
        <v>2200</v>
      </c>
      <c r="F222" s="18">
        <v>500</v>
      </c>
      <c r="G222" s="18">
        <v>10064</v>
      </c>
      <c r="H222" s="18">
        <v>9330</v>
      </c>
      <c r="I222" s="18">
        <v>1043</v>
      </c>
      <c r="J222" s="18"/>
      <c r="K222" s="18"/>
      <c r="L222" s="19">
        <f t="shared" si="2"/>
        <v>20937</v>
      </c>
      <c r="M222" s="8"/>
      <c r="N222" s="264"/>
    </row>
    <row r="223" spans="1:14" s="3" customFormat="1" ht="12.2" customHeight="1" x14ac:dyDescent="0.15">
      <c r="A223" s="1" t="s">
        <v>444</v>
      </c>
      <c r="B223" s="2" t="s">
        <v>346</v>
      </c>
      <c r="C223" s="2" t="s">
        <v>296</v>
      </c>
      <c r="D223" s="2" t="s">
        <v>431</v>
      </c>
      <c r="E223" s="6">
        <v>2300</v>
      </c>
      <c r="F223" s="18">
        <v>88654</v>
      </c>
      <c r="G223" s="18">
        <v>29714</v>
      </c>
      <c r="H223" s="18">
        <v>69340</v>
      </c>
      <c r="I223" s="18">
        <v>2494</v>
      </c>
      <c r="J223" s="18">
        <v>87</v>
      </c>
      <c r="K223" s="18">
        <v>2778</v>
      </c>
      <c r="L223" s="19">
        <f t="shared" si="2"/>
        <v>193067</v>
      </c>
      <c r="M223" s="8"/>
      <c r="N223" s="264"/>
    </row>
    <row r="224" spans="1:14" s="3" customFormat="1" ht="12.2" customHeight="1" x14ac:dyDescent="0.15">
      <c r="A224" s="1" t="s">
        <v>445</v>
      </c>
      <c r="B224" s="2" t="s">
        <v>346</v>
      </c>
      <c r="C224" s="2" t="s">
        <v>297</v>
      </c>
      <c r="D224" s="2" t="s">
        <v>431</v>
      </c>
      <c r="E224" s="6">
        <v>2400</v>
      </c>
      <c r="F224" s="18">
        <v>197691</v>
      </c>
      <c r="G224" s="18">
        <v>54081</v>
      </c>
      <c r="H224" s="18">
        <v>1843</v>
      </c>
      <c r="I224" s="18"/>
      <c r="J224" s="18"/>
      <c r="K224" s="18">
        <v>2501</v>
      </c>
      <c r="L224" s="19">
        <f t="shared" si="2"/>
        <v>256116</v>
      </c>
      <c r="M224" s="8"/>
      <c r="N224" s="264"/>
    </row>
    <row r="225" spans="1:14" s="3" customFormat="1" ht="12.2" customHeight="1" x14ac:dyDescent="0.15">
      <c r="A225" s="1" t="s">
        <v>446</v>
      </c>
      <c r="B225" s="2" t="s">
        <v>346</v>
      </c>
      <c r="C225" s="2" t="s">
        <v>298</v>
      </c>
      <c r="D225" s="2" t="s">
        <v>431</v>
      </c>
      <c r="E225" s="6">
        <v>2500</v>
      </c>
      <c r="F225" s="18">
        <v>41943</v>
      </c>
      <c r="G225" s="18">
        <v>22585</v>
      </c>
      <c r="H225" s="18">
        <v>670</v>
      </c>
      <c r="I225" s="18">
        <v>543</v>
      </c>
      <c r="J225" s="18">
        <v>95</v>
      </c>
      <c r="K225" s="18">
        <v>906</v>
      </c>
      <c r="L225" s="19">
        <f t="shared" si="2"/>
        <v>66742</v>
      </c>
      <c r="M225" s="8"/>
      <c r="N225" s="264"/>
    </row>
    <row r="226" spans="1:14" s="3" customFormat="1" ht="12.2" customHeight="1" x14ac:dyDescent="0.15">
      <c r="A226" s="1" t="s">
        <v>447</v>
      </c>
      <c r="B226" s="2" t="s">
        <v>346</v>
      </c>
      <c r="C226" s="2" t="s">
        <v>299</v>
      </c>
      <c r="D226" s="2" t="s">
        <v>431</v>
      </c>
      <c r="E226" s="6">
        <v>2600</v>
      </c>
      <c r="F226" s="18">
        <v>152094</v>
      </c>
      <c r="G226" s="18">
        <v>86429</v>
      </c>
      <c r="H226" s="18">
        <v>86726</v>
      </c>
      <c r="I226" s="18">
        <v>84635</v>
      </c>
      <c r="J226" s="18">
        <v>11162</v>
      </c>
      <c r="K226" s="18">
        <v>1494</v>
      </c>
      <c r="L226" s="19">
        <f t="shared" si="2"/>
        <v>422540</v>
      </c>
      <c r="M226" s="8"/>
      <c r="N226" s="264"/>
    </row>
    <row r="227" spans="1:14" s="3" customFormat="1" ht="12.2" customHeight="1" x14ac:dyDescent="0.15">
      <c r="A227" s="1" t="s">
        <v>448</v>
      </c>
      <c r="B227" s="2" t="s">
        <v>346</v>
      </c>
      <c r="C227" s="2" t="s">
        <v>300</v>
      </c>
      <c r="D227" s="2" t="s">
        <v>431</v>
      </c>
      <c r="E227" s="6">
        <v>2700</v>
      </c>
      <c r="F227" s="18"/>
      <c r="G227" s="18"/>
      <c r="H227" s="18">
        <v>146981</v>
      </c>
      <c r="I227" s="18">
        <v>6114</v>
      </c>
      <c r="J227" s="18"/>
      <c r="K227" s="18"/>
      <c r="L227" s="19">
        <f t="shared" si="2"/>
        <v>153095</v>
      </c>
      <c r="M227" s="8"/>
      <c r="N227" s="264"/>
    </row>
    <row r="228" spans="1:14" s="3" customFormat="1" ht="12.2" customHeight="1" x14ac:dyDescent="0.15">
      <c r="A228" s="1" t="s">
        <v>449</v>
      </c>
      <c r="B228" s="2" t="s">
        <v>346</v>
      </c>
      <c r="C228" s="2" t="s">
        <v>343</v>
      </c>
      <c r="D228" s="2" t="s">
        <v>431</v>
      </c>
      <c r="E228" s="6">
        <v>2800</v>
      </c>
      <c r="F228" s="18">
        <v>36783</v>
      </c>
      <c r="G228" s="18">
        <v>46621</v>
      </c>
      <c r="H228" s="18">
        <v>40828</v>
      </c>
      <c r="I228" s="18"/>
      <c r="J228" s="18"/>
      <c r="K228" s="18"/>
      <c r="L228" s="19">
        <f>SUM(F228:K228)</f>
        <v>124232</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2259973</v>
      </c>
      <c r="G230" s="41">
        <f>SUM(G216:G229)</f>
        <v>1248601</v>
      </c>
      <c r="H230" s="41">
        <f>SUM(H216:H229)</f>
        <v>537435</v>
      </c>
      <c r="I230" s="41">
        <f>SUM(I216:I229)</f>
        <v>153639</v>
      </c>
      <c r="J230" s="41">
        <f>SUM(J216:J229)</f>
        <v>38195</v>
      </c>
      <c r="K230" s="41">
        <f t="shared" si="3"/>
        <v>9497</v>
      </c>
      <c r="L230" s="41">
        <f t="shared" si="3"/>
        <v>4247340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3265203</v>
      </c>
      <c r="G234" s="18">
        <v>1565861</v>
      </c>
      <c r="H234" s="18">
        <v>75318</v>
      </c>
      <c r="I234" s="18">
        <v>95161</v>
      </c>
      <c r="J234" s="18">
        <v>59623</v>
      </c>
      <c r="K234" s="18">
        <v>3966</v>
      </c>
      <c r="L234" s="19">
        <f>SUM(F234:K234)</f>
        <v>5065132</v>
      </c>
      <c r="M234" s="8"/>
      <c r="N234" s="264"/>
    </row>
    <row r="235" spans="1:14" s="3" customFormat="1" ht="12.2" customHeight="1" x14ac:dyDescent="0.15">
      <c r="A235" s="1" t="s">
        <v>439</v>
      </c>
      <c r="B235" s="2" t="s">
        <v>350</v>
      </c>
      <c r="C235" s="2" t="s">
        <v>291</v>
      </c>
      <c r="D235" s="2" t="s">
        <v>431</v>
      </c>
      <c r="E235" s="6">
        <v>1200</v>
      </c>
      <c r="F235" s="18">
        <v>981445</v>
      </c>
      <c r="G235" s="18">
        <v>497501</v>
      </c>
      <c r="H235" s="18">
        <v>382103</v>
      </c>
      <c r="I235" s="18">
        <v>6212</v>
      </c>
      <c r="J235" s="18">
        <v>358</v>
      </c>
      <c r="K235" s="18"/>
      <c r="L235" s="19">
        <f>SUM(F235:K235)</f>
        <v>1867619</v>
      </c>
      <c r="M235" s="8"/>
      <c r="N235" s="264"/>
    </row>
    <row r="236" spans="1:14" s="3" customFormat="1" ht="12.2" customHeight="1" x14ac:dyDescent="0.15">
      <c r="A236" s="1" t="s">
        <v>440</v>
      </c>
      <c r="B236" s="2" t="s">
        <v>350</v>
      </c>
      <c r="C236" s="2" t="s">
        <v>292</v>
      </c>
      <c r="D236" s="2" t="s">
        <v>431</v>
      </c>
      <c r="E236" s="6">
        <v>1300</v>
      </c>
      <c r="F236" s="18"/>
      <c r="G236" s="18"/>
      <c r="H236" s="18">
        <v>221272</v>
      </c>
      <c r="I236" s="18"/>
      <c r="J236" s="18"/>
      <c r="K236" s="18"/>
      <c r="L236" s="19">
        <f>SUM(F236:K236)</f>
        <v>221272</v>
      </c>
      <c r="M236" s="8"/>
      <c r="N236" s="264"/>
    </row>
    <row r="237" spans="1:14" s="3" customFormat="1" ht="12.2" customHeight="1" x14ac:dyDescent="0.15">
      <c r="A237" s="1" t="s">
        <v>441</v>
      </c>
      <c r="B237" s="2" t="s">
        <v>350</v>
      </c>
      <c r="C237" s="2" t="s">
        <v>293</v>
      </c>
      <c r="D237" s="2" t="s">
        <v>431</v>
      </c>
      <c r="E237" s="6">
        <v>1400</v>
      </c>
      <c r="F237" s="18">
        <v>195390</v>
      </c>
      <c r="G237" s="18">
        <v>37447</v>
      </c>
      <c r="H237" s="18">
        <v>37091</v>
      </c>
      <c r="I237" s="18">
        <v>20065</v>
      </c>
      <c r="J237" s="18">
        <v>33077</v>
      </c>
      <c r="K237" s="18">
        <v>6884</v>
      </c>
      <c r="L237" s="19">
        <f>SUM(F237:K237)</f>
        <v>329954</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470764</v>
      </c>
      <c r="G239" s="18">
        <v>263990</v>
      </c>
      <c r="H239" s="18">
        <v>126990</v>
      </c>
      <c r="I239" s="18">
        <v>8078</v>
      </c>
      <c r="J239" s="18">
        <v>788</v>
      </c>
      <c r="K239" s="18">
        <v>204</v>
      </c>
      <c r="L239" s="19">
        <f t="shared" ref="L239:L245" si="4">SUM(F239:K239)</f>
        <v>870814</v>
      </c>
      <c r="M239" s="8"/>
      <c r="N239" s="264"/>
    </row>
    <row r="240" spans="1:14" s="3" customFormat="1" ht="12.2" customHeight="1" x14ac:dyDescent="0.15">
      <c r="A240" s="1" t="s">
        <v>443</v>
      </c>
      <c r="B240" s="2" t="s">
        <v>350</v>
      </c>
      <c r="C240" s="2" t="s">
        <v>295</v>
      </c>
      <c r="D240" s="2" t="s">
        <v>431</v>
      </c>
      <c r="E240" s="6">
        <v>2200</v>
      </c>
      <c r="F240" s="18">
        <v>82538</v>
      </c>
      <c r="G240" s="18">
        <v>94423</v>
      </c>
      <c r="H240" s="18">
        <v>27919</v>
      </c>
      <c r="I240" s="18">
        <v>12526</v>
      </c>
      <c r="J240" s="18"/>
      <c r="K240" s="18"/>
      <c r="L240" s="19">
        <f t="shared" si="4"/>
        <v>217406</v>
      </c>
      <c r="M240" s="8"/>
      <c r="N240" s="264"/>
    </row>
    <row r="241" spans="1:14" s="3" customFormat="1" ht="12.2" customHeight="1" x14ac:dyDescent="0.15">
      <c r="A241" s="1" t="s">
        <v>444</v>
      </c>
      <c r="B241" s="2" t="s">
        <v>350</v>
      </c>
      <c r="C241" s="2" t="s">
        <v>296</v>
      </c>
      <c r="D241" s="2" t="s">
        <v>431</v>
      </c>
      <c r="E241" s="6">
        <v>2300</v>
      </c>
      <c r="F241" s="18">
        <v>274104</v>
      </c>
      <c r="G241" s="18">
        <v>91872</v>
      </c>
      <c r="H241" s="18">
        <v>214388</v>
      </c>
      <c r="I241" s="18">
        <v>7712</v>
      </c>
      <c r="J241" s="18">
        <v>270</v>
      </c>
      <c r="K241" s="18">
        <v>8590</v>
      </c>
      <c r="L241" s="19">
        <f t="shared" si="4"/>
        <v>596936</v>
      </c>
      <c r="M241" s="8"/>
      <c r="N241" s="264"/>
    </row>
    <row r="242" spans="1:14" s="3" customFormat="1" ht="12.2" customHeight="1" x14ac:dyDescent="0.15">
      <c r="A242" s="1" t="s">
        <v>445</v>
      </c>
      <c r="B242" s="2" t="s">
        <v>350</v>
      </c>
      <c r="C242" s="2" t="s">
        <v>297</v>
      </c>
      <c r="D242" s="2" t="s">
        <v>431</v>
      </c>
      <c r="E242" s="6">
        <v>2400</v>
      </c>
      <c r="F242" s="18">
        <v>456758</v>
      </c>
      <c r="G242" s="18">
        <v>193572</v>
      </c>
      <c r="H242" s="18">
        <v>4575</v>
      </c>
      <c r="I242" s="18">
        <v>13086</v>
      </c>
      <c r="J242" s="18"/>
      <c r="K242" s="18">
        <v>39659</v>
      </c>
      <c r="L242" s="19">
        <f t="shared" si="4"/>
        <v>707650</v>
      </c>
      <c r="M242" s="8"/>
      <c r="N242" s="264"/>
    </row>
    <row r="243" spans="1:14" s="3" customFormat="1" ht="12.2" customHeight="1" x14ac:dyDescent="0.15">
      <c r="A243" s="1" t="s">
        <v>446</v>
      </c>
      <c r="B243" s="2" t="s">
        <v>350</v>
      </c>
      <c r="C243" s="2" t="s">
        <v>298</v>
      </c>
      <c r="D243" s="2" t="s">
        <v>431</v>
      </c>
      <c r="E243" s="6">
        <v>2500</v>
      </c>
      <c r="F243" s="18">
        <v>129682</v>
      </c>
      <c r="G243" s="18">
        <v>69829</v>
      </c>
      <c r="H243" s="18">
        <v>2071</v>
      </c>
      <c r="I243" s="18">
        <v>1678</v>
      </c>
      <c r="J243" s="18">
        <v>294</v>
      </c>
      <c r="K243" s="18">
        <v>2802</v>
      </c>
      <c r="L243" s="19">
        <f t="shared" si="4"/>
        <v>206356</v>
      </c>
      <c r="M243" s="8"/>
      <c r="N243" s="264"/>
    </row>
    <row r="244" spans="1:14" s="3" customFormat="1" ht="12.2" customHeight="1" x14ac:dyDescent="0.15">
      <c r="A244" s="1" t="s">
        <v>447</v>
      </c>
      <c r="B244" s="2" t="s">
        <v>350</v>
      </c>
      <c r="C244" s="2" t="s">
        <v>299</v>
      </c>
      <c r="D244" s="2" t="s">
        <v>431</v>
      </c>
      <c r="E244" s="6">
        <v>2600</v>
      </c>
      <c r="F244" s="18">
        <v>483235</v>
      </c>
      <c r="G244" s="18">
        <v>271357</v>
      </c>
      <c r="H244" s="18">
        <v>266775</v>
      </c>
      <c r="I244" s="18">
        <v>241206</v>
      </c>
      <c r="J244" s="18">
        <v>17197</v>
      </c>
      <c r="K244" s="18">
        <v>4358</v>
      </c>
      <c r="L244" s="19">
        <f t="shared" si="4"/>
        <v>1284128</v>
      </c>
      <c r="M244" s="8"/>
      <c r="N244" s="264"/>
    </row>
    <row r="245" spans="1:14" s="3" customFormat="1" ht="12.2" customHeight="1" x14ac:dyDescent="0.15">
      <c r="A245" s="1" t="s">
        <v>448</v>
      </c>
      <c r="B245" s="2" t="s">
        <v>350</v>
      </c>
      <c r="C245" s="2" t="s">
        <v>300</v>
      </c>
      <c r="D245" s="2" t="s">
        <v>431</v>
      </c>
      <c r="E245" s="6">
        <v>2700</v>
      </c>
      <c r="F245" s="18"/>
      <c r="G245" s="18"/>
      <c r="H245" s="18">
        <v>552664</v>
      </c>
      <c r="I245" s="18">
        <v>18903</v>
      </c>
      <c r="J245" s="18"/>
      <c r="K245" s="18"/>
      <c r="L245" s="19">
        <f t="shared" si="4"/>
        <v>571567</v>
      </c>
      <c r="M245" s="8"/>
      <c r="N245" s="264"/>
    </row>
    <row r="246" spans="1:14" s="3" customFormat="1" ht="12.2" customHeight="1" x14ac:dyDescent="0.15">
      <c r="A246" s="1" t="s">
        <v>449</v>
      </c>
      <c r="B246" s="2" t="s">
        <v>350</v>
      </c>
      <c r="C246" s="2" t="s">
        <v>343</v>
      </c>
      <c r="D246" s="2" t="s">
        <v>431</v>
      </c>
      <c r="E246" s="6">
        <v>2800</v>
      </c>
      <c r="F246" s="18">
        <v>113726</v>
      </c>
      <c r="G246" s="18">
        <v>144143</v>
      </c>
      <c r="H246" s="18">
        <v>126232</v>
      </c>
      <c r="I246" s="18"/>
      <c r="J246" s="18"/>
      <c r="K246" s="18"/>
      <c r="L246" s="19">
        <f>SUM(F246:K246)</f>
        <v>384101</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6452845</v>
      </c>
      <c r="G248" s="41">
        <f t="shared" si="5"/>
        <v>3229995</v>
      </c>
      <c r="H248" s="41">
        <f t="shared" si="5"/>
        <v>2037398</v>
      </c>
      <c r="I248" s="41">
        <f t="shared" si="5"/>
        <v>424627</v>
      </c>
      <c r="J248" s="41">
        <f t="shared" si="5"/>
        <v>111607</v>
      </c>
      <c r="K248" s="41">
        <f t="shared" si="5"/>
        <v>66463</v>
      </c>
      <c r="L248" s="41">
        <f t="shared" si="5"/>
        <v>12322935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497582</v>
      </c>
      <c r="I256" s="18"/>
      <c r="J256" s="18"/>
      <c r="K256" s="18"/>
      <c r="L256" s="19">
        <f t="shared" si="6"/>
        <v>497582</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497582</v>
      </c>
      <c r="I257" s="41">
        <f t="shared" si="7"/>
        <v>0</v>
      </c>
      <c r="J257" s="41">
        <f t="shared" si="7"/>
        <v>0</v>
      </c>
      <c r="K257" s="41">
        <f t="shared" si="7"/>
        <v>0</v>
      </c>
      <c r="L257" s="41">
        <f>SUM(F257:K257)</f>
        <v>497582</v>
      </c>
      <c r="M257" s="8"/>
      <c r="N257" s="264"/>
    </row>
    <row r="258" spans="1:14" s="3" customFormat="1" ht="12.2" customHeight="1" thickTop="1" x14ac:dyDescent="0.15">
      <c r="A258" s="38" t="s">
        <v>462</v>
      </c>
      <c r="B258" s="40">
        <v>10</v>
      </c>
      <c r="C258" s="40">
        <v>8</v>
      </c>
      <c r="D258" s="39" t="s">
        <v>431</v>
      </c>
      <c r="E258" s="40"/>
      <c r="F258" s="41">
        <f t="shared" ref="F258:L258" si="8">F212+F230+F248+F257</f>
        <v>15903273</v>
      </c>
      <c r="G258" s="41">
        <f t="shared" si="8"/>
        <v>8172486</v>
      </c>
      <c r="H258" s="41">
        <f t="shared" si="8"/>
        <v>4881985</v>
      </c>
      <c r="I258" s="41">
        <f t="shared" si="8"/>
        <v>1023478</v>
      </c>
      <c r="J258" s="41">
        <f t="shared" si="8"/>
        <v>227557</v>
      </c>
      <c r="K258" s="41">
        <f t="shared" si="8"/>
        <v>101003</v>
      </c>
      <c r="L258" s="41">
        <f t="shared" si="8"/>
        <v>30309782</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1058291</v>
      </c>
      <c r="L261" s="19">
        <f>SUM(F261:K261)</f>
        <v>1058291</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1241879</v>
      </c>
      <c r="L262" s="19">
        <f>SUM(F262:K262)</f>
        <v>1241879</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125000</v>
      </c>
      <c r="L267" s="19">
        <f t="shared" si="9"/>
        <v>125000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2425170</v>
      </c>
      <c r="L271" s="41">
        <f t="shared" si="9"/>
        <v>2425170</v>
      </c>
      <c r="M271" s="8"/>
      <c r="N271" s="264"/>
    </row>
    <row r="272" spans="1:14" s="34" customFormat="1" ht="12.2" customHeight="1" thickTop="1" x14ac:dyDescent="0.2">
      <c r="A272" s="43" t="s">
        <v>464</v>
      </c>
      <c r="B272" s="40">
        <v>10</v>
      </c>
      <c r="C272" s="40">
        <v>18</v>
      </c>
      <c r="D272" s="39" t="s">
        <v>431</v>
      </c>
      <c r="E272" s="40"/>
      <c r="F272" s="42">
        <f t="shared" ref="F272:L272" si="11">F258+F271</f>
        <v>15903273</v>
      </c>
      <c r="G272" s="42">
        <f t="shared" si="11"/>
        <v>8172486</v>
      </c>
      <c r="H272" s="42">
        <f t="shared" si="11"/>
        <v>4881985</v>
      </c>
      <c r="I272" s="42">
        <f t="shared" si="11"/>
        <v>1023478</v>
      </c>
      <c r="J272" s="42">
        <f t="shared" si="11"/>
        <v>227557</v>
      </c>
      <c r="K272" s="42">
        <f t="shared" si="11"/>
        <v>2526173</v>
      </c>
      <c r="L272" s="42">
        <f t="shared" si="11"/>
        <v>32734952</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162937</v>
      </c>
      <c r="G277" s="18">
        <v>18907</v>
      </c>
      <c r="H277" s="18">
        <v>797</v>
      </c>
      <c r="I277" s="18">
        <v>2678</v>
      </c>
      <c r="J277" s="18">
        <v>144938</v>
      </c>
      <c r="K277" s="18"/>
      <c r="L277" s="19">
        <f>SUM(F277:K277)</f>
        <v>330257</v>
      </c>
      <c r="M277" s="8"/>
      <c r="N277" s="264"/>
    </row>
    <row r="278" spans="1:14" s="3" customFormat="1" ht="12.2" customHeight="1" x14ac:dyDescent="0.15">
      <c r="A278" s="1" t="s">
        <v>439</v>
      </c>
      <c r="B278" s="2" t="s">
        <v>357</v>
      </c>
      <c r="C278" s="2" t="s">
        <v>291</v>
      </c>
      <c r="D278" s="2" t="s">
        <v>431</v>
      </c>
      <c r="E278" s="6">
        <v>1200</v>
      </c>
      <c r="F278" s="18">
        <v>121446</v>
      </c>
      <c r="G278" s="18">
        <v>25930</v>
      </c>
      <c r="H278" s="18"/>
      <c r="I278" s="18">
        <v>2661</v>
      </c>
      <c r="J278" s="18"/>
      <c r="K278" s="18"/>
      <c r="L278" s="19">
        <f>SUM(F278:K278)</f>
        <v>150037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20000</v>
      </c>
      <c r="G282" s="18">
        <v>4971</v>
      </c>
      <c r="H282" s="18"/>
      <c r="I282" s="18">
        <v>3969</v>
      </c>
      <c r="J282" s="18"/>
      <c r="K282" s="18"/>
      <c r="L282" s="19">
        <f t="shared" ref="L282:L288" si="12">SUM(F282:K282)</f>
        <v>28940</v>
      </c>
      <c r="M282" s="8"/>
      <c r="N282" s="264"/>
    </row>
    <row r="283" spans="1:14" s="3" customFormat="1" ht="12.2" customHeight="1" x14ac:dyDescent="0.15">
      <c r="A283" s="1" t="s">
        <v>443</v>
      </c>
      <c r="B283" s="2" t="s">
        <v>357</v>
      </c>
      <c r="C283" s="2" t="s">
        <v>295</v>
      </c>
      <c r="D283" s="2" t="s">
        <v>431</v>
      </c>
      <c r="E283" s="6">
        <v>2200</v>
      </c>
      <c r="F283" s="18">
        <v>1296</v>
      </c>
      <c r="G283" s="18">
        <v>327</v>
      </c>
      <c r="H283" s="18">
        <v>23087</v>
      </c>
      <c r="I283" s="18"/>
      <c r="J283" s="18"/>
      <c r="K283" s="18"/>
      <c r="L283" s="19">
        <f t="shared" si="12"/>
        <v>24710</v>
      </c>
      <c r="M283" s="8"/>
      <c r="N283" s="264"/>
    </row>
    <row r="284" spans="1:14" s="3" customFormat="1" ht="12.2" customHeight="1" x14ac:dyDescent="0.15">
      <c r="A284" s="1" t="s">
        <v>444</v>
      </c>
      <c r="B284" s="2" t="s">
        <v>357</v>
      </c>
      <c r="C284" s="2" t="s">
        <v>296</v>
      </c>
      <c r="D284" s="2" t="s">
        <v>431</v>
      </c>
      <c r="E284" s="6">
        <v>2300</v>
      </c>
      <c r="F284" s="18"/>
      <c r="G284" s="18"/>
      <c r="H284" s="18">
        <v>2160</v>
      </c>
      <c r="I284" s="18"/>
      <c r="J284" s="18"/>
      <c r="K284" s="18"/>
      <c r="L284" s="19">
        <f t="shared" si="12"/>
        <v>2160</v>
      </c>
      <c r="M284" s="8"/>
      <c r="N284" s="264"/>
    </row>
    <row r="285" spans="1:14" s="3" customFormat="1" ht="12.2" customHeight="1" x14ac:dyDescent="0.15">
      <c r="A285" s="1" t="s">
        <v>445</v>
      </c>
      <c r="B285" s="2" t="s">
        <v>357</v>
      </c>
      <c r="C285" s="2" t="s">
        <v>297</v>
      </c>
      <c r="D285" s="2" t="s">
        <v>431</v>
      </c>
      <c r="E285" s="6">
        <v>2400</v>
      </c>
      <c r="F285" s="18"/>
      <c r="G285" s="18"/>
      <c r="H285" s="18"/>
      <c r="I285" s="18">
        <v>583</v>
      </c>
      <c r="J285" s="18"/>
      <c r="K285" s="18"/>
      <c r="L285" s="19">
        <f t="shared" si="12"/>
        <v>583</v>
      </c>
      <c r="M285" s="8"/>
      <c r="N285" s="264"/>
    </row>
    <row r="286" spans="1:14" s="3" customFormat="1" ht="12.2" customHeight="1" x14ac:dyDescent="0.15">
      <c r="A286" s="1" t="s">
        <v>446</v>
      </c>
      <c r="B286" s="2" t="s">
        <v>357</v>
      </c>
      <c r="C286" s="2" t="s">
        <v>298</v>
      </c>
      <c r="D286" s="2" t="s">
        <v>431</v>
      </c>
      <c r="E286" s="6">
        <v>2500</v>
      </c>
      <c r="F286" s="18"/>
      <c r="G286" s="18"/>
      <c r="H286" s="18"/>
      <c r="I286" s="18"/>
      <c r="J286" s="18">
        <v>19889</v>
      </c>
      <c r="K286" s="18"/>
      <c r="L286" s="19">
        <f t="shared" si="12"/>
        <v>19889</v>
      </c>
      <c r="M286" s="8"/>
      <c r="N286" s="264"/>
    </row>
    <row r="287" spans="1:14" s="3" customFormat="1" ht="12.2" customHeight="1" x14ac:dyDescent="0.15">
      <c r="A287" s="1" t="s">
        <v>447</v>
      </c>
      <c r="B287" s="2" t="s">
        <v>357</v>
      </c>
      <c r="C287" s="2" t="s">
        <v>299</v>
      </c>
      <c r="D287" s="2" t="s">
        <v>431</v>
      </c>
      <c r="E287" s="6">
        <v>2600</v>
      </c>
      <c r="F287" s="18"/>
      <c r="G287" s="18"/>
      <c r="H287" s="18"/>
      <c r="I287" s="18">
        <v>34382</v>
      </c>
      <c r="J287" s="18">
        <v>5343</v>
      </c>
      <c r="K287" s="18">
        <v>9433</v>
      </c>
      <c r="L287" s="19">
        <f t="shared" si="12"/>
        <v>49158</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v>3654</v>
      </c>
      <c r="I289" s="18"/>
      <c r="J289" s="18"/>
      <c r="K289" s="18"/>
      <c r="L289" s="19">
        <f>SUM(F289:K289)</f>
        <v>3654</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305679</v>
      </c>
      <c r="G291" s="42">
        <f t="shared" si="13"/>
        <v>50135</v>
      </c>
      <c r="H291" s="42">
        <f t="shared" si="13"/>
        <v>29698</v>
      </c>
      <c r="I291" s="42">
        <f t="shared" si="13"/>
        <v>44273</v>
      </c>
      <c r="J291" s="42">
        <f t="shared" si="13"/>
        <v>170170</v>
      </c>
      <c r="K291" s="42">
        <f t="shared" si="13"/>
        <v>9433</v>
      </c>
      <c r="L291" s="41">
        <f t="shared" si="13"/>
        <v>609388</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43014</v>
      </c>
      <c r="G296" s="18">
        <v>3469</v>
      </c>
      <c r="H296" s="18">
        <v>256</v>
      </c>
      <c r="I296" s="18">
        <v>845</v>
      </c>
      <c r="J296" s="18">
        <v>36047</v>
      </c>
      <c r="K296" s="18"/>
      <c r="L296" s="19">
        <f>SUM(F296:K296)</f>
        <v>83631</v>
      </c>
      <c r="M296" s="8"/>
      <c r="N296" s="264"/>
    </row>
    <row r="297" spans="1:14" s="3" customFormat="1" ht="12.2" customHeight="1" x14ac:dyDescent="0.15">
      <c r="A297" s="1" t="s">
        <v>439</v>
      </c>
      <c r="B297" s="2" t="s">
        <v>358</v>
      </c>
      <c r="C297" s="2" t="s">
        <v>291</v>
      </c>
      <c r="D297" s="2" t="s">
        <v>431</v>
      </c>
      <c r="E297" s="6">
        <v>1200</v>
      </c>
      <c r="F297" s="18">
        <v>31877</v>
      </c>
      <c r="G297" s="18">
        <v>6730</v>
      </c>
      <c r="H297" s="18"/>
      <c r="I297" s="18">
        <v>753</v>
      </c>
      <c r="J297" s="18"/>
      <c r="K297" s="18"/>
      <c r="L297" s="19">
        <f>SUM(F297:K297)</f>
        <v>39360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v>1203</v>
      </c>
      <c r="J301" s="18"/>
      <c r="K301" s="18"/>
      <c r="L301" s="19">
        <f t="shared" ref="L301:L307" si="14">SUM(F301:K301)</f>
        <v>1203</v>
      </c>
      <c r="M301" s="8"/>
      <c r="N301" s="264"/>
    </row>
    <row r="302" spans="1:14" s="3" customFormat="1" ht="12.2" customHeight="1" x14ac:dyDescent="0.15">
      <c r="A302" s="1" t="s">
        <v>443</v>
      </c>
      <c r="B302" s="2" t="s">
        <v>358</v>
      </c>
      <c r="C302" s="2" t="s">
        <v>295</v>
      </c>
      <c r="D302" s="2" t="s">
        <v>431</v>
      </c>
      <c r="E302" s="6">
        <v>2200</v>
      </c>
      <c r="F302" s="18">
        <v>416</v>
      </c>
      <c r="G302" s="18">
        <v>105</v>
      </c>
      <c r="H302" s="18">
        <v>7418</v>
      </c>
      <c r="I302" s="18"/>
      <c r="J302" s="18"/>
      <c r="K302" s="18"/>
      <c r="L302" s="19">
        <f t="shared" si="14"/>
        <v>7939</v>
      </c>
      <c r="M302" s="8"/>
      <c r="N302" s="264"/>
    </row>
    <row r="303" spans="1:14" s="3" customFormat="1" ht="12.2" customHeight="1" x14ac:dyDescent="0.15">
      <c r="A303" s="1" t="s">
        <v>444</v>
      </c>
      <c r="B303" s="2" t="s">
        <v>358</v>
      </c>
      <c r="C303" s="2" t="s">
        <v>296</v>
      </c>
      <c r="D303" s="2" t="s">
        <v>431</v>
      </c>
      <c r="E303" s="6">
        <v>2300</v>
      </c>
      <c r="F303" s="18"/>
      <c r="G303" s="18"/>
      <c r="H303" s="18">
        <v>694</v>
      </c>
      <c r="I303" s="18"/>
      <c r="J303" s="18"/>
      <c r="K303" s="18"/>
      <c r="L303" s="19">
        <f t="shared" si="14"/>
        <v>694</v>
      </c>
      <c r="M303" s="8"/>
      <c r="N303" s="264"/>
    </row>
    <row r="304" spans="1:14" s="3" customFormat="1" ht="12.2" customHeight="1" x14ac:dyDescent="0.15">
      <c r="A304" s="1" t="s">
        <v>445</v>
      </c>
      <c r="B304" s="2" t="s">
        <v>358</v>
      </c>
      <c r="C304" s="2" t="s">
        <v>297</v>
      </c>
      <c r="D304" s="2" t="s">
        <v>431</v>
      </c>
      <c r="E304" s="6">
        <v>2400</v>
      </c>
      <c r="F304" s="18"/>
      <c r="G304" s="18"/>
      <c r="H304" s="18"/>
      <c r="I304" s="18">
        <v>187</v>
      </c>
      <c r="J304" s="18"/>
      <c r="K304" s="18"/>
      <c r="L304" s="19">
        <f t="shared" si="14"/>
        <v>187</v>
      </c>
      <c r="M304" s="8"/>
      <c r="N304" s="264"/>
    </row>
    <row r="305" spans="1:14" s="3" customFormat="1" ht="12.2" customHeight="1" x14ac:dyDescent="0.15">
      <c r="A305" s="1" t="s">
        <v>446</v>
      </c>
      <c r="B305" s="2" t="s">
        <v>358</v>
      </c>
      <c r="C305" s="2" t="s">
        <v>298</v>
      </c>
      <c r="D305" s="2" t="s">
        <v>431</v>
      </c>
      <c r="E305" s="6">
        <v>2500</v>
      </c>
      <c r="F305" s="18"/>
      <c r="G305" s="18"/>
      <c r="H305" s="18"/>
      <c r="I305" s="18"/>
      <c r="J305" s="18">
        <v>6390</v>
      </c>
      <c r="K305" s="18"/>
      <c r="L305" s="19">
        <f t="shared" si="14"/>
        <v>6390</v>
      </c>
      <c r="M305" s="8"/>
      <c r="N305" s="264"/>
    </row>
    <row r="306" spans="1:14" s="3" customFormat="1" ht="12.2" customHeight="1" x14ac:dyDescent="0.15">
      <c r="A306" s="1" t="s">
        <v>447</v>
      </c>
      <c r="B306" s="2" t="s">
        <v>358</v>
      </c>
      <c r="C306" s="2" t="s">
        <v>299</v>
      </c>
      <c r="D306" s="2" t="s">
        <v>431</v>
      </c>
      <c r="E306" s="6">
        <v>2600</v>
      </c>
      <c r="F306" s="18"/>
      <c r="G306" s="18"/>
      <c r="H306" s="18"/>
      <c r="I306" s="18">
        <v>11047</v>
      </c>
      <c r="J306" s="18">
        <v>1717</v>
      </c>
      <c r="K306" s="18">
        <v>3031</v>
      </c>
      <c r="L306" s="19">
        <f t="shared" si="14"/>
        <v>15795</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v>1174</v>
      </c>
      <c r="I308" s="18"/>
      <c r="J308" s="18"/>
      <c r="K308" s="18"/>
      <c r="L308" s="19">
        <f>SUM(F308:K308)</f>
        <v>1174</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75307</v>
      </c>
      <c r="G310" s="42">
        <f t="shared" si="15"/>
        <v>10304</v>
      </c>
      <c r="H310" s="42">
        <f t="shared" si="15"/>
        <v>9542</v>
      </c>
      <c r="I310" s="42">
        <f t="shared" si="15"/>
        <v>14035</v>
      </c>
      <c r="J310" s="42">
        <f t="shared" si="15"/>
        <v>44154</v>
      </c>
      <c r="K310" s="42">
        <f t="shared" si="15"/>
        <v>3031</v>
      </c>
      <c r="L310" s="41">
        <f t="shared" si="15"/>
        <v>156373</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100664</v>
      </c>
      <c r="G315" s="18">
        <v>4873</v>
      </c>
      <c r="H315" s="18">
        <v>8391</v>
      </c>
      <c r="I315" s="18">
        <v>5411</v>
      </c>
      <c r="J315" s="18">
        <v>112317</v>
      </c>
      <c r="K315" s="18"/>
      <c r="L315" s="19">
        <f>SUM(F315:K315)</f>
        <v>231656</v>
      </c>
      <c r="M315" s="8"/>
      <c r="N315" s="264"/>
    </row>
    <row r="316" spans="1:14" s="3" customFormat="1" ht="12.2" customHeight="1" x14ac:dyDescent="0.15">
      <c r="A316" s="1" t="s">
        <v>439</v>
      </c>
      <c r="B316" s="2" t="s">
        <v>359</v>
      </c>
      <c r="C316" s="2" t="s">
        <v>291</v>
      </c>
      <c r="D316" s="2" t="s">
        <v>431</v>
      </c>
      <c r="E316" s="6">
        <v>1200</v>
      </c>
      <c r="F316" s="18">
        <v>96373</v>
      </c>
      <c r="G316" s="18">
        <v>20346</v>
      </c>
      <c r="H316" s="18"/>
      <c r="I316" s="18">
        <v>2276</v>
      </c>
      <c r="J316" s="18"/>
      <c r="K316" s="18"/>
      <c r="L316" s="19">
        <f>SUM(F316:K316)</f>
        <v>118995</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v>6525</v>
      </c>
      <c r="I318" s="18"/>
      <c r="J318" s="18"/>
      <c r="K318" s="18"/>
      <c r="L318" s="19">
        <f>SUM(F318:K318)</f>
        <v>6525</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v>3718</v>
      </c>
      <c r="J320" s="18"/>
      <c r="K320" s="18"/>
      <c r="L320" s="19">
        <f t="shared" ref="L320:L326" si="16">SUM(F320:K320)</f>
        <v>3718</v>
      </c>
      <c r="M320" s="8"/>
      <c r="N320" s="264"/>
    </row>
    <row r="321" spans="1:14" s="3" customFormat="1" ht="12.2" customHeight="1" x14ac:dyDescent="0.15">
      <c r="A321" s="1" t="s">
        <v>443</v>
      </c>
      <c r="B321" s="2" t="s">
        <v>359</v>
      </c>
      <c r="C321" s="2" t="s">
        <v>295</v>
      </c>
      <c r="D321" s="2" t="s">
        <v>431</v>
      </c>
      <c r="E321" s="6">
        <v>2200</v>
      </c>
      <c r="F321" s="18">
        <v>1288</v>
      </c>
      <c r="G321" s="18">
        <v>325</v>
      </c>
      <c r="H321" s="18">
        <v>22935</v>
      </c>
      <c r="I321" s="18"/>
      <c r="J321" s="18"/>
      <c r="K321" s="18"/>
      <c r="L321" s="19">
        <f t="shared" si="16"/>
        <v>24548</v>
      </c>
      <c r="M321" s="8"/>
      <c r="N321" s="264"/>
    </row>
    <row r="322" spans="1:14" s="3" customFormat="1" ht="12.2" customHeight="1" x14ac:dyDescent="0.15">
      <c r="A322" s="1" t="s">
        <v>444</v>
      </c>
      <c r="B322" s="2" t="s">
        <v>359</v>
      </c>
      <c r="C322" s="2" t="s">
        <v>296</v>
      </c>
      <c r="D322" s="2" t="s">
        <v>431</v>
      </c>
      <c r="E322" s="6">
        <v>2300</v>
      </c>
      <c r="F322" s="18"/>
      <c r="G322" s="18"/>
      <c r="H322" s="18">
        <v>2146</v>
      </c>
      <c r="I322" s="18"/>
      <c r="J322" s="18"/>
      <c r="K322" s="18"/>
      <c r="L322" s="19">
        <f t="shared" si="16"/>
        <v>2146</v>
      </c>
      <c r="M322" s="8"/>
      <c r="N322" s="264"/>
    </row>
    <row r="323" spans="1:14" s="3" customFormat="1" ht="12.2" customHeight="1" x14ac:dyDescent="0.15">
      <c r="A323" s="1" t="s">
        <v>445</v>
      </c>
      <c r="B323" s="2" t="s">
        <v>359</v>
      </c>
      <c r="C323" s="2" t="s">
        <v>297</v>
      </c>
      <c r="D323" s="2" t="s">
        <v>431</v>
      </c>
      <c r="E323" s="6">
        <v>2400</v>
      </c>
      <c r="F323" s="18"/>
      <c r="G323" s="18"/>
      <c r="H323" s="18"/>
      <c r="I323" s="18">
        <v>579</v>
      </c>
      <c r="J323" s="18"/>
      <c r="K323" s="18"/>
      <c r="L323" s="19">
        <f t="shared" si="16"/>
        <v>579</v>
      </c>
      <c r="M323" s="8"/>
      <c r="N323" s="264"/>
    </row>
    <row r="324" spans="1:14" s="3" customFormat="1" ht="12.2" customHeight="1" x14ac:dyDescent="0.15">
      <c r="A324" s="1" t="s">
        <v>446</v>
      </c>
      <c r="B324" s="2" t="s">
        <v>359</v>
      </c>
      <c r="C324" s="2" t="s">
        <v>298</v>
      </c>
      <c r="D324" s="2" t="s">
        <v>431</v>
      </c>
      <c r="E324" s="6">
        <v>2500</v>
      </c>
      <c r="F324" s="18"/>
      <c r="G324" s="18"/>
      <c r="H324" s="18"/>
      <c r="I324" s="18"/>
      <c r="J324" s="18">
        <v>19758</v>
      </c>
      <c r="K324" s="18"/>
      <c r="L324" s="19">
        <f t="shared" si="16"/>
        <v>19758</v>
      </c>
      <c r="M324" s="8"/>
      <c r="N324" s="264"/>
    </row>
    <row r="325" spans="1:14" s="3" customFormat="1" ht="12.2" customHeight="1" x14ac:dyDescent="0.15">
      <c r="A325" s="1" t="s">
        <v>447</v>
      </c>
      <c r="B325" s="2" t="s">
        <v>359</v>
      </c>
      <c r="C325" s="2" t="s">
        <v>299</v>
      </c>
      <c r="D325" s="2" t="s">
        <v>431</v>
      </c>
      <c r="E325" s="6">
        <v>2600</v>
      </c>
      <c r="F325" s="18"/>
      <c r="G325" s="18"/>
      <c r="H325" s="18"/>
      <c r="I325" s="18">
        <v>34155</v>
      </c>
      <c r="J325" s="18">
        <v>5307</v>
      </c>
      <c r="K325" s="18">
        <v>9371</v>
      </c>
      <c r="L325" s="19">
        <f t="shared" si="16"/>
        <v>48833</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v>3630</v>
      </c>
      <c r="I327" s="18"/>
      <c r="J327" s="18"/>
      <c r="K327" s="18"/>
      <c r="L327" s="19">
        <f>SUM(F327:K327)</f>
        <v>3630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198325</v>
      </c>
      <c r="G329" s="42">
        <f t="shared" si="17"/>
        <v>25544</v>
      </c>
      <c r="H329" s="42">
        <f t="shared" si="17"/>
        <v>43627</v>
      </c>
      <c r="I329" s="42">
        <f t="shared" si="17"/>
        <v>46139</v>
      </c>
      <c r="J329" s="42">
        <f t="shared" si="17"/>
        <v>137382</v>
      </c>
      <c r="K329" s="42">
        <f t="shared" si="17"/>
        <v>9371</v>
      </c>
      <c r="L329" s="41">
        <f t="shared" si="17"/>
        <v>460388</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v>5524</v>
      </c>
      <c r="J336" s="18"/>
      <c r="K336" s="18"/>
      <c r="L336" s="19">
        <f t="shared" si="18"/>
        <v>5524</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5524</v>
      </c>
      <c r="J338" s="41">
        <f t="shared" si="19"/>
        <v>0</v>
      </c>
      <c r="K338" s="41">
        <f t="shared" si="19"/>
        <v>0</v>
      </c>
      <c r="L338" s="41">
        <f t="shared" si="18"/>
        <v>5524</v>
      </c>
      <c r="M338" s="8"/>
      <c r="N338" s="264"/>
    </row>
    <row r="339" spans="1:43" s="3" customFormat="1" ht="12.2" customHeight="1" thickTop="1" x14ac:dyDescent="0.15">
      <c r="A339" s="38" t="s">
        <v>468</v>
      </c>
      <c r="B339" s="40">
        <v>14</v>
      </c>
      <c r="C339" s="40">
        <v>7</v>
      </c>
      <c r="D339" s="39" t="s">
        <v>431</v>
      </c>
      <c r="E339" s="40"/>
      <c r="F339" s="41">
        <f t="shared" ref="F339:L339" si="20">F291+F310+F329+F338</f>
        <v>579311</v>
      </c>
      <c r="G339" s="41">
        <f t="shared" si="20"/>
        <v>85983</v>
      </c>
      <c r="H339" s="41">
        <f t="shared" si="20"/>
        <v>82867</v>
      </c>
      <c r="I339" s="41">
        <f t="shared" si="20"/>
        <v>109971</v>
      </c>
      <c r="J339" s="41">
        <f t="shared" si="20"/>
        <v>351706</v>
      </c>
      <c r="K339" s="41">
        <f t="shared" si="20"/>
        <v>21835</v>
      </c>
      <c r="L339" s="41">
        <f t="shared" si="20"/>
        <v>1231673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579311</v>
      </c>
      <c r="G353" s="41">
        <f>G339</f>
        <v>85983</v>
      </c>
      <c r="H353" s="41">
        <f>H339</f>
        <v>82867</v>
      </c>
      <c r="I353" s="41">
        <f>I339</f>
        <v>109971</v>
      </c>
      <c r="J353" s="41">
        <f>J339</f>
        <v>351706</v>
      </c>
      <c r="K353" s="47">
        <f>K339+K352</f>
        <v>21835</v>
      </c>
      <c r="L353" s="41">
        <f>L339+L352</f>
        <v>1231673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277978</v>
      </c>
      <c r="I359" s="18">
        <v>741</v>
      </c>
      <c r="J359" s="18">
        <v>1535</v>
      </c>
      <c r="K359" s="18">
        <v>576</v>
      </c>
      <c r="L359" s="13">
        <f>SUM(F359:K359)</f>
        <v>280830</v>
      </c>
      <c r="M359" s="8"/>
      <c r="N359" s="264"/>
    </row>
    <row r="360" spans="1:22" s="3" customFormat="1" ht="12.2" customHeight="1" x14ac:dyDescent="0.15">
      <c r="A360" s="1" t="s">
        <v>542</v>
      </c>
      <c r="B360" s="2" t="s">
        <v>366</v>
      </c>
      <c r="C360" s="6">
        <v>2</v>
      </c>
      <c r="D360" s="2" t="s">
        <v>431</v>
      </c>
      <c r="E360" s="6"/>
      <c r="F360" s="18"/>
      <c r="G360" s="18"/>
      <c r="H360" s="18">
        <v>89314</v>
      </c>
      <c r="I360" s="18">
        <v>238</v>
      </c>
      <c r="J360" s="18">
        <v>493</v>
      </c>
      <c r="K360" s="18">
        <v>185</v>
      </c>
      <c r="L360" s="19">
        <f>SUM(F360:K360)</f>
        <v>90230</v>
      </c>
      <c r="M360" s="8"/>
      <c r="N360" s="264"/>
    </row>
    <row r="361" spans="1:22" s="3" customFormat="1" ht="12.2" customHeight="1" x14ac:dyDescent="0.15">
      <c r="A361" s="3" t="s">
        <v>543</v>
      </c>
      <c r="B361" s="2" t="s">
        <v>366</v>
      </c>
      <c r="C361" s="6">
        <v>3</v>
      </c>
      <c r="D361" s="2" t="s">
        <v>431</v>
      </c>
      <c r="E361" s="6"/>
      <c r="F361" s="18"/>
      <c r="G361" s="18"/>
      <c r="H361" s="18">
        <v>276145</v>
      </c>
      <c r="I361" s="18">
        <v>736</v>
      </c>
      <c r="J361" s="18">
        <v>1525</v>
      </c>
      <c r="K361" s="18">
        <v>573</v>
      </c>
      <c r="L361" s="19">
        <f>SUM(F361:K361)</f>
        <v>278979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643437</v>
      </c>
      <c r="I363" s="47">
        <f t="shared" si="22"/>
        <v>1715</v>
      </c>
      <c r="J363" s="47">
        <f t="shared" si="22"/>
        <v>3553</v>
      </c>
      <c r="K363" s="47">
        <f t="shared" si="22"/>
        <v>1334</v>
      </c>
      <c r="L363" s="47">
        <f t="shared" si="22"/>
        <v>650039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741</v>
      </c>
      <c r="G369" s="63">
        <v>238</v>
      </c>
      <c r="H369" s="63">
        <v>736</v>
      </c>
      <c r="I369" s="56">
        <f>SUM(F369:H369)</f>
        <v>1715</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741</v>
      </c>
      <c r="G370" s="47">
        <f>SUM(G368:G369)</f>
        <v>238</v>
      </c>
      <c r="H370" s="47">
        <f>SUM(H368:H369)</f>
        <v>736</v>
      </c>
      <c r="I370" s="47">
        <f>SUM(I368:I369)</f>
        <v>1715</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v>50000</v>
      </c>
      <c r="H390" s="18">
        <v>302</v>
      </c>
      <c r="I390" s="18"/>
      <c r="J390" s="24" t="s">
        <v>288</v>
      </c>
      <c r="K390" s="24" t="s">
        <v>288</v>
      </c>
      <c r="L390" s="56">
        <f t="shared" si="25"/>
        <v>50302</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v>75000</v>
      </c>
      <c r="H393" s="18">
        <v>66</v>
      </c>
      <c r="I393" s="18"/>
      <c r="J393" s="24" t="s">
        <v>288</v>
      </c>
      <c r="K393" s="24" t="s">
        <v>288</v>
      </c>
      <c r="L393" s="56">
        <f t="shared" si="25"/>
        <v>75066</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125000</v>
      </c>
      <c r="H394" s="139">
        <f>SUM(H388:H393)</f>
        <v>368</v>
      </c>
      <c r="I394" s="65">
        <f>SUM(I388:I393)</f>
        <v>0</v>
      </c>
      <c r="J394" s="45" t="s">
        <v>288</v>
      </c>
      <c r="K394" s="45" t="s">
        <v>288</v>
      </c>
      <c r="L394" s="47">
        <f>SUM(L388:L393)</f>
        <v>125368</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c r="I398" s="18"/>
      <c r="J398" s="24" t="s">
        <v>288</v>
      </c>
      <c r="K398" s="24" t="s">
        <v>288</v>
      </c>
      <c r="L398" s="56">
        <f t="shared" si="26"/>
        <v>0</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0</v>
      </c>
      <c r="I402" s="47">
        <f>SUM(I396:I401)</f>
        <v>0</v>
      </c>
      <c r="J402" s="45" t="s">
        <v>288</v>
      </c>
      <c r="K402" s="45" t="s">
        <v>288</v>
      </c>
      <c r="L402" s="47">
        <f>SUM(L396:L401)</f>
        <v>0</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125000</v>
      </c>
      <c r="H409" s="47">
        <f>H394+H402+H408</f>
        <v>368</v>
      </c>
      <c r="I409" s="47">
        <f>I394+I402+I408</f>
        <v>0</v>
      </c>
      <c r="J409" s="24" t="s">
        <v>288</v>
      </c>
      <c r="K409" s="24" t="s">
        <v>288</v>
      </c>
      <c r="L409" s="47">
        <f>L394+L402+L408</f>
        <v>125368</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373265</v>
      </c>
      <c r="G443" s="18">
        <v>241194</v>
      </c>
      <c r="H443" s="18"/>
      <c r="I443" s="56">
        <f t="shared" si="33"/>
        <v>614459</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373265</v>
      </c>
      <c r="G447" s="13">
        <f>SUM(G440:G446)</f>
        <v>241194</v>
      </c>
      <c r="H447" s="13">
        <f>SUM(H440:H446)</f>
        <v>0</v>
      </c>
      <c r="I447" s="13">
        <f>SUM(I440:I446)</f>
        <v>614459</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373265</v>
      </c>
      <c r="G460" s="18">
        <v>241194</v>
      </c>
      <c r="H460" s="18"/>
      <c r="I460" s="56">
        <f t="shared" si="34"/>
        <v>614459</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373265</v>
      </c>
      <c r="G461" s="83">
        <f>SUM(G455:G460)</f>
        <v>241194</v>
      </c>
      <c r="H461" s="83">
        <f>SUM(H455:H460)</f>
        <v>0</v>
      </c>
      <c r="I461" s="83">
        <f>SUM(I455:I460)</f>
        <v>614459</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373265</v>
      </c>
      <c r="G462" s="42">
        <f>G453+G461</f>
        <v>241194</v>
      </c>
      <c r="H462" s="42">
        <f>H453+H461</f>
        <v>0</v>
      </c>
      <c r="I462" s="42">
        <f>I453+I461</f>
        <v>614459</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3229836</v>
      </c>
      <c r="G466" s="18">
        <v>50039</v>
      </c>
      <c r="H466" s="18">
        <v>167969</v>
      </c>
      <c r="I466" s="18"/>
      <c r="J466" s="18">
        <v>489091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33056372</v>
      </c>
      <c r="G469" s="18">
        <v>581397</v>
      </c>
      <c r="H469" s="18">
        <v>1293872</v>
      </c>
      <c r="I469" s="18"/>
      <c r="J469" s="18">
        <v>125368</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33056372</v>
      </c>
      <c r="G471" s="53">
        <f>SUM(G469:G470)</f>
        <v>581397</v>
      </c>
      <c r="H471" s="53">
        <f>SUM(H469:H470)</f>
        <v>1293872</v>
      </c>
      <c r="I471" s="53">
        <f>SUM(I469:I470)</f>
        <v>0</v>
      </c>
      <c r="J471" s="53">
        <f>SUM(J469:J470)</f>
        <v>125368</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32734952</v>
      </c>
      <c r="G473" s="18">
        <v>650039</v>
      </c>
      <c r="H473" s="18">
        <v>1231673</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32734952</v>
      </c>
      <c r="G475" s="53">
        <f>SUM(G473:G474)</f>
        <v>650039</v>
      </c>
      <c r="H475" s="53">
        <f>SUM(H473:H474)</f>
        <v>1231673</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3551256</v>
      </c>
      <c r="G477" s="53">
        <f>(G466+G471)- G475</f>
        <v>-18603</v>
      </c>
      <c r="H477" s="53">
        <f>(H466+H471)- H475</f>
        <v>230168</v>
      </c>
      <c r="I477" s="53">
        <f>(I466+I471)- I475</f>
        <v>0</v>
      </c>
      <c r="J477" s="53">
        <f>(J466+J471)- J475</f>
        <v>614459</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29770200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4.54</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4811564.78</v>
      </c>
      <c r="G496" s="18"/>
      <c r="H496" s="18"/>
      <c r="I496" s="18"/>
      <c r="J496" s="18"/>
      <c r="K496" s="53">
        <f>SUM(F496:J496)</f>
        <v>4811564.78</v>
      </c>
      <c r="L496" s="24" t="s">
        <v>288</v>
      </c>
      <c r="N496" s="263"/>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1058290.97</v>
      </c>
      <c r="G498" s="18"/>
      <c r="H498" s="18"/>
      <c r="I498" s="18"/>
      <c r="J498" s="18"/>
      <c r="K498" s="53">
        <f t="shared" si="35"/>
        <v>1058290.97</v>
      </c>
      <c r="L498" s="24" t="s">
        <v>288</v>
      </c>
      <c r="N498" s="263"/>
    </row>
    <row r="499" spans="1:14" s="52" customFormat="1" ht="12.2" customHeight="1" x14ac:dyDescent="0.2">
      <c r="A499" s="200" t="s">
        <v>622</v>
      </c>
      <c r="B499" s="201">
        <v>20</v>
      </c>
      <c r="C499" s="202">
        <v>9</v>
      </c>
      <c r="D499" s="203" t="s">
        <v>432</v>
      </c>
      <c r="E499" s="202"/>
      <c r="F499" s="204">
        <v>3753273.81</v>
      </c>
      <c r="G499" s="204"/>
      <c r="H499" s="204"/>
      <c r="I499" s="204"/>
      <c r="J499" s="204"/>
      <c r="K499" s="205">
        <f t="shared" si="35"/>
        <v>3753273.81</v>
      </c>
      <c r="L499" s="206" t="s">
        <v>288</v>
      </c>
      <c r="N499" s="263"/>
    </row>
    <row r="500" spans="1:14" s="52" customFormat="1" ht="12.2" customHeight="1" thickBot="1" x14ac:dyDescent="0.25">
      <c r="A500" s="22" t="s">
        <v>623</v>
      </c>
      <c r="B500" s="75">
        <v>20</v>
      </c>
      <c r="C500" s="115">
        <v>10</v>
      </c>
      <c r="D500" s="2" t="s">
        <v>432</v>
      </c>
      <c r="E500" s="115"/>
      <c r="F500" s="18">
        <v>5459527.1900000004</v>
      </c>
      <c r="G500" s="18"/>
      <c r="H500" s="18"/>
      <c r="I500" s="18"/>
      <c r="J500" s="18"/>
      <c r="K500" s="53">
        <f t="shared" si="35"/>
        <v>5459527.1900000004</v>
      </c>
      <c r="L500" s="24" t="s">
        <v>288</v>
      </c>
      <c r="N500" s="263"/>
    </row>
    <row r="501" spans="1:14" s="52" customFormat="1" ht="12.2" customHeight="1" thickTop="1" x14ac:dyDescent="0.2">
      <c r="A501" s="139" t="s">
        <v>624</v>
      </c>
      <c r="B501" s="44">
        <v>20</v>
      </c>
      <c r="C501" s="195">
        <v>11</v>
      </c>
      <c r="D501" s="39" t="s">
        <v>432</v>
      </c>
      <c r="E501" s="195"/>
      <c r="F501" s="42">
        <f>SUM(F499:F500)</f>
        <v>9212801</v>
      </c>
      <c r="G501" s="42">
        <f>SUM(G499:G500)</f>
        <v>0</v>
      </c>
      <c r="H501" s="42">
        <f>SUM(H499:H500)</f>
        <v>0</v>
      </c>
      <c r="I501" s="42">
        <f>SUM(I499:I500)</f>
        <v>0</v>
      </c>
      <c r="J501" s="42">
        <f>SUM(J499:J500)</f>
        <v>0</v>
      </c>
      <c r="K501" s="42">
        <f t="shared" si="35"/>
        <v>9212801</v>
      </c>
      <c r="L501" s="45" t="s">
        <v>288</v>
      </c>
      <c r="N501" s="263"/>
    </row>
    <row r="502" spans="1:14" s="52" customFormat="1" ht="12.2" customHeight="1" x14ac:dyDescent="0.2">
      <c r="A502" s="200" t="s">
        <v>651</v>
      </c>
      <c r="B502" s="201">
        <v>20</v>
      </c>
      <c r="C502" s="202">
        <v>12</v>
      </c>
      <c r="D502" s="203" t="s">
        <v>432</v>
      </c>
      <c r="E502" s="202"/>
      <c r="F502" s="204">
        <v>1008331.41</v>
      </c>
      <c r="G502" s="204"/>
      <c r="H502" s="204"/>
      <c r="I502" s="204"/>
      <c r="J502" s="204"/>
      <c r="K502" s="205">
        <f t="shared" si="35"/>
        <v>1008331.41</v>
      </c>
      <c r="L502" s="206" t="s">
        <v>288</v>
      </c>
      <c r="N502" s="263"/>
    </row>
    <row r="503" spans="1:14" s="52" customFormat="1" ht="12.2" customHeight="1" thickBot="1" x14ac:dyDescent="0.25">
      <c r="A503" s="22" t="s">
        <v>625</v>
      </c>
      <c r="B503" s="75">
        <v>20</v>
      </c>
      <c r="C503" s="115">
        <v>13</v>
      </c>
      <c r="D503" s="2" t="s">
        <v>432</v>
      </c>
      <c r="E503" s="115"/>
      <c r="F503" s="18">
        <v>1293057.5900000001</v>
      </c>
      <c r="G503" s="18"/>
      <c r="H503" s="18"/>
      <c r="I503" s="18"/>
      <c r="J503" s="18"/>
      <c r="K503" s="53">
        <f t="shared" si="35"/>
        <v>1293057.5900000001</v>
      </c>
      <c r="L503" s="24" t="s">
        <v>288</v>
      </c>
      <c r="N503" s="263"/>
    </row>
    <row r="504" spans="1:14" s="52" customFormat="1" ht="12.2" customHeight="1" thickTop="1" x14ac:dyDescent="0.2">
      <c r="A504" s="139" t="s">
        <v>626</v>
      </c>
      <c r="B504" s="44">
        <v>20</v>
      </c>
      <c r="C504" s="195">
        <v>14</v>
      </c>
      <c r="D504" s="39" t="s">
        <v>432</v>
      </c>
      <c r="E504" s="195"/>
      <c r="F504" s="42">
        <f>SUM(F502:F503)</f>
        <v>2301389</v>
      </c>
      <c r="G504" s="42">
        <f>SUM(G502:G503)</f>
        <v>0</v>
      </c>
      <c r="H504" s="42">
        <f>SUM(H502:H503)</f>
        <v>0</v>
      </c>
      <c r="I504" s="42">
        <f>SUM(I502:I503)</f>
        <v>0</v>
      </c>
      <c r="J504" s="42">
        <f>SUM(J502:J503)</f>
        <v>0</v>
      </c>
      <c r="K504" s="42">
        <f t="shared" si="35"/>
        <v>2301389</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1399329</v>
      </c>
      <c r="G522" s="18">
        <v>842324</v>
      </c>
      <c r="H522" s="18">
        <v>352534</v>
      </c>
      <c r="I522" s="18">
        <v>16015</v>
      </c>
      <c r="J522" s="18">
        <v>1223</v>
      </c>
      <c r="K522" s="18"/>
      <c r="L522" s="88">
        <f>SUM(F522:K522)</f>
        <v>2611425</v>
      </c>
      <c r="N522" s="263"/>
    </row>
    <row r="523" spans="1:14" s="52" customFormat="1" ht="12.2" customHeight="1" x14ac:dyDescent="0.2">
      <c r="A523" s="22" t="s">
        <v>634</v>
      </c>
      <c r="B523" s="105">
        <v>21</v>
      </c>
      <c r="C523" s="115">
        <v>2</v>
      </c>
      <c r="D523" s="2" t="s">
        <v>432</v>
      </c>
      <c r="E523" s="115"/>
      <c r="F523" s="18">
        <v>527611</v>
      </c>
      <c r="G523" s="18">
        <v>319092</v>
      </c>
      <c r="H523" s="18">
        <v>10362</v>
      </c>
      <c r="I523" s="18">
        <v>2808</v>
      </c>
      <c r="J523" s="18"/>
      <c r="K523" s="18"/>
      <c r="L523" s="88">
        <f>SUM(F523:K523)</f>
        <v>859873</v>
      </c>
      <c r="N523" s="263"/>
    </row>
    <row r="524" spans="1:14" s="52" customFormat="1" ht="12.2" customHeight="1" thickBot="1" x14ac:dyDescent="0.25">
      <c r="A524" s="22" t="s">
        <v>635</v>
      </c>
      <c r="B524" s="105">
        <v>21</v>
      </c>
      <c r="C524" s="115">
        <v>3</v>
      </c>
      <c r="D524" s="2" t="s">
        <v>432</v>
      </c>
      <c r="E524" s="115"/>
      <c r="F524" s="18">
        <v>1077817</v>
      </c>
      <c r="G524" s="18">
        <v>517847</v>
      </c>
      <c r="H524" s="18">
        <v>382103</v>
      </c>
      <c r="I524" s="18">
        <v>8488</v>
      </c>
      <c r="J524" s="18">
        <v>358</v>
      </c>
      <c r="K524" s="18"/>
      <c r="L524" s="88">
        <f>SUM(F524:K524)</f>
        <v>1986613</v>
      </c>
      <c r="N524" s="263"/>
    </row>
    <row r="525" spans="1:14" s="52" customFormat="1" ht="12.2" customHeight="1" thickTop="1" x14ac:dyDescent="0.2">
      <c r="A525" s="139" t="s">
        <v>63</v>
      </c>
      <c r="B525" s="107">
        <v>21</v>
      </c>
      <c r="C525" s="195">
        <v>4</v>
      </c>
      <c r="D525" s="196" t="s">
        <v>432</v>
      </c>
      <c r="E525" s="195"/>
      <c r="F525" s="108">
        <f>SUM(F522:F524)</f>
        <v>3004757</v>
      </c>
      <c r="G525" s="108">
        <f t="shared" ref="G525:L525" si="36">SUM(G522:G524)</f>
        <v>1679263</v>
      </c>
      <c r="H525" s="108">
        <f t="shared" si="36"/>
        <v>744999</v>
      </c>
      <c r="I525" s="108">
        <f t="shared" si="36"/>
        <v>27311</v>
      </c>
      <c r="J525" s="108">
        <f t="shared" si="36"/>
        <v>1581</v>
      </c>
      <c r="K525" s="108">
        <f t="shared" si="36"/>
        <v>0</v>
      </c>
      <c r="L525" s="89">
        <f t="shared" si="36"/>
        <v>5457911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376749</v>
      </c>
      <c r="G527" s="18">
        <f>181382+ROUND(9000*(0.4677+(0.1323*0.5)),0)</f>
        <v>186187</v>
      </c>
      <c r="H527" s="18">
        <f>134954+ROUND(1827*0.4677,0)-204</f>
        <v>135604</v>
      </c>
      <c r="I527" s="18"/>
      <c r="J527" s="18"/>
      <c r="K527" s="18"/>
      <c r="L527" s="88">
        <f>SUM(F527:K527)</f>
        <v>698540</v>
      </c>
      <c r="M527" s="8"/>
      <c r="N527" s="264"/>
    </row>
    <row r="528" spans="1:14" s="3" customFormat="1" ht="12.2" customHeight="1" x14ac:dyDescent="0.15">
      <c r="A528" s="22" t="s">
        <v>634</v>
      </c>
      <c r="B528" s="105">
        <v>21</v>
      </c>
      <c r="C528" s="115">
        <v>6</v>
      </c>
      <c r="D528" s="2" t="s">
        <v>432</v>
      </c>
      <c r="E528" s="115"/>
      <c r="F528" s="18"/>
      <c r="G528" s="18"/>
      <c r="H528" s="18">
        <f>110653+ROUND(1827*0.1323,0)-202</f>
        <v>110693</v>
      </c>
      <c r="I528" s="18"/>
      <c r="J528" s="18"/>
      <c r="K528" s="18"/>
      <c r="L528" s="88">
        <f>SUM(F528:K528)</f>
        <v>110693</v>
      </c>
      <c r="M528" s="8"/>
      <c r="N528" s="264"/>
    </row>
    <row r="529" spans="1:14" s="3" customFormat="1" ht="12.2" customHeight="1" thickBot="1" x14ac:dyDescent="0.2">
      <c r="A529" s="22" t="s">
        <v>635</v>
      </c>
      <c r="B529" s="118">
        <v>21</v>
      </c>
      <c r="C529" s="118">
        <v>7</v>
      </c>
      <c r="D529" s="2" t="s">
        <v>432</v>
      </c>
      <c r="E529" s="118"/>
      <c r="F529" s="18">
        <v>72470</v>
      </c>
      <c r="G529" s="18">
        <f>44146+ROUND(9000*(0.4677+(0.1323*0.5)),0)</f>
        <v>48951</v>
      </c>
      <c r="H529" s="18">
        <f>28045+ROUND(1827*0.4,0)-202</f>
        <v>28574</v>
      </c>
      <c r="I529" s="18"/>
      <c r="J529" s="18"/>
      <c r="K529" s="18"/>
      <c r="L529" s="88">
        <f>SUM(F529:K529)</f>
        <v>149995</v>
      </c>
      <c r="M529" s="8"/>
      <c r="N529" s="264"/>
    </row>
    <row r="530" spans="1:14" s="3" customFormat="1" ht="12.2" customHeight="1" thickTop="1" x14ac:dyDescent="0.15">
      <c r="A530" s="139" t="s">
        <v>65</v>
      </c>
      <c r="B530" s="107">
        <v>21</v>
      </c>
      <c r="C530" s="107">
        <v>8</v>
      </c>
      <c r="D530" s="158" t="s">
        <v>432</v>
      </c>
      <c r="E530" s="107"/>
      <c r="F530" s="89">
        <f>SUM(F527:F529)</f>
        <v>449219</v>
      </c>
      <c r="G530" s="89">
        <f t="shared" ref="G530:L530" si="37">SUM(G527:G529)</f>
        <v>235138</v>
      </c>
      <c r="H530" s="89">
        <f t="shared" si="37"/>
        <v>274871</v>
      </c>
      <c r="I530" s="89">
        <f t="shared" si="37"/>
        <v>0</v>
      </c>
      <c r="J530" s="89">
        <f t="shared" si="37"/>
        <v>0</v>
      </c>
      <c r="K530" s="89">
        <f t="shared" si="37"/>
        <v>0</v>
      </c>
      <c r="L530" s="89">
        <f t="shared" si="37"/>
        <v>959228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f>ROUND(244977*0.4677,0)</f>
        <v>114576</v>
      </c>
      <c r="G532" s="18">
        <f>ROUND(78189*0.4677,0)</f>
        <v>36569</v>
      </c>
      <c r="H532" s="18">
        <f>ROUND(7769*0.4677,0)</f>
        <v>3634</v>
      </c>
      <c r="I532" s="18">
        <f>ROUND(10715*0.4677,0)</f>
        <v>5011</v>
      </c>
      <c r="J532" s="18">
        <f>ROUND(2453*0.4677,0)</f>
        <v>1147</v>
      </c>
      <c r="K532" s="18"/>
      <c r="L532" s="88">
        <f>SUM(F532:K532)</f>
        <v>160937</v>
      </c>
      <c r="M532" s="8"/>
      <c r="N532" s="264"/>
    </row>
    <row r="533" spans="1:14" s="3" customFormat="1" ht="12.2" customHeight="1" x14ac:dyDescent="0.15">
      <c r="A533" s="22" t="s">
        <v>634</v>
      </c>
      <c r="B533" s="105">
        <v>21</v>
      </c>
      <c r="C533" s="105">
        <v>10</v>
      </c>
      <c r="D533" s="2" t="s">
        <v>432</v>
      </c>
      <c r="E533" s="105"/>
      <c r="F533" s="18">
        <f>ROUND(244977*0.1323,0)</f>
        <v>32410</v>
      </c>
      <c r="G533" s="18">
        <f>ROUND(78189*0.1323,0)</f>
        <v>10344</v>
      </c>
      <c r="H533" s="18">
        <f>ROUND(7769*0.1323,0)</f>
        <v>1028</v>
      </c>
      <c r="I533" s="18">
        <f>ROUND(10715*0.1323,0)</f>
        <v>1418</v>
      </c>
      <c r="J533" s="18">
        <f>ROUND(2453*0.1323,0)</f>
        <v>325</v>
      </c>
      <c r="K533" s="18"/>
      <c r="L533" s="88">
        <f>SUM(F533:K533)</f>
        <v>45525</v>
      </c>
      <c r="M533" s="8"/>
      <c r="N533" s="264"/>
    </row>
    <row r="534" spans="1:14" s="3" customFormat="1" ht="12.2" customHeight="1" thickBot="1" x14ac:dyDescent="0.2">
      <c r="A534" s="22" t="s">
        <v>635</v>
      </c>
      <c r="B534" s="105">
        <v>21</v>
      </c>
      <c r="C534" s="105">
        <v>11</v>
      </c>
      <c r="D534" s="2" t="s">
        <v>432</v>
      </c>
      <c r="E534" s="105"/>
      <c r="F534" s="18">
        <f>ROUND(244977*0.4,0)</f>
        <v>97991</v>
      </c>
      <c r="G534" s="18">
        <f>ROUND(78189*0.4,0)</f>
        <v>31276</v>
      </c>
      <c r="H534" s="18">
        <f>ROUND(7769*0.4,0)</f>
        <v>3108</v>
      </c>
      <c r="I534" s="18">
        <f>ROUND(10715*0.4,0)</f>
        <v>4286</v>
      </c>
      <c r="J534" s="18">
        <f>ROUND(2453*0.4,0)</f>
        <v>981</v>
      </c>
      <c r="K534" s="18"/>
      <c r="L534" s="88">
        <f>SUM(F534:K534)</f>
        <v>137642</v>
      </c>
      <c r="M534" s="8"/>
      <c r="N534" s="264"/>
    </row>
    <row r="535" spans="1:14" s="3" customFormat="1" ht="12.2" customHeight="1" thickTop="1" x14ac:dyDescent="0.15">
      <c r="A535" s="139" t="s">
        <v>67</v>
      </c>
      <c r="B535" s="107">
        <v>21</v>
      </c>
      <c r="C535" s="107">
        <v>12</v>
      </c>
      <c r="D535" s="158" t="s">
        <v>432</v>
      </c>
      <c r="E535" s="107"/>
      <c r="F535" s="89">
        <f>SUM(F532:F534)</f>
        <v>244977</v>
      </c>
      <c r="G535" s="89">
        <f t="shared" ref="G535:L535" si="38">SUM(G532:G534)</f>
        <v>78189</v>
      </c>
      <c r="H535" s="89">
        <f t="shared" si="38"/>
        <v>7770</v>
      </c>
      <c r="I535" s="89">
        <f t="shared" si="38"/>
        <v>10715</v>
      </c>
      <c r="J535" s="89">
        <f t="shared" si="38"/>
        <v>2453</v>
      </c>
      <c r="K535" s="89">
        <f t="shared" si="38"/>
        <v>0</v>
      </c>
      <c r="L535" s="89">
        <f t="shared" si="38"/>
        <v>344104</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f>ROUND(260672*0.4677,0)</f>
        <v>121916</v>
      </c>
      <c r="I537" s="18"/>
      <c r="J537" s="18"/>
      <c r="K537" s="18"/>
      <c r="L537" s="88">
        <f>SUM(F537:K537)</f>
        <v>121916</v>
      </c>
      <c r="M537" s="8"/>
      <c r="N537" s="264"/>
    </row>
    <row r="538" spans="1:14" s="3" customFormat="1" ht="12.2" customHeight="1" x14ac:dyDescent="0.15">
      <c r="A538" s="22" t="s">
        <v>634</v>
      </c>
      <c r="B538" s="105">
        <v>21</v>
      </c>
      <c r="C538" s="105">
        <v>14</v>
      </c>
      <c r="D538" s="2" t="s">
        <v>432</v>
      </c>
      <c r="E538" s="105"/>
      <c r="F538" s="18"/>
      <c r="G538" s="18"/>
      <c r="H538" s="18">
        <f>ROUND(260672*0.1323,0)</f>
        <v>34487</v>
      </c>
      <c r="I538" s="18"/>
      <c r="J538" s="18"/>
      <c r="K538" s="18"/>
      <c r="L538" s="88">
        <f>SUM(F538:K538)</f>
        <v>34487</v>
      </c>
      <c r="M538" s="8"/>
      <c r="N538" s="264"/>
    </row>
    <row r="539" spans="1:14" s="3" customFormat="1" ht="12.2" customHeight="1" thickBot="1" x14ac:dyDescent="0.2">
      <c r="A539" s="22" t="s">
        <v>635</v>
      </c>
      <c r="B539" s="105">
        <v>21</v>
      </c>
      <c r="C539" s="105">
        <v>15</v>
      </c>
      <c r="D539" s="2" t="s">
        <v>432</v>
      </c>
      <c r="E539" s="105"/>
      <c r="F539" s="18"/>
      <c r="G539" s="18"/>
      <c r="H539" s="18">
        <f>ROUND(260672*0.4,0)</f>
        <v>104269</v>
      </c>
      <c r="I539" s="18"/>
      <c r="J539" s="18"/>
      <c r="K539" s="18"/>
      <c r="L539" s="88">
        <f>SUM(F539:K539)</f>
        <v>104269</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260672</v>
      </c>
      <c r="I540" s="89">
        <f t="shared" si="39"/>
        <v>0</v>
      </c>
      <c r="J540" s="89">
        <f t="shared" si="39"/>
        <v>0</v>
      </c>
      <c r="K540" s="89">
        <f t="shared" si="39"/>
        <v>0</v>
      </c>
      <c r="L540" s="89">
        <f t="shared" si="39"/>
        <v>260672</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117236</v>
      </c>
      <c r="I542" s="18"/>
      <c r="J542" s="18"/>
      <c r="K542" s="18"/>
      <c r="L542" s="88">
        <f>SUM(F542:K542)</f>
        <v>117236</v>
      </c>
      <c r="M542" s="8"/>
      <c r="N542" s="264"/>
    </row>
    <row r="543" spans="1:14" s="3" customFormat="1" ht="12.2" customHeight="1" x14ac:dyDescent="0.15">
      <c r="A543" s="22" t="s">
        <v>634</v>
      </c>
      <c r="B543" s="105">
        <v>21</v>
      </c>
      <c r="C543" s="105">
        <v>18</v>
      </c>
      <c r="D543" s="2" t="s">
        <v>432</v>
      </c>
      <c r="E543" s="105"/>
      <c r="F543" s="18"/>
      <c r="G543" s="18"/>
      <c r="H543" s="18">
        <v>6943</v>
      </c>
      <c r="I543" s="18"/>
      <c r="J543" s="18"/>
      <c r="K543" s="18"/>
      <c r="L543" s="88">
        <f>SUM(F543:K543)</f>
        <v>6943</v>
      </c>
      <c r="M543" s="8"/>
      <c r="N543" s="264"/>
    </row>
    <row r="544" spans="1:14" s="3" customFormat="1" ht="12.2" customHeight="1" thickBot="1" x14ac:dyDescent="0.2">
      <c r="A544" s="22" t="s">
        <v>635</v>
      </c>
      <c r="B544" s="105">
        <v>21</v>
      </c>
      <c r="C544" s="105">
        <v>19</v>
      </c>
      <c r="D544" s="2" t="s">
        <v>432</v>
      </c>
      <c r="E544" s="105"/>
      <c r="F544" s="18"/>
      <c r="G544" s="18"/>
      <c r="H544" s="18">
        <v>120955</v>
      </c>
      <c r="I544" s="18"/>
      <c r="J544" s="18"/>
      <c r="K544" s="18"/>
      <c r="L544" s="88">
        <f>SUM(F544:K544)</f>
        <v>120955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245134</v>
      </c>
      <c r="I545" s="193">
        <f t="shared" si="40"/>
        <v>0</v>
      </c>
      <c r="J545" s="193">
        <f t="shared" si="40"/>
        <v>0</v>
      </c>
      <c r="K545" s="193">
        <f t="shared" si="40"/>
        <v>0</v>
      </c>
      <c r="L545" s="193">
        <f t="shared" si="40"/>
        <v>245134</v>
      </c>
      <c r="M545" s="8"/>
      <c r="N545" s="264"/>
    </row>
    <row r="546" spans="1:14" s="3" customFormat="1" ht="12.2" customHeight="1" thickTop="1" x14ac:dyDescent="0.15">
      <c r="A546" s="98" t="s">
        <v>72</v>
      </c>
      <c r="B546" s="107">
        <v>21</v>
      </c>
      <c r="C546" s="107">
        <v>21</v>
      </c>
      <c r="D546" s="158" t="s">
        <v>432</v>
      </c>
      <c r="E546" s="107"/>
      <c r="F546" s="89">
        <f>F525+F530+F535+F540+F545</f>
        <v>3698953</v>
      </c>
      <c r="G546" s="89">
        <f t="shared" ref="G546:L546" si="41">G525+G530+G535+G540+G545</f>
        <v>1992590</v>
      </c>
      <c r="H546" s="89">
        <f t="shared" si="41"/>
        <v>1533446</v>
      </c>
      <c r="I546" s="89">
        <f t="shared" si="41"/>
        <v>38026</v>
      </c>
      <c r="J546" s="89">
        <f t="shared" si="41"/>
        <v>4034</v>
      </c>
      <c r="K546" s="89">
        <f t="shared" si="41"/>
        <v>0</v>
      </c>
      <c r="L546" s="89">
        <f t="shared" si="41"/>
        <v>7267049</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2611425</v>
      </c>
      <c r="G550" s="87">
        <f>L527</f>
        <v>698540</v>
      </c>
      <c r="H550" s="87">
        <f>L532</f>
        <v>160937</v>
      </c>
      <c r="I550" s="87">
        <f>L537</f>
        <v>121916</v>
      </c>
      <c r="J550" s="87">
        <f>L542</f>
        <v>117236</v>
      </c>
      <c r="K550" s="87">
        <f>SUM(F550:J550)</f>
        <v>3710054</v>
      </c>
      <c r="L550" s="24" t="s">
        <v>288</v>
      </c>
      <c r="M550" s="8"/>
      <c r="N550" s="264"/>
    </row>
    <row r="551" spans="1:14" s="3" customFormat="1" ht="12.2" customHeight="1" x14ac:dyDescent="0.15">
      <c r="A551" s="22" t="s">
        <v>634</v>
      </c>
      <c r="B551" s="75">
        <v>21</v>
      </c>
      <c r="C551" s="75">
        <v>23</v>
      </c>
      <c r="D551" s="2" t="s">
        <v>432</v>
      </c>
      <c r="E551" s="75"/>
      <c r="F551" s="87">
        <f>L523</f>
        <v>859873</v>
      </c>
      <c r="G551" s="87">
        <f>L528</f>
        <v>110693</v>
      </c>
      <c r="H551" s="87">
        <f>L533</f>
        <v>45525</v>
      </c>
      <c r="I551" s="87">
        <f>L538</f>
        <v>34487</v>
      </c>
      <c r="J551" s="87">
        <f>L543</f>
        <v>6943</v>
      </c>
      <c r="K551" s="87">
        <f>SUM(F551:J551)</f>
        <v>1057521</v>
      </c>
      <c r="L551" s="24" t="s">
        <v>288</v>
      </c>
      <c r="M551" s="8"/>
      <c r="N551" s="264"/>
    </row>
    <row r="552" spans="1:14" s="3" customFormat="1" ht="12.2" customHeight="1" thickBot="1" x14ac:dyDescent="0.2">
      <c r="A552" s="22" t="s">
        <v>635</v>
      </c>
      <c r="B552" s="75">
        <v>21</v>
      </c>
      <c r="C552" s="75">
        <v>24</v>
      </c>
      <c r="D552" s="2" t="s">
        <v>432</v>
      </c>
      <c r="E552" s="75"/>
      <c r="F552" s="87">
        <f>L524</f>
        <v>1986613</v>
      </c>
      <c r="G552" s="87">
        <f>L529</f>
        <v>149995</v>
      </c>
      <c r="H552" s="87">
        <f>L534</f>
        <v>137642</v>
      </c>
      <c r="I552" s="87">
        <f>L539</f>
        <v>104269</v>
      </c>
      <c r="J552" s="87">
        <f>L544</f>
        <v>120955</v>
      </c>
      <c r="K552" s="87">
        <f>SUM(F552:J552)</f>
        <v>2499474</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5457911</v>
      </c>
      <c r="G553" s="89">
        <f t="shared" si="42"/>
        <v>959228</v>
      </c>
      <c r="H553" s="89">
        <f t="shared" si="42"/>
        <v>344104</v>
      </c>
      <c r="I553" s="89">
        <f t="shared" si="42"/>
        <v>260672</v>
      </c>
      <c r="J553" s="89">
        <f t="shared" si="42"/>
        <v>245134</v>
      </c>
      <c r="K553" s="89">
        <f t="shared" si="42"/>
        <v>7267049</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27658</v>
      </c>
      <c r="G563" s="18">
        <v>11193</v>
      </c>
      <c r="H563" s="18"/>
      <c r="I563" s="18"/>
      <c r="J563" s="18"/>
      <c r="K563" s="18"/>
      <c r="L563" s="88">
        <f>SUM(F563:K563)</f>
        <v>38851</v>
      </c>
      <c r="M563" s="8"/>
      <c r="N563" s="264"/>
    </row>
    <row r="564" spans="1:14" s="3" customFormat="1" ht="12.2" customHeight="1" x14ac:dyDescent="0.15">
      <c r="A564" s="22" t="s">
        <v>634</v>
      </c>
      <c r="B564" s="105">
        <v>22</v>
      </c>
      <c r="C564" s="115">
        <v>6</v>
      </c>
      <c r="D564" s="2" t="s">
        <v>432</v>
      </c>
      <c r="E564" s="115"/>
      <c r="F564" s="18">
        <v>8886</v>
      </c>
      <c r="G564" s="18">
        <v>3596</v>
      </c>
      <c r="H564" s="18"/>
      <c r="I564" s="18"/>
      <c r="J564" s="18"/>
      <c r="K564" s="18"/>
      <c r="L564" s="88">
        <f>SUM(F564:K564)</f>
        <v>12482</v>
      </c>
      <c r="M564" s="8"/>
      <c r="N564" s="264"/>
    </row>
    <row r="565" spans="1:14" s="3" customFormat="1" ht="12.2" customHeight="1" thickBot="1" x14ac:dyDescent="0.2">
      <c r="A565" s="22" t="s">
        <v>635</v>
      </c>
      <c r="B565" s="105">
        <v>22</v>
      </c>
      <c r="C565" s="118">
        <v>7</v>
      </c>
      <c r="D565" s="2" t="s">
        <v>432</v>
      </c>
      <c r="E565" s="118"/>
      <c r="F565" s="18">
        <v>27475</v>
      </c>
      <c r="G565" s="18">
        <v>11119</v>
      </c>
      <c r="H565" s="18"/>
      <c r="I565" s="18"/>
      <c r="J565" s="18"/>
      <c r="K565" s="18"/>
      <c r="L565" s="88">
        <f>SUM(F565:K565)</f>
        <v>38594</v>
      </c>
      <c r="M565" s="8"/>
      <c r="N565" s="264"/>
    </row>
    <row r="566" spans="1:14" s="3" customFormat="1" ht="12.2" customHeight="1" thickTop="1" x14ac:dyDescent="0.15">
      <c r="A566" s="139" t="s">
        <v>65</v>
      </c>
      <c r="B566" s="107">
        <v>22</v>
      </c>
      <c r="C566" s="107">
        <v>8</v>
      </c>
      <c r="D566" s="196" t="s">
        <v>432</v>
      </c>
      <c r="E566" s="107"/>
      <c r="F566" s="89">
        <f t="shared" ref="F566:L566" si="44">SUM(F563:F565)</f>
        <v>64019</v>
      </c>
      <c r="G566" s="89">
        <f t="shared" si="44"/>
        <v>25908</v>
      </c>
      <c r="H566" s="89">
        <f t="shared" si="44"/>
        <v>0</v>
      </c>
      <c r="I566" s="89">
        <f t="shared" si="44"/>
        <v>0</v>
      </c>
      <c r="J566" s="89">
        <f t="shared" si="44"/>
        <v>0</v>
      </c>
      <c r="K566" s="89">
        <f t="shared" si="44"/>
        <v>0</v>
      </c>
      <c r="L566" s="89">
        <f t="shared" si="44"/>
        <v>89927</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64019</v>
      </c>
      <c r="G572" s="89">
        <f t="shared" ref="G572:L572" si="46">G561+G566+G571</f>
        <v>25908</v>
      </c>
      <c r="H572" s="89">
        <f t="shared" si="46"/>
        <v>0</v>
      </c>
      <c r="I572" s="89">
        <f t="shared" si="46"/>
        <v>0</v>
      </c>
      <c r="J572" s="89">
        <f t="shared" si="46"/>
        <v>0</v>
      </c>
      <c r="K572" s="89">
        <f t="shared" si="46"/>
        <v>0</v>
      </c>
      <c r="L572" s="89">
        <f t="shared" si="46"/>
        <v>89927</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v>6311</v>
      </c>
      <c r="H580" s="18"/>
      <c r="I580" s="87">
        <f t="shared" si="47"/>
        <v>6311</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f>14910+105819</f>
        <v>120729</v>
      </c>
      <c r="G581" s="18"/>
      <c r="H581" s="18">
        <v>57242</v>
      </c>
      <c r="I581" s="87">
        <f t="shared" si="47"/>
        <v>177971</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f>3816+112003</f>
        <v>115819</v>
      </c>
      <c r="G583" s="18"/>
      <c r="H583" s="18">
        <f>38062+278680</f>
        <v>316742</v>
      </c>
      <c r="I583" s="87">
        <f t="shared" si="47"/>
        <v>432561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221272</v>
      </c>
      <c r="I585" s="87">
        <f t="shared" si="47"/>
        <v>221272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410525</v>
      </c>
      <c r="I592" s="18">
        <v>131902</v>
      </c>
      <c r="J592" s="18">
        <v>355818</v>
      </c>
      <c r="K592" s="104">
        <f t="shared" ref="K592:K598" si="48">SUM(H592:J592)</f>
        <v>898245</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117236</v>
      </c>
      <c r="I593" s="18">
        <v>6943</v>
      </c>
      <c r="J593" s="18">
        <v>120955</v>
      </c>
      <c r="K593" s="104">
        <f t="shared" si="48"/>
        <v>245134</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v>52000</v>
      </c>
      <c r="K594" s="104">
        <f t="shared" si="48"/>
        <v>52000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14250</v>
      </c>
      <c r="J595" s="18">
        <v>42234</v>
      </c>
      <c r="K595" s="104">
        <f t="shared" si="48"/>
        <v>56484</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c r="J596" s="18">
        <v>560</v>
      </c>
      <c r="K596" s="104">
        <f t="shared" si="48"/>
        <v>560</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527761</v>
      </c>
      <c r="I599" s="108">
        <f>SUM(I592:I598)</f>
        <v>153095</v>
      </c>
      <c r="J599" s="108">
        <f>SUM(J592:J598)</f>
        <v>571567</v>
      </c>
      <c r="K599" s="108">
        <f>SUM(K592:K598)</f>
        <v>1252423</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247925</v>
      </c>
      <c r="I605" s="18">
        <v>82349</v>
      </c>
      <c r="J605" s="18">
        <v>248989</v>
      </c>
      <c r="K605" s="104">
        <f>SUM(H605:J605)</f>
        <v>579263</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247925</v>
      </c>
      <c r="I606" s="108">
        <f>SUM(I603:I605)</f>
        <v>82349</v>
      </c>
      <c r="J606" s="108">
        <f>SUM(J603:J605)</f>
        <v>248989</v>
      </c>
      <c r="K606" s="108">
        <f>SUM(K603:K605)</f>
        <v>579263</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4264496</v>
      </c>
      <c r="H618" s="109">
        <f>SUM(F52)</f>
        <v>4264496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45764</v>
      </c>
      <c r="H619" s="109">
        <f>SUM(G52)</f>
        <v>45764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403345</v>
      </c>
      <c r="H620" s="109">
        <f>SUM(H52)</f>
        <v>403345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614459</v>
      </c>
      <c r="H622" s="109">
        <f>SUM(J52)</f>
        <v>614459</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3551256</v>
      </c>
      <c r="H623" s="109">
        <f>F477</f>
        <v>3551256</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-18603</v>
      </c>
      <c r="H624" s="109">
        <f>G477</f>
        <v>-18603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230168</v>
      </c>
      <c r="H625" s="109">
        <f>H477</f>
        <v>230168</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614459</v>
      </c>
      <c r="H627" s="109">
        <f>J477</f>
        <v>614459</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33056372</v>
      </c>
      <c r="H628" s="104">
        <f>SUM(F469)</f>
        <v>33056372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581397</v>
      </c>
      <c r="H629" s="104">
        <f>SUM(G469)</f>
        <v>581397</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1293872</v>
      </c>
      <c r="H630" s="104">
        <f>SUM(H469)</f>
        <v>1293872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125368</v>
      </c>
      <c r="H632" s="104">
        <f>SUM(J469)</f>
        <v>125368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32734952</v>
      </c>
      <c r="H633" s="104">
        <f>SUM(F473)</f>
        <v>32734952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1231673</v>
      </c>
      <c r="H634" s="104">
        <f>SUM(H473)</f>
        <v>1231673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1715</v>
      </c>
      <c r="H635" s="104">
        <f>I370</f>
        <v>1715</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650039</v>
      </c>
      <c r="H636" s="104">
        <f>SUM(G473)</f>
        <v>650039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125368</v>
      </c>
      <c r="H638" s="164">
        <f>SUM(J469)</f>
        <v>125368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373265</v>
      </c>
      <c r="H640" s="104">
        <f>SUM(F462)</f>
        <v>373265</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241194</v>
      </c>
      <c r="H641" s="104">
        <f>SUM(G462)</f>
        <v>241194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614459</v>
      </c>
      <c r="H643" s="104">
        <f>SUM(I462)</f>
        <v>614459</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368</v>
      </c>
      <c r="H645" s="104">
        <f>H409</f>
        <v>368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125000</v>
      </c>
      <c r="H646" s="104">
        <f>G409</f>
        <v>125000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125368</v>
      </c>
      <c r="H647" s="104">
        <f>L409</f>
        <v>125368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1252423</v>
      </c>
      <c r="H648" s="104">
        <f>L209+L227+L245</f>
        <v>1252423</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579263</v>
      </c>
      <c r="H649" s="104">
        <f>(J258+J339)-(J256+J337)</f>
        <v>579263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527761</v>
      </c>
      <c r="H650" s="104">
        <f>H599</f>
        <v>527761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153095</v>
      </c>
      <c r="H651" s="104">
        <f>I599</f>
        <v>153095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571567</v>
      </c>
      <c r="H652" s="104">
        <f>J599</f>
        <v>571567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125000</v>
      </c>
      <c r="H656" s="104">
        <f>K267+K348</f>
        <v>125000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14132143</v>
      </c>
      <c r="G661" s="19">
        <f>(L230+L310+L360)</f>
        <v>4493943</v>
      </c>
      <c r="H661" s="19">
        <f>(L248+L329+L361)</f>
        <v>13062302</v>
      </c>
      <c r="I661" s="19">
        <f>SUM(F661:H661)</f>
        <v>31688388</v>
      </c>
      <c r="J661" s="13"/>
      <c r="K661" s="13"/>
      <c r="L661" s="13"/>
      <c r="M661" s="9"/>
    </row>
    <row r="662" spans="1:13" s="3" customFormat="1" ht="12.2" customHeight="1" x14ac:dyDescent="0.2">
      <c r="A662" s="1" t="s">
        <v>127</v>
      </c>
      <c r="F662" s="19">
        <f>(L359/IF(SUM(L359:L361)=0,1,SUM(L359:L361))*(SUM(G97:G110)))</f>
        <v>18063.629966817374</v>
      </c>
      <c r="G662" s="19">
        <f>(L360/IF(SUM(L359:L361)=0,1,SUM(L359:L361))*(SUM(G97:G110)))</f>
        <v>5803.8006335004511</v>
      </c>
      <c r="H662" s="19">
        <f>(L361/IF(SUM(L359:L361)=0,1,SUM(L359:L361))*(SUM(G97:G110)))</f>
        <v>17944.569399682172</v>
      </c>
      <c r="I662" s="19">
        <f>SUM(F662:H662)</f>
        <v>41812</v>
      </c>
      <c r="J662"/>
      <c r="K662" s="13"/>
      <c r="L662" s="13"/>
      <c r="M662" s="8"/>
    </row>
    <row r="663" spans="1:13" s="3" customFormat="1" ht="12.2" customHeight="1" x14ac:dyDescent="0.2">
      <c r="A663" s="1" t="s">
        <v>128</v>
      </c>
      <c r="F663" s="19">
        <f>(L209+L288)-(J209+J288)</f>
        <v>527761</v>
      </c>
      <c r="G663" s="19">
        <f>(L227+L307)-(J227+J307)</f>
        <v>153095</v>
      </c>
      <c r="H663" s="19">
        <f>(L245+L326)-(J245+J326)</f>
        <v>571567</v>
      </c>
      <c r="I663" s="19">
        <f>SUM(F663:H663)</f>
        <v>1252423</v>
      </c>
      <c r="J663"/>
      <c r="K663" s="13"/>
      <c r="L663" s="13"/>
      <c r="M663" s="9"/>
    </row>
    <row r="664" spans="1:13" s="3" customFormat="1" ht="12.2" customHeight="1" x14ac:dyDescent="0.15">
      <c r="A664" s="198" t="s">
        <v>129</v>
      </c>
      <c r="B664" s="169"/>
      <c r="C664" s="169"/>
      <c r="D664" s="169"/>
      <c r="E664" s="169"/>
      <c r="F664" s="199">
        <f>SUM(F576:F588)+SUM(H603:H605)+SUM(L612)</f>
        <v>484473</v>
      </c>
      <c r="G664" s="199">
        <f>SUM(G576:G588)+SUM(I603:I605)+L613</f>
        <v>88660</v>
      </c>
      <c r="H664" s="199">
        <f>SUM(H576:H588)+SUM(J603:J605)+L614</f>
        <v>844245</v>
      </c>
      <c r="I664" s="19">
        <f>SUM(F664:H664)</f>
        <v>1417378</v>
      </c>
      <c r="J664" s="13"/>
      <c r="K664" s="13"/>
      <c r="L664" s="13"/>
      <c r="M664" s="9"/>
    </row>
    <row r="665" spans="1:13" s="3" customFormat="1" ht="12.2" customHeight="1" x14ac:dyDescent="0.15">
      <c r="A665" s="1" t="s">
        <v>130</v>
      </c>
      <c r="F665" s="19">
        <f>F661-SUM(F662:F664)</f>
        <v>13101845.370033182</v>
      </c>
      <c r="G665" s="19">
        <f>G661-SUM(G662:G664)</f>
        <v>4246384.1993664997</v>
      </c>
      <c r="H665" s="19">
        <f>H661-SUM(H662:H664)</f>
        <v>11628545.430600317</v>
      </c>
      <c r="I665" s="19">
        <f>I661-SUM(I662:I664)</f>
        <v>28976775</v>
      </c>
      <c r="J665" s="13"/>
      <c r="K665" s="13"/>
      <c r="L665" s="13"/>
      <c r="M665" s="8"/>
    </row>
    <row r="666" spans="1:13" s="3" customFormat="1" ht="12.2" customHeight="1" x14ac:dyDescent="0.25">
      <c r="A666" s="1" t="s">
        <v>131</v>
      </c>
      <c r="F666" s="359">
        <v>615.46</v>
      </c>
      <c r="G666" s="359">
        <v>197.75</v>
      </c>
      <c r="H666" s="359">
        <v>608.78</v>
      </c>
      <c r="I666" s="19">
        <f>SUM(F666:H666)</f>
        <v>1421.99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21287.89</v>
      </c>
      <c r="G668" s="19">
        <f>ROUND(G665/G666,2)</f>
        <v>21473.5</v>
      </c>
      <c r="H668" s="19">
        <f>ROUND(H665/H666,2)</f>
        <v>19101.39</v>
      </c>
      <c r="I668" s="19">
        <f>ROUND(I665/I666,2)</f>
        <v>20377.62</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-20.11</v>
      </c>
      <c r="I671" s="19">
        <f>SUM(F671:H671)</f>
        <v>-20.11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21287.89</v>
      </c>
      <c r="G673" s="19">
        <f>ROUND((G665+G670)/(G666+G671),2)</f>
        <v>21473.5</v>
      </c>
      <c r="H673" s="19">
        <f>ROUND((H665+H670)/(H666+H671),2)</f>
        <v>19753.93</v>
      </c>
      <c r="I673" s="19">
        <f>ROUND((I665+I670)/(I666+I671),2)</f>
        <v>20669.939999999999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70" zoomScaleNormal="70" workbookViewId="0">
      <selection activeCell="C34" sqref="C34"/>
    </sheetView>
  </sheetViews>
  <sheetFormatPr defaultColWidth="9.33203125"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153376</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575349</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158357</v>
      </c>
      <c r="F22" s="346"/>
    </row>
    <row r="23" spans="2:8" x14ac:dyDescent="0.25">
      <c r="B23" s="346"/>
      <c r="C23" s="346"/>
      <c r="D23" s="346"/>
      <c r="E23" s="346"/>
      <c r="F23" s="346"/>
    </row>
    <row r="24" spans="2:8" ht="26.25" customHeight="1" x14ac:dyDescent="0.25">
      <c r="B24" s="346"/>
      <c r="C24" s="348" t="s">
        <v>1661</v>
      </c>
      <c r="D24" s="346"/>
      <c r="E24" s="341">
        <f>42346+352134</f>
        <v>394480</v>
      </c>
      <c r="F24" s="346"/>
    </row>
    <row r="25" spans="2:8" ht="18" x14ac:dyDescent="0.25">
      <c r="B25" s="346"/>
      <c r="C25" s="349"/>
      <c r="D25" s="346"/>
      <c r="E25" s="346"/>
      <c r="F25" s="346"/>
    </row>
    <row r="26" spans="2:8" ht="27.75" customHeight="1" x14ac:dyDescent="0.25">
      <c r="B26" s="346"/>
      <c r="C26" s="348" t="s">
        <v>1662</v>
      </c>
      <c r="D26" s="346"/>
      <c r="E26" s="341"/>
      <c r="F26" s="346"/>
    </row>
    <row r="27" spans="2:8" x14ac:dyDescent="0.25">
      <c r="B27" s="346"/>
      <c r="C27" s="348"/>
      <c r="D27" s="346"/>
      <c r="E27" s="346"/>
      <c r="F27" s="346"/>
    </row>
    <row r="28" spans="2:8" ht="15.75" customHeight="1" x14ac:dyDescent="0.25">
      <c r="B28" s="346"/>
      <c r="C28" s="348" t="s">
        <v>1663</v>
      </c>
      <c r="D28" s="346"/>
      <c r="E28" s="342">
        <v>111030</v>
      </c>
      <c r="F28" s="346"/>
    </row>
    <row r="29" spans="2:8" x14ac:dyDescent="0.25">
      <c r="B29" s="346"/>
      <c r="C29" s="346"/>
      <c r="D29" s="346"/>
      <c r="E29" s="346"/>
      <c r="F29" s="346"/>
    </row>
    <row r="30" spans="2:8" ht="16.5" customHeight="1" x14ac:dyDescent="0.25">
      <c r="B30" s="346"/>
      <c r="C30" s="348" t="s">
        <v>1664</v>
      </c>
      <c r="D30" s="346"/>
      <c r="E30" s="341">
        <v>214020</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Sanborn Regional School District - SAU 17</v>
      </c>
      <c r="C5" s="363"/>
      <c r="D5" s="363"/>
      <c r="E5" s="363"/>
      <c r="F5" s="363"/>
    </row>
    <row r="8" spans="1:9" ht="18" x14ac:dyDescent="0.25">
      <c r="A8" s="317" t="s">
        <v>1576</v>
      </c>
      <c r="F8" s="324" t="s">
        <v>1594</v>
      </c>
    </row>
    <row r="9" spans="1:9" ht="15" x14ac:dyDescent="0.2">
      <c r="A9" s="315" t="s">
        <v>1577</v>
      </c>
      <c r="B9" s="318">
        <f>'DOE25'!G97</f>
        <v>41812</v>
      </c>
      <c r="F9" s="315" t="s">
        <v>1590</v>
      </c>
    </row>
    <row r="10" spans="1:9" ht="15" x14ac:dyDescent="0.2">
      <c r="A10" s="315" t="s">
        <v>1578</v>
      </c>
      <c r="B10" s="318">
        <f>'DOE25'!G112-'DOE25'!G97</f>
        <v>0</v>
      </c>
      <c r="F10" s="315" t="s">
        <v>1591</v>
      </c>
    </row>
    <row r="11" spans="1:9" ht="15" x14ac:dyDescent="0.2">
      <c r="A11" s="315" t="s">
        <v>1579</v>
      </c>
      <c r="B11" s="318">
        <f>'DOE25'!G140</f>
        <v>9650</v>
      </c>
      <c r="F11" s="315" t="s">
        <v>1592</v>
      </c>
    </row>
    <row r="12" spans="1:9" ht="15" x14ac:dyDescent="0.2">
      <c r="A12" s="315" t="s">
        <v>1580</v>
      </c>
      <c r="B12" s="318">
        <f>'DOE25'!G170</f>
        <v>529935</v>
      </c>
      <c r="F12" s="315" t="s">
        <v>1593</v>
      </c>
    </row>
    <row r="13" spans="1:9" ht="15" x14ac:dyDescent="0.2">
      <c r="A13" s="315" t="s">
        <v>1581</v>
      </c>
      <c r="B13" s="318">
        <f>'DOE25'!G193-'DOE25'!G180</f>
        <v>0</v>
      </c>
      <c r="F13" s="315" t="s">
        <v>1603</v>
      </c>
    </row>
    <row r="14" spans="1:9" ht="18" x14ac:dyDescent="0.25">
      <c r="A14" s="317" t="s">
        <v>732</v>
      </c>
      <c r="B14" s="319">
        <f>SUM(B9:B13)</f>
        <v>581397</v>
      </c>
    </row>
    <row r="16" spans="1:9" ht="18" x14ac:dyDescent="0.25">
      <c r="A16" s="317" t="s">
        <v>786</v>
      </c>
      <c r="F16" s="324" t="s">
        <v>1595</v>
      </c>
    </row>
    <row r="17" spans="1:6" ht="15" x14ac:dyDescent="0.2">
      <c r="A17" s="315" t="s">
        <v>1582</v>
      </c>
      <c r="B17" s="318">
        <f>'DOE25'!L363-'DOE25'!L362</f>
        <v>650039</v>
      </c>
      <c r="F17" s="315" t="s">
        <v>1596</v>
      </c>
    </row>
    <row r="18" spans="1:6" ht="15" x14ac:dyDescent="0.2">
      <c r="A18" s="315" t="s">
        <v>1583</v>
      </c>
      <c r="B18" s="328"/>
      <c r="F18" s="324" t="s">
        <v>1620</v>
      </c>
    </row>
    <row r="19" spans="1:6" ht="18" x14ac:dyDescent="0.25">
      <c r="A19" s="317" t="s">
        <v>725</v>
      </c>
      <c r="B19" s="319">
        <f>SUM(B17:B18)</f>
        <v>650039</v>
      </c>
    </row>
    <row r="21" spans="1:6" ht="18.75" thickBot="1" x14ac:dyDescent="0.3">
      <c r="A21" s="317" t="s">
        <v>1584</v>
      </c>
    </row>
    <row r="22" spans="1:6" ht="18.75" thickTop="1" x14ac:dyDescent="0.25">
      <c r="A22" s="317" t="s">
        <v>1585</v>
      </c>
      <c r="B22" s="323">
        <f>B14-B19</f>
        <v>-68642</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50039</v>
      </c>
      <c r="F31" s="315" t="s">
        <v>1600</v>
      </c>
    </row>
    <row r="33" spans="1:6" ht="15" x14ac:dyDescent="0.2">
      <c r="A33" s="315" t="s">
        <v>1629</v>
      </c>
      <c r="B33" s="318">
        <f>'DOE25'!G477</f>
        <v>-18603</v>
      </c>
      <c r="F33" s="315" t="s">
        <v>1601</v>
      </c>
    </row>
    <row r="36" spans="1:6" ht="15" x14ac:dyDescent="0.2">
      <c r="A36" s="315" t="s">
        <v>1587</v>
      </c>
      <c r="B36" s="329">
        <v>46760</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39" sqref="C39"/>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Sanborn Regional School District - SAU 17</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8139876</v>
      </c>
      <c r="C9" s="229">
        <f>'DOE25'!G198+'DOE25'!G216+'DOE25'!G234+'DOE25'!G277+'DOE25'!G296+'DOE25'!G315</f>
        <v>3842376</v>
      </c>
    </row>
    <row r="10" spans="1:3" x14ac:dyDescent="0.2">
      <c r="A10" t="s">
        <v>775</v>
      </c>
      <c r="B10" s="240">
        <v>7168693</v>
      </c>
      <c r="C10" s="240">
        <v>3383935</v>
      </c>
    </row>
    <row r="11" spans="1:3" x14ac:dyDescent="0.2">
      <c r="A11" t="s">
        <v>776</v>
      </c>
      <c r="B11" s="240">
        <v>313399</v>
      </c>
      <c r="C11" s="240">
        <v>147938</v>
      </c>
    </row>
    <row r="12" spans="1:3" x14ac:dyDescent="0.2">
      <c r="A12" t="s">
        <v>777</v>
      </c>
      <c r="B12" s="240">
        <v>657784</v>
      </c>
      <c r="C12" s="240">
        <v>310503</v>
      </c>
    </row>
    <row r="13" spans="1:3" x14ac:dyDescent="0.2">
      <c r="A13" t="str">
        <f>IF(B9=B13,IF(C9=C13,"Check Total OK","Check Total Error"),"Check Total Error")</f>
        <v>Check Total OK</v>
      </c>
      <c r="B13" s="231">
        <f>SUM(B10:B12)</f>
        <v>8139876</v>
      </c>
      <c r="C13" s="231">
        <f>SUM(C10:C12)</f>
        <v>3842376</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3004758</v>
      </c>
      <c r="C18" s="229">
        <f>'DOE25'!G199+'DOE25'!G217+'DOE25'!G235+'DOE25'!G278+'DOE25'!G297+'DOE25'!G316</f>
        <v>1679264</v>
      </c>
    </row>
    <row r="19" spans="1:3" x14ac:dyDescent="0.2">
      <c r="A19" t="s">
        <v>775</v>
      </c>
      <c r="B19" s="240">
        <v>1514963</v>
      </c>
      <c r="C19" s="240">
        <v>846665</v>
      </c>
    </row>
    <row r="20" spans="1:3" x14ac:dyDescent="0.2">
      <c r="A20" t="s">
        <v>776</v>
      </c>
      <c r="B20" s="240">
        <v>1374871</v>
      </c>
      <c r="C20" s="240">
        <v>768372</v>
      </c>
    </row>
    <row r="21" spans="1:3" x14ac:dyDescent="0.2">
      <c r="A21" t="s">
        <v>777</v>
      </c>
      <c r="B21" s="240">
        <v>114924</v>
      </c>
      <c r="C21" s="240">
        <v>64227</v>
      </c>
    </row>
    <row r="22" spans="1:3" x14ac:dyDescent="0.2">
      <c r="A22" t="str">
        <f>IF(B18=B22,IF(C18=C22,"Check Total OK","Check Total Error"),"Check Total Error")</f>
        <v>Check Total OK</v>
      </c>
      <c r="B22" s="231">
        <f>SUM(B19:B21)</f>
        <v>3004758</v>
      </c>
      <c r="C22" s="231">
        <f>SUM(C19:C21)</f>
        <v>1679264</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291521</v>
      </c>
      <c r="C36" s="235">
        <f>'DOE25'!G201+'DOE25'!G219+'DOE25'!G237+'DOE25'!G280+'DOE25'!G299+'DOE25'!G318</f>
        <v>60069</v>
      </c>
    </row>
    <row r="37" spans="1:3" x14ac:dyDescent="0.2">
      <c r="A37" t="s">
        <v>775</v>
      </c>
      <c r="B37" s="240">
        <v>8737</v>
      </c>
      <c r="C37" s="240">
        <v>1800</v>
      </c>
    </row>
    <row r="38" spans="1:3" x14ac:dyDescent="0.2">
      <c r="A38" t="s">
        <v>776</v>
      </c>
      <c r="B38" s="240">
        <v>282784</v>
      </c>
      <c r="C38" s="240">
        <v>58269</v>
      </c>
    </row>
    <row r="39" spans="1:3" x14ac:dyDescent="0.2">
      <c r="A39" t="s">
        <v>777</v>
      </c>
      <c r="B39" s="240"/>
      <c r="C39" s="240"/>
    </row>
    <row r="40" spans="1:3" x14ac:dyDescent="0.2">
      <c r="A40" t="str">
        <f>IF(B36=B40,IF(C36=C40,"Check Total OK","Check Total Error"),"Check Total Error")</f>
        <v>Check Total OK</v>
      </c>
      <c r="B40" s="231">
        <f>SUM(B37:B39)</f>
        <v>291521</v>
      </c>
      <c r="C40" s="231">
        <f>SUM(C37:C39)</f>
        <v>60069</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topLeftCell="C1"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Sanborn Regional School District - SAU 17</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18112926</v>
      </c>
      <c r="D5" s="20">
        <f>SUM('DOE25'!L198:L201)+SUM('DOE25'!L216:L219)+SUM('DOE25'!L234:L237)-F5-G5-H5</f>
        <v>17936323</v>
      </c>
      <c r="E5" s="243"/>
      <c r="F5" s="244"/>
      <c r="G5" s="53">
        <f>SUM('DOE25'!J198:J201)+SUM('DOE25'!J216:J219)+SUM('DOE25'!J234:J237)</f>
        <v>160186</v>
      </c>
      <c r="H5" s="53">
        <f>SUM('DOE25'!K198:K201)+SUM('DOE25'!K216:K219)+SUM('DOE25'!K234:K237)</f>
        <v>16417</v>
      </c>
      <c r="I5" s="254"/>
    </row>
    <row r="6" spans="1:9" x14ac:dyDescent="0.2">
      <c r="A6" s="32">
        <v>2100</v>
      </c>
      <c r="B6" t="s">
        <v>796</v>
      </c>
      <c r="C6" s="273">
        <f t="shared" si="0"/>
        <v>2495884</v>
      </c>
      <c r="D6" s="20">
        <f>'DOE25'!L203+'DOE25'!L221+'DOE25'!L239-F6-G6-H6</f>
        <v>2494892</v>
      </c>
      <c r="E6" s="243"/>
      <c r="F6" s="244"/>
      <c r="G6" s="53">
        <f>'DOE25'!J203+'DOE25'!J221+'DOE25'!J239</f>
        <v>788</v>
      </c>
      <c r="H6" s="53">
        <f>'DOE25'!K203+'DOE25'!K221+'DOE25'!K239</f>
        <v>204</v>
      </c>
      <c r="I6" s="254"/>
    </row>
    <row r="7" spans="1:9" x14ac:dyDescent="0.2">
      <c r="A7" s="32">
        <v>2200</v>
      </c>
      <c r="B7" t="s">
        <v>821</v>
      </c>
      <c r="C7" s="273">
        <f t="shared" si="0"/>
        <v>497898</v>
      </c>
      <c r="D7" s="20">
        <f>'DOE25'!L204+'DOE25'!L222+'DOE25'!L240-F7-G7-H7</f>
        <v>497898</v>
      </c>
      <c r="E7" s="243"/>
      <c r="F7" s="244"/>
      <c r="G7" s="53">
        <f>'DOE25'!J204+'DOE25'!J222+'DOE25'!J240</f>
        <v>0</v>
      </c>
      <c r="H7" s="53">
        <f>'DOE25'!K204+'DOE25'!K222+'DOE25'!K240</f>
        <v>0</v>
      </c>
      <c r="I7" s="254"/>
    </row>
    <row r="8" spans="1:9" x14ac:dyDescent="0.2">
      <c r="A8" s="32">
        <v>2300</v>
      </c>
      <c r="B8" t="s">
        <v>797</v>
      </c>
      <c r="C8" s="273">
        <f t="shared" si="0"/>
        <v>1390903</v>
      </c>
      <c r="D8" s="243"/>
      <c r="E8" s="20">
        <f>'DOE25'!L205+'DOE25'!L223+'DOE25'!L241-F8-G8-H8-D9-D11</f>
        <v>1370259</v>
      </c>
      <c r="F8" s="244"/>
      <c r="G8" s="53">
        <f>'DOE25'!J205+'DOE25'!J223+'DOE25'!J241</f>
        <v>629</v>
      </c>
      <c r="H8" s="53">
        <f>'DOE25'!K205+'DOE25'!K223+'DOE25'!K241</f>
        <v>20015</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1863930</v>
      </c>
      <c r="D12" s="20">
        <f>'DOE25'!L206+'DOE25'!L224+'DOE25'!L242-F12-G12-H12</f>
        <v>1815843</v>
      </c>
      <c r="E12" s="243"/>
      <c r="F12" s="244"/>
      <c r="G12" s="53">
        <f>'DOE25'!J206+'DOE25'!J224+'DOE25'!J242</f>
        <v>0</v>
      </c>
      <c r="H12" s="53">
        <f>'DOE25'!K206+'DOE25'!K224+'DOE25'!K242</f>
        <v>48087</v>
      </c>
      <c r="I12" s="254"/>
    </row>
    <row r="13" spans="1:9" x14ac:dyDescent="0.2">
      <c r="A13" s="32">
        <v>2500</v>
      </c>
      <c r="B13" t="s">
        <v>798</v>
      </c>
      <c r="C13" s="273">
        <f t="shared" si="0"/>
        <v>480825</v>
      </c>
      <c r="D13" s="243"/>
      <c r="E13" s="20">
        <f>'DOE25'!L207+'DOE25'!L225+'DOE25'!L243-F13-G13-H13</f>
        <v>473611</v>
      </c>
      <c r="F13" s="244"/>
      <c r="G13" s="53">
        <f>'DOE25'!J207+'DOE25'!J225+'DOE25'!J243</f>
        <v>685</v>
      </c>
      <c r="H13" s="53">
        <f>'DOE25'!K207+'DOE25'!K225+'DOE25'!K243</f>
        <v>6529</v>
      </c>
      <c r="I13" s="254"/>
    </row>
    <row r="14" spans="1:9" x14ac:dyDescent="0.2">
      <c r="A14" s="32">
        <v>2600</v>
      </c>
      <c r="B14" t="s">
        <v>819</v>
      </c>
      <c r="C14" s="273">
        <f t="shared" si="0"/>
        <v>2822427</v>
      </c>
      <c r="D14" s="20">
        <f>'DOE25'!L208+'DOE25'!L226+'DOE25'!L244-F14-G14-H14</f>
        <v>2747407</v>
      </c>
      <c r="E14" s="243"/>
      <c r="F14" s="244"/>
      <c r="G14" s="53">
        <f>'DOE25'!J208+'DOE25'!J226+'DOE25'!J244</f>
        <v>65269</v>
      </c>
      <c r="H14" s="53">
        <f>'DOE25'!K208+'DOE25'!K226+'DOE25'!K244</f>
        <v>9751</v>
      </c>
      <c r="I14" s="254"/>
    </row>
    <row r="15" spans="1:9" x14ac:dyDescent="0.2">
      <c r="A15" s="32">
        <v>2700</v>
      </c>
      <c r="B15" t="s">
        <v>799</v>
      </c>
      <c r="C15" s="273">
        <f t="shared" si="0"/>
        <v>1252423</v>
      </c>
      <c r="D15" s="20">
        <f>'DOE25'!L209+'DOE25'!L227+'DOE25'!L245-F15-G15-H15</f>
        <v>1252423</v>
      </c>
      <c r="E15" s="243"/>
      <c r="F15" s="244"/>
      <c r="G15" s="53">
        <f>'DOE25'!J209+'DOE25'!J227+'DOE25'!J245</f>
        <v>0</v>
      </c>
      <c r="H15" s="53">
        <f>'DOE25'!K209+'DOE25'!K227+'DOE25'!K245</f>
        <v>0</v>
      </c>
      <c r="I15" s="254"/>
    </row>
    <row r="16" spans="1:9" x14ac:dyDescent="0.2">
      <c r="A16" s="32">
        <v>2800</v>
      </c>
      <c r="B16" t="s">
        <v>800</v>
      </c>
      <c r="C16" s="273">
        <f t="shared" si="0"/>
        <v>894984</v>
      </c>
      <c r="D16" s="243"/>
      <c r="E16" s="20">
        <f>'DOE25'!L210+'DOE25'!L228+'DOE25'!L246-F16-G16-H16</f>
        <v>894984</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497582</v>
      </c>
      <c r="D22" s="243"/>
      <c r="E22" s="243"/>
      <c r="F22" s="243"/>
      <c r="G22" s="53">
        <f>'DOE25'!L256+'DOE25'!L337</f>
        <v>497582</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2300170</v>
      </c>
      <c r="D25" s="243"/>
      <c r="E25" s="243"/>
      <c r="F25" s="253"/>
      <c r="G25" s="251"/>
      <c r="H25" s="251"/>
      <c r="I25" s="252">
        <f>'DOE25'!L261+'DOE25'!L262+'DOE25'!L342+'DOE25'!L343</f>
        <v>2300170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650039</v>
      </c>
      <c r="D29" s="281">
        <f>'DOE25'!L359+'DOE25'!L360+'DOE25'!L361-'DOE25'!I368-F29-G29-H29</f>
        <v>645152</v>
      </c>
      <c r="E29" s="243"/>
      <c r="F29" s="244"/>
      <c r="G29" s="53">
        <f>'DOE25'!J359+'DOE25'!J360+'DOE25'!J361</f>
        <v>3553</v>
      </c>
      <c r="H29" s="53">
        <f>'DOE25'!K359+'DOE25'!K360+'DOE25'!K361</f>
        <v>1334</v>
      </c>
      <c r="I29" s="254"/>
    </row>
    <row r="30" spans="1:9" x14ac:dyDescent="0.2">
      <c r="A30" s="32"/>
      <c r="C30" s="274"/>
      <c r="D30" s="20"/>
      <c r="E30" s="278"/>
      <c r="F30" s="268"/>
      <c r="G30" s="53"/>
      <c r="H30" s="53"/>
      <c r="I30" s="254"/>
    </row>
    <row r="31" spans="1:9" x14ac:dyDescent="0.2">
      <c r="A31" s="32" t="s">
        <v>818</v>
      </c>
      <c r="B31" t="s">
        <v>817</v>
      </c>
      <c r="C31" s="273">
        <f>SUM(D31:I31)</f>
        <v>1231673</v>
      </c>
      <c r="D31" s="20">
        <f>'DOE25'!L291+'DOE25'!L310+'DOE25'!L329+'DOE25'!L334+'DOE25'!L335+'DOE25'!L336-F31-G31-H31</f>
        <v>858132</v>
      </c>
      <c r="E31" s="243"/>
      <c r="F31" s="244"/>
      <c r="G31" s="53">
        <f>'DOE25'!J291+'DOE25'!J310+'DOE25'!J329+'DOE25'!J334+'DOE25'!J335+'DOE25'!J336</f>
        <v>351706</v>
      </c>
      <c r="H31" s="53">
        <f>'DOE25'!K291+'DOE25'!K310+'DOE25'!K329+'DOE25'!K334+'DOE25'!K335+'DOE25'!K336</f>
        <v>21835</v>
      </c>
      <c r="I31" s="254"/>
    </row>
    <row r="32" spans="1:9" ht="12" thickBot="1" x14ac:dyDescent="0.25">
      <c r="C32" s="274"/>
      <c r="G32" s="249"/>
      <c r="H32" s="249"/>
      <c r="I32" s="256"/>
    </row>
    <row r="33" spans="1:9" ht="12" thickTop="1" x14ac:dyDescent="0.2">
      <c r="B33" t="s">
        <v>809</v>
      </c>
      <c r="D33" s="245">
        <f t="shared" ref="D33:I33" si="1">SUM(D5:D31)</f>
        <v>28248070</v>
      </c>
      <c r="E33" s="245">
        <f t="shared" si="1"/>
        <v>2738854</v>
      </c>
      <c r="F33" s="245">
        <f t="shared" si="1"/>
        <v>0</v>
      </c>
      <c r="G33" s="245">
        <f t="shared" si="1"/>
        <v>1080398</v>
      </c>
      <c r="H33" s="245">
        <f t="shared" si="1"/>
        <v>124172</v>
      </c>
      <c r="I33" s="245">
        <f t="shared" si="1"/>
        <v>2300170</v>
      </c>
    </row>
    <row r="35" spans="1:9" ht="12" thickBot="1" x14ac:dyDescent="0.25">
      <c r="B35" s="249" t="s">
        <v>831</v>
      </c>
      <c r="D35" s="250">
        <f>E33</f>
        <v>2738854</v>
      </c>
      <c r="E35" s="246"/>
      <c r="F35" s="333" t="s">
        <v>1632</v>
      </c>
      <c r="G35" s="334"/>
      <c r="H35" s="334"/>
      <c r="I35" s="334"/>
    </row>
    <row r="36" spans="1:9" ht="12" thickTop="1" x14ac:dyDescent="0.2">
      <c r="B36" t="s">
        <v>810</v>
      </c>
      <c r="D36" s="20">
        <f>D33</f>
        <v>28248070</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1" sqref="A31"/>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Sanborn Regional School District - SAU 17</v>
      </c>
      <c r="B2" s="126">
        <f>'DOE25'!B2</f>
        <v>476</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13851313</v>
      </c>
      <c r="G4" s="300">
        <f>'DOE25'!L212+'DOE25'!L291</f>
        <v>13851313</v>
      </c>
      <c r="H4" s="353">
        <f>F4-G4</f>
        <v>0</v>
      </c>
      <c r="I4" s="371" t="str">
        <f>IF(H4=0,"","ISSUES!! Please review page 7 and 11 totals in comparison with total on this page")</f>
        <v/>
      </c>
      <c r="N4"/>
    </row>
    <row r="5" spans="1:18" x14ac:dyDescent="0.2">
      <c r="A5" s="21" t="s">
        <v>1408</v>
      </c>
      <c r="B5" s="301">
        <f>IFERROR(VLOOKUP(A5,'School Tables'!$C$3:$D$365,2,FALSE),"")</f>
        <v>20625</v>
      </c>
      <c r="C5" s="294" t="str">
        <f>IFERROR(INDEX('School Tables'!$B$3:$B$365,MATCH('School Level Expenditures'!B5,'School Tables'!$D$3:$D$365,0)),"")</f>
        <v>Sanborn Regional</v>
      </c>
      <c r="D5" s="291">
        <v>7915439</v>
      </c>
      <c r="E5" s="291">
        <v>288444</v>
      </c>
      <c r="F5" s="304">
        <f>D5+E5</f>
        <v>8203883</v>
      </c>
      <c r="G5" s="294"/>
      <c r="H5" s="294"/>
      <c r="I5" s="372"/>
      <c r="N5"/>
    </row>
    <row r="6" spans="1:18" x14ac:dyDescent="0.2">
      <c r="A6" s="21" t="s">
        <v>1644</v>
      </c>
      <c r="B6" s="301">
        <f>IFERROR(VLOOKUP(A6,'School Tables'!$C$3:$D$365,2,FALSE),"")</f>
        <v>20635</v>
      </c>
      <c r="C6" s="294" t="str">
        <f>IFERROR(INDEX('School Tables'!$B$3:$B$365,MATCH('School Level Expenditures'!B6,'School Tables'!$D$3:$D$365,0)),"")</f>
        <v>Sanborn Regional</v>
      </c>
      <c r="D6" s="291">
        <v>5419642</v>
      </c>
      <c r="E6" s="291">
        <v>227788</v>
      </c>
      <c r="F6" s="304">
        <f t="shared" ref="F6:F20" si="0">D6+E6</f>
        <v>5647430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13335081</v>
      </c>
      <c r="E21" s="351">
        <f>SUM(E5:E20)</f>
        <v>516232</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4403713</v>
      </c>
      <c r="G24" s="300">
        <f>'DOE25'!L230+'DOE25'!L310</f>
        <v>4403713</v>
      </c>
      <c r="H24" s="353">
        <f>F24-G24</f>
        <v>0</v>
      </c>
      <c r="I24" s="371" t="str">
        <f>IF(H24=0,"","ISSUES!! Please review page 8 and 12 totals in comparison with total on this page")</f>
        <v/>
      </c>
      <c r="N24"/>
    </row>
    <row r="25" spans="1:14" x14ac:dyDescent="0.2">
      <c r="A25" s="21" t="s">
        <v>1409</v>
      </c>
      <c r="B25" s="301">
        <f>IFERROR(VLOOKUP(A25,'School Tables'!$I$3:$J$80,2,FALSE),"")</f>
        <v>20630</v>
      </c>
      <c r="C25" s="294" t="str">
        <f t="array" ref="C25">IFERROR(INDEX('School Tables'!$H$3:$H$80,MATCH('School Level Expenditures'!B25,'School Tables'!$J$3:$J$80,0)),"")</f>
        <v>Sanborn Regional</v>
      </c>
      <c r="D25" s="291">
        <v>4237848</v>
      </c>
      <c r="E25" s="291">
        <v>165865</v>
      </c>
      <c r="F25" s="304">
        <f>D25+E25</f>
        <v>4403713</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4237848</v>
      </c>
      <c r="E33" s="351">
        <f>SUM(E25:E32)</f>
        <v>165865</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12783323</v>
      </c>
      <c r="G36" s="300">
        <f>'DOE25'!L248+'DOE25'!L329</f>
        <v>12783323</v>
      </c>
      <c r="H36" s="353">
        <f>F36-G36</f>
        <v>0</v>
      </c>
      <c r="I36" s="371" t="str">
        <f>IF(H36=0,"","ISSUES!! Please review page 9 and 13 totals in comparison with total on this page")</f>
        <v/>
      </c>
      <c r="N36"/>
    </row>
    <row r="37" spans="1:14" x14ac:dyDescent="0.2">
      <c r="A37" s="21" t="s">
        <v>1407</v>
      </c>
      <c r="B37" s="301">
        <f>IFERROR(VLOOKUP(A37,'School Tables'!$O$3:$P$118,2,FALSE),"")</f>
        <v>20620</v>
      </c>
      <c r="C37" s="294" t="str">
        <f t="array" ref="C37">IFERROR(INDEX('School Tables'!$N$3:$N$118,MATCH('School Level Expenditures'!B37,'School Tables'!$P$3:$P$118,0)),"")</f>
        <v>Sanborn Regional</v>
      </c>
      <c r="D37" s="291">
        <v>12366458</v>
      </c>
      <c r="E37" s="291">
        <v>416865</v>
      </c>
      <c r="F37" s="304">
        <f t="shared" ref="F37:F42" si="2">D37+E37</f>
        <v>12783323</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12366458</v>
      </c>
      <c r="E43" s="352">
        <f>SUM(E37:E42)</f>
        <v>416865</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Sanborn Regional School District - SAU 17</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3974329</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126574</v>
      </c>
      <c r="D11" s="95">
        <f>'DOE25'!G12</f>
        <v>36529</v>
      </c>
      <c r="E11" s="95">
        <f>'DOE25'!H12</f>
        <v>193597</v>
      </c>
      <c r="F11" s="95">
        <f>'DOE25'!I12</f>
        <v>0</v>
      </c>
      <c r="G11" s="95">
        <f>'DOE25'!J12</f>
        <v>0</v>
      </c>
      <c r="H11" s="124"/>
      <c r="I11" s="124"/>
    </row>
    <row r="12" spans="1:9" x14ac:dyDescent="0.2">
      <c r="A12" s="1" t="s">
        <v>143</v>
      </c>
      <c r="B12" s="6">
        <v>140</v>
      </c>
      <c r="C12" s="95">
        <f>'DOE25'!F13</f>
        <v>0</v>
      </c>
      <c r="D12" s="95">
        <f>'DOE25'!G13</f>
        <v>9235</v>
      </c>
      <c r="E12" s="95">
        <f>'DOE25'!H13</f>
        <v>16789</v>
      </c>
      <c r="F12" s="95">
        <f>'DOE25'!I13</f>
        <v>0</v>
      </c>
      <c r="G12" s="95">
        <f>'DOE25'!J13</f>
        <v>614459</v>
      </c>
      <c r="H12" s="124"/>
      <c r="I12" s="124"/>
    </row>
    <row r="13" spans="1:9" x14ac:dyDescent="0.2">
      <c r="A13" s="1" t="s">
        <v>144</v>
      </c>
      <c r="B13" s="6">
        <v>150</v>
      </c>
      <c r="C13" s="95">
        <f>'DOE25'!F14</f>
        <v>31846</v>
      </c>
      <c r="D13" s="95">
        <f>'DOE25'!G14</f>
        <v>0</v>
      </c>
      <c r="E13" s="95">
        <f>'DOE25'!H14</f>
        <v>192959</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131747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4264496</v>
      </c>
      <c r="D18" s="41">
        <f>SUM(D8:D17)</f>
        <v>45764</v>
      </c>
      <c r="E18" s="41">
        <f>SUM(E8:E17)</f>
        <v>403345</v>
      </c>
      <c r="F18" s="41">
        <f>SUM(F8:F17)</f>
        <v>0</v>
      </c>
      <c r="G18" s="41">
        <f>SUM(G8:G17)</f>
        <v>614459</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230126</v>
      </c>
      <c r="D21" s="95">
        <f>'DOE25'!G22</f>
        <v>0</v>
      </c>
      <c r="E21" s="95">
        <f>'DOE25'!H22</f>
        <v>126574</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341892</v>
      </c>
      <c r="D23" s="95">
        <f>'DOE25'!G24</f>
        <v>64367</v>
      </c>
      <c r="E23" s="95">
        <f>'DOE25'!H24</f>
        <v>15239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89350</v>
      </c>
      <c r="D27" s="95">
        <f>'DOE25'!G28</f>
        <v>0</v>
      </c>
      <c r="E27" s="95">
        <f>'DOE25'!H28</f>
        <v>0</v>
      </c>
      <c r="F27" s="95">
        <f>'DOE25'!I28</f>
        <v>0</v>
      </c>
      <c r="G27" s="24" t="s">
        <v>288</v>
      </c>
      <c r="H27" s="124"/>
      <c r="I27" s="124"/>
    </row>
    <row r="28" spans="1:9" x14ac:dyDescent="0.2">
      <c r="A28" s="1" t="s">
        <v>157</v>
      </c>
      <c r="B28" s="6">
        <v>470</v>
      </c>
      <c r="C28" s="95">
        <f>'DOE25'!F29</f>
        <v>51872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31364</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713240</v>
      </c>
      <c r="D31" s="41">
        <f>SUM(D21:D30)</f>
        <v>64367</v>
      </c>
      <c r="E31" s="41">
        <f>SUM(E21:E30)</f>
        <v>173177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131747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-18603</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195098</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545012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35070</v>
      </c>
      <c r="F47" s="95">
        <f>'DOE25'!I48</f>
        <v>0</v>
      </c>
      <c r="G47" s="95">
        <f>'DOE25'!J48</f>
        <v>614459</v>
      </c>
      <c r="H47" s="124"/>
      <c r="I47" s="124"/>
    </row>
    <row r="48" spans="1:9" x14ac:dyDescent="0.2">
      <c r="A48" s="1" t="s">
        <v>882</v>
      </c>
      <c r="B48" s="6">
        <v>753</v>
      </c>
      <c r="C48" s="95">
        <f>'DOE25'!F49</f>
        <v>492409</v>
      </c>
      <c r="D48" s="95">
        <f>'DOE25'!G49</f>
        <v>0</v>
      </c>
      <c r="E48" s="95">
        <f>'DOE25'!H49</f>
        <v>0</v>
      </c>
      <c r="F48" s="95">
        <f>'DOE25'!I49</f>
        <v>0</v>
      </c>
      <c r="G48" s="95">
        <f>'DOE25'!J49</f>
        <v>0</v>
      </c>
      <c r="H48" s="124"/>
      <c r="I48" s="124"/>
    </row>
    <row r="49" spans="1:9" ht="12" thickBot="1" x14ac:dyDescent="0.25">
      <c r="A49" s="29" t="s">
        <v>883</v>
      </c>
      <c r="B49" s="71">
        <v>770</v>
      </c>
      <c r="C49" s="95">
        <f>'DOE25'!F50</f>
        <v>2282088</v>
      </c>
      <c r="D49" s="24" t="s">
        <v>288</v>
      </c>
      <c r="E49" s="24" t="s">
        <v>288</v>
      </c>
      <c r="F49" s="24" t="s">
        <v>288</v>
      </c>
      <c r="G49" s="24" t="s">
        <v>288</v>
      </c>
      <c r="H49" s="124"/>
      <c r="I49" s="124"/>
    </row>
    <row r="50" spans="1:9" ht="12.75" thickTop="1" thickBot="1" x14ac:dyDescent="0.25">
      <c r="A50" s="38" t="s">
        <v>884</v>
      </c>
      <c r="B50" s="48"/>
      <c r="C50" s="41">
        <f>SUM(C34:C49)</f>
        <v>3551256</v>
      </c>
      <c r="D50" s="41">
        <f>SUM(D34:D49)</f>
        <v>-18603</v>
      </c>
      <c r="E50" s="41">
        <f>SUM(E34:E49)</f>
        <v>230168</v>
      </c>
      <c r="F50" s="41">
        <f>SUM(F34:F49)</f>
        <v>0</v>
      </c>
      <c r="G50" s="41">
        <f>SUM(G34:G49)</f>
        <v>614459</v>
      </c>
      <c r="H50" s="124"/>
      <c r="I50" s="124"/>
    </row>
    <row r="51" spans="1:9" ht="12" thickTop="1" x14ac:dyDescent="0.2">
      <c r="A51" s="38" t="s">
        <v>885</v>
      </c>
      <c r="B51" s="2"/>
      <c r="C51" s="41">
        <f>C50+C31</f>
        <v>4264496</v>
      </c>
      <c r="D51" s="41">
        <f>D50+D31</f>
        <v>45764</v>
      </c>
      <c r="E51" s="41">
        <f>E50+E31</f>
        <v>403345</v>
      </c>
      <c r="F51" s="41">
        <f>F50+F31</f>
        <v>0</v>
      </c>
      <c r="G51" s="41">
        <f>G50+G31</f>
        <v>614459</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21800486</v>
      </c>
      <c r="D56" s="95">
        <f>'DOE25'!G60</f>
        <v>0</v>
      </c>
      <c r="E56" s="95">
        <f>'DOE25'!H60</f>
        <v>0</v>
      </c>
      <c r="F56" s="95">
        <f>'DOE25'!I60</f>
        <v>0</v>
      </c>
      <c r="G56" s="95">
        <f>'DOE25'!J60</f>
        <v>0</v>
      </c>
      <c r="H56"/>
      <c r="I56"/>
    </row>
    <row r="57" spans="1:9" x14ac:dyDescent="0.2">
      <c r="A57" s="1" t="s">
        <v>164</v>
      </c>
      <c r="B57" s="6" t="s">
        <v>165</v>
      </c>
      <c r="C57" s="95">
        <f>'DOE25'!F79</f>
        <v>4083750</v>
      </c>
      <c r="D57" s="24" t="s">
        <v>288</v>
      </c>
      <c r="E57" s="95">
        <f>'DOE25'!H79</f>
        <v>29188</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6735</v>
      </c>
      <c r="D59" s="95">
        <f>'DOE25'!G96</f>
        <v>0</v>
      </c>
      <c r="E59" s="95">
        <f>'DOE25'!H96</f>
        <v>0</v>
      </c>
      <c r="F59" s="95">
        <f>'DOE25'!I96</f>
        <v>0</v>
      </c>
      <c r="G59" s="95">
        <f>'DOE25'!J96</f>
        <v>368</v>
      </c>
      <c r="H59"/>
      <c r="I59"/>
    </row>
    <row r="60" spans="1:9" x14ac:dyDescent="0.2">
      <c r="A60" s="1" t="s">
        <v>170</v>
      </c>
      <c r="B60" s="118" t="s">
        <v>171</v>
      </c>
      <c r="C60" s="24" t="s">
        <v>288</v>
      </c>
      <c r="D60" s="95">
        <f>'DOE25'!G97</f>
        <v>41812</v>
      </c>
      <c r="E60" s="24" t="s">
        <v>288</v>
      </c>
      <c r="F60" s="24" t="s">
        <v>288</v>
      </c>
      <c r="G60" s="24" t="s">
        <v>288</v>
      </c>
      <c r="H60"/>
      <c r="I60"/>
    </row>
    <row r="61" spans="1:9" ht="12" thickBot="1" x14ac:dyDescent="0.25">
      <c r="A61" s="1" t="s">
        <v>172</v>
      </c>
      <c r="B61" s="118" t="s">
        <v>173</v>
      </c>
      <c r="C61" s="95">
        <f>SUM('DOE25'!F98:F110)</f>
        <v>187992</v>
      </c>
      <c r="D61" s="95">
        <f>SUM('DOE25'!G98:G110)</f>
        <v>0</v>
      </c>
      <c r="E61" s="95">
        <f>SUM('DOE25'!H98:H110)</f>
        <v>165721</v>
      </c>
      <c r="F61" s="95">
        <f>SUM('DOE25'!I98:I110)</f>
        <v>0</v>
      </c>
      <c r="G61" s="95">
        <f>SUM('DOE25'!J98:J110)</f>
        <v>0</v>
      </c>
      <c r="H61"/>
      <c r="I61"/>
    </row>
    <row r="62" spans="1:9" ht="12.75" thickTop="1" thickBot="1" x14ac:dyDescent="0.25">
      <c r="A62" s="29" t="s">
        <v>174</v>
      </c>
      <c r="B62" s="6"/>
      <c r="C62" s="130">
        <f>SUM(C57:C61)</f>
        <v>4278477</v>
      </c>
      <c r="D62" s="130">
        <f>SUM(D57:D61)</f>
        <v>41812</v>
      </c>
      <c r="E62" s="130">
        <f>SUM(E57:E61)</f>
        <v>194909</v>
      </c>
      <c r="F62" s="130">
        <f>SUM(F57:F61)</f>
        <v>0</v>
      </c>
      <c r="G62" s="130">
        <f>SUM(G57:G61)</f>
        <v>368</v>
      </c>
      <c r="H62"/>
      <c r="I62"/>
    </row>
    <row r="63" spans="1:9" ht="12" thickTop="1" x14ac:dyDescent="0.2">
      <c r="A63" s="29" t="s">
        <v>175</v>
      </c>
      <c r="B63" s="6"/>
      <c r="C63" s="22">
        <f>C56+C62</f>
        <v>26078963</v>
      </c>
      <c r="D63" s="22">
        <f>D56+D62</f>
        <v>41812</v>
      </c>
      <c r="E63" s="22">
        <f>E56+E62</f>
        <v>194909</v>
      </c>
      <c r="F63" s="22">
        <f>F56+F62</f>
        <v>0</v>
      </c>
      <c r="G63" s="22">
        <f>G56+G62</f>
        <v>368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3302763</v>
      </c>
      <c r="D66" s="24" t="s">
        <v>288</v>
      </c>
      <c r="E66" s="24" t="s">
        <v>288</v>
      </c>
      <c r="F66" s="24" t="s">
        <v>288</v>
      </c>
      <c r="G66" s="24" t="s">
        <v>288</v>
      </c>
      <c r="H66"/>
      <c r="I66"/>
    </row>
    <row r="67" spans="1:9" x14ac:dyDescent="0.2">
      <c r="A67" s="1" t="s">
        <v>770</v>
      </c>
      <c r="B67" s="6">
        <v>3112</v>
      </c>
      <c r="C67" s="95">
        <f>'DOE25'!F118</f>
        <v>2701738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5986</v>
      </c>
      <c r="D69" s="95">
        <f>'DOE25'!G120</f>
        <v>0</v>
      </c>
      <c r="E69" s="95">
        <f>'DOE25'!H120</f>
        <v>0</v>
      </c>
      <c r="F69" s="95">
        <f>'DOE25'!I120</f>
        <v>0</v>
      </c>
      <c r="G69" s="95">
        <f>'DOE25'!J120</f>
        <v>0</v>
      </c>
      <c r="H69"/>
      <c r="I69"/>
    </row>
    <row r="70" spans="1:9" ht="12" thickTop="1" x14ac:dyDescent="0.2">
      <c r="A70" s="29" t="s">
        <v>252</v>
      </c>
      <c r="B70" s="2"/>
      <c r="C70" s="139">
        <f>SUM(C66:C69)</f>
        <v>6010487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513515</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232878</v>
      </c>
      <c r="D75" s="24" t="s">
        <v>288</v>
      </c>
      <c r="E75" s="24" t="s">
        <v>288</v>
      </c>
      <c r="F75" s="24" t="s">
        <v>288</v>
      </c>
      <c r="G75" s="24" t="s">
        <v>288</v>
      </c>
      <c r="H75"/>
      <c r="I75"/>
    </row>
    <row r="76" spans="1:9" x14ac:dyDescent="0.2">
      <c r="A76" s="1" t="s">
        <v>257</v>
      </c>
      <c r="B76" s="6" t="s">
        <v>179</v>
      </c>
      <c r="C76" s="95">
        <f>SUM('DOE25'!F127:F130)</f>
        <v>15498</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9650</v>
      </c>
      <c r="E77" s="95">
        <f>SUM('DOE25'!H131:H135)</f>
        <v>0</v>
      </c>
      <c r="F77" s="95">
        <f>SUM('DOE25'!I131:I135)</f>
        <v>0</v>
      </c>
      <c r="G77" s="95">
        <f>SUM('DOE25'!J131:J135)</f>
        <v>0</v>
      </c>
      <c r="H77"/>
      <c r="I77"/>
    </row>
    <row r="78" spans="1:9" ht="12.75" thickTop="1" thickBot="1" x14ac:dyDescent="0.25">
      <c r="A78" s="29" t="s">
        <v>259</v>
      </c>
      <c r="B78" s="6"/>
      <c r="C78" s="130">
        <f>SUM(C72:C77)</f>
        <v>761891</v>
      </c>
      <c r="D78" s="130">
        <f>SUM(D72:D77)</f>
        <v>9650</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6772378</v>
      </c>
      <c r="D81" s="130">
        <f>SUM(D79:D80)+D78+D70</f>
        <v>9650</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205031</v>
      </c>
      <c r="D88" s="331">
        <f>SUM('DOE25'!G153:G162)</f>
        <v>529935</v>
      </c>
      <c r="E88" s="331">
        <f>SUM('DOE25'!H153:H162)</f>
        <v>1098963</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205031</v>
      </c>
      <c r="D91" s="131">
        <f>SUM(D85:D90)</f>
        <v>529935</v>
      </c>
      <c r="E91" s="131">
        <f>SUM(E85:E90)</f>
        <v>1098963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125000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125000</v>
      </c>
    </row>
    <row r="104" spans="1:7" ht="12.75" thickTop="1" thickBot="1" x14ac:dyDescent="0.25">
      <c r="A104" s="33" t="s">
        <v>761</v>
      </c>
      <c r="C104" s="86">
        <f>C63+C81+C91+C103</f>
        <v>33056372</v>
      </c>
      <c r="D104" s="86">
        <f>D63+D81+D91+D103</f>
        <v>581397</v>
      </c>
      <c r="E104" s="86">
        <f>E63+E81+E91+E103</f>
        <v>1293872</v>
      </c>
      <c r="F104" s="86">
        <f>F63+F81+F91+F103</f>
        <v>0</v>
      </c>
      <c r="G104" s="86">
        <f>G63+G81+G103</f>
        <v>125368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12269613</v>
      </c>
      <c r="D109" s="24" t="s">
        <v>288</v>
      </c>
      <c r="E109" s="95">
        <f>('DOE25'!L277)+('DOE25'!L296)+('DOE25'!L315)</f>
        <v>645544</v>
      </c>
      <c r="F109" s="24" t="s">
        <v>288</v>
      </c>
      <c r="G109" s="24" t="s">
        <v>288</v>
      </c>
    </row>
    <row r="110" spans="1:7" x14ac:dyDescent="0.2">
      <c r="A110" t="s">
        <v>198</v>
      </c>
      <c r="B110" s="32" t="s">
        <v>199</v>
      </c>
      <c r="C110" s="95">
        <f>('DOE25'!L199)+('DOE25'!L217)+('DOE25'!L235)</f>
        <v>5149521</v>
      </c>
      <c r="D110" s="24" t="s">
        <v>288</v>
      </c>
      <c r="E110" s="95">
        <f>('DOE25'!L278)+('DOE25'!L297)+('DOE25'!L316)</f>
        <v>308392</v>
      </c>
      <c r="F110" s="24" t="s">
        <v>288</v>
      </c>
      <c r="G110" s="24" t="s">
        <v>288</v>
      </c>
    </row>
    <row r="111" spans="1:7" x14ac:dyDescent="0.2">
      <c r="A111" t="s">
        <v>200</v>
      </c>
      <c r="B111" s="32" t="s">
        <v>165</v>
      </c>
      <c r="C111" s="95">
        <f>('DOE25'!L200)+('DOE25'!L218)+('DOE25'!L236)</f>
        <v>221272</v>
      </c>
      <c r="D111" s="24" t="s">
        <v>288</v>
      </c>
      <c r="E111" s="95">
        <f>('DOE25'!L279)+('DOE25'!L298)+('DOE25'!L317)</f>
        <v>0</v>
      </c>
      <c r="F111" s="24" t="s">
        <v>288</v>
      </c>
      <c r="G111" s="24" t="s">
        <v>288</v>
      </c>
    </row>
    <row r="112" spans="1:7" x14ac:dyDescent="0.2">
      <c r="A112" t="s">
        <v>201</v>
      </c>
      <c r="B112" s="32" t="s">
        <v>167</v>
      </c>
      <c r="C112" s="95">
        <f>('DOE25'!L201)+('DOE25'!L219)+('DOE25'!L237)</f>
        <v>472520</v>
      </c>
      <c r="D112" s="24" t="s">
        <v>288</v>
      </c>
      <c r="E112" s="95">
        <f>+('DOE25'!L280)+('DOE25'!L299)+('DOE25'!L318)</f>
        <v>6525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5524</v>
      </c>
      <c r="F114" s="24" t="s">
        <v>288</v>
      </c>
      <c r="G114" s="24" t="s">
        <v>288</v>
      </c>
    </row>
    <row r="115" spans="1:7" ht="12.75" thickTop="1" thickBot="1" x14ac:dyDescent="0.25">
      <c r="A115" s="33" t="s">
        <v>205</v>
      </c>
      <c r="C115" s="86">
        <f>SUM(C109:C114)</f>
        <v>18112926</v>
      </c>
      <c r="D115" s="86">
        <f>SUM(D109:D114)</f>
        <v>0</v>
      </c>
      <c r="E115" s="86">
        <f>SUM(E109:E114)</f>
        <v>965985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2495884</v>
      </c>
      <c r="D118" s="24" t="s">
        <v>288</v>
      </c>
      <c r="E118" s="95">
        <f>+('DOE25'!L282)+('DOE25'!L301)+('DOE25'!L320)</f>
        <v>33861</v>
      </c>
      <c r="F118" s="24" t="s">
        <v>288</v>
      </c>
      <c r="G118" s="24" t="s">
        <v>288</v>
      </c>
    </row>
    <row r="119" spans="1:7" x14ac:dyDescent="0.2">
      <c r="A119" t="s">
        <v>208</v>
      </c>
      <c r="B119" s="32" t="s">
        <v>209</v>
      </c>
      <c r="C119" s="95">
        <f>('DOE25'!L204)+('DOE25'!L222)+('DOE25'!L240)</f>
        <v>497898</v>
      </c>
      <c r="D119" s="24" t="s">
        <v>288</v>
      </c>
      <c r="E119" s="95">
        <f>+('DOE25'!L283)+('DOE25'!L302)+('DOE25'!L321)</f>
        <v>57197</v>
      </c>
      <c r="F119" s="24" t="s">
        <v>288</v>
      </c>
      <c r="G119" s="24" t="s">
        <v>288</v>
      </c>
    </row>
    <row r="120" spans="1:7" x14ac:dyDescent="0.2">
      <c r="A120" t="s">
        <v>210</v>
      </c>
      <c r="B120" s="32" t="s">
        <v>211</v>
      </c>
      <c r="C120" s="95">
        <f>('DOE25'!L205)+('DOE25'!L223)+('DOE25'!L241)</f>
        <v>1390903</v>
      </c>
      <c r="D120" s="24" t="s">
        <v>288</v>
      </c>
      <c r="E120" s="95">
        <f>+('DOE25'!L284)+('DOE25'!L303)+('DOE25'!L322)</f>
        <v>5000</v>
      </c>
      <c r="F120" s="24" t="s">
        <v>288</v>
      </c>
      <c r="G120" s="24" t="s">
        <v>288</v>
      </c>
    </row>
    <row r="121" spans="1:7" x14ac:dyDescent="0.2">
      <c r="A121" t="s">
        <v>212</v>
      </c>
      <c r="B121" s="32" t="s">
        <v>213</v>
      </c>
      <c r="C121" s="95">
        <f>('DOE25'!L206)+('DOE25'!L224)+('DOE25'!L242)</f>
        <v>1863930</v>
      </c>
      <c r="D121" s="24" t="s">
        <v>288</v>
      </c>
      <c r="E121" s="95">
        <f>+('DOE25'!L285)+('DOE25'!L304)+('DOE25'!L323)</f>
        <v>1349</v>
      </c>
      <c r="F121" s="24" t="s">
        <v>288</v>
      </c>
      <c r="G121" s="24" t="s">
        <v>288</v>
      </c>
    </row>
    <row r="122" spans="1:7" x14ac:dyDescent="0.2">
      <c r="A122" t="s">
        <v>214</v>
      </c>
      <c r="B122" s="32" t="s">
        <v>215</v>
      </c>
      <c r="C122" s="95">
        <f>('DOE25'!L207)+('DOE25'!L225)+('DOE25'!L243)</f>
        <v>480825</v>
      </c>
      <c r="D122" s="24" t="s">
        <v>288</v>
      </c>
      <c r="E122" s="95">
        <f>+('DOE25'!L286)+('DOE25'!L305)+('DOE25'!L324)</f>
        <v>46037</v>
      </c>
      <c r="F122" s="24" t="s">
        <v>288</v>
      </c>
      <c r="G122" s="24" t="s">
        <v>288</v>
      </c>
    </row>
    <row r="123" spans="1:7" x14ac:dyDescent="0.2">
      <c r="A123" t="s">
        <v>216</v>
      </c>
      <c r="B123" s="32" t="s">
        <v>217</v>
      </c>
      <c r="C123" s="95">
        <f>('DOE25'!L208)+('DOE25'!L226)+('DOE25'!L244)</f>
        <v>2822427</v>
      </c>
      <c r="D123" s="24" t="s">
        <v>288</v>
      </c>
      <c r="E123" s="95">
        <f>+('DOE25'!L287)+('DOE25'!L306)+('DOE25'!L325)</f>
        <v>113786</v>
      </c>
      <c r="F123" s="24" t="s">
        <v>288</v>
      </c>
      <c r="G123" s="24" t="s">
        <v>288</v>
      </c>
    </row>
    <row r="124" spans="1:7" x14ac:dyDescent="0.2">
      <c r="A124" t="s">
        <v>218</v>
      </c>
      <c r="B124" s="32" t="s">
        <v>219</v>
      </c>
      <c r="C124" s="95">
        <f>('DOE25'!L209)+('DOE25'!L227)+('DOE25'!L245+'DOE25'!L255)</f>
        <v>1252423</v>
      </c>
      <c r="D124" s="24" t="s">
        <v>288</v>
      </c>
      <c r="E124" s="95">
        <f>+('DOE25'!L288)+('DOE25'!L307)+('DOE25'!L326)</f>
        <v>0</v>
      </c>
      <c r="F124" s="24" t="s">
        <v>288</v>
      </c>
      <c r="G124" s="24" t="s">
        <v>288</v>
      </c>
    </row>
    <row r="125" spans="1:7" x14ac:dyDescent="0.2">
      <c r="A125" t="s">
        <v>220</v>
      </c>
      <c r="B125" s="32" t="s">
        <v>221</v>
      </c>
      <c r="C125" s="95">
        <f>('DOE25'!L210)+('DOE25'!L228)+('DOE25'!L246)</f>
        <v>894984</v>
      </c>
      <c r="D125" s="24" t="s">
        <v>288</v>
      </c>
      <c r="E125" s="95">
        <f>+('DOE25'!L289)+('DOE25'!L308)+('DOE25'!L327)</f>
        <v>8458</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650039</v>
      </c>
      <c r="E127" s="24" t="s">
        <v>288</v>
      </c>
      <c r="F127" s="24" t="s">
        <v>288</v>
      </c>
      <c r="G127" s="24" t="s">
        <v>288</v>
      </c>
    </row>
    <row r="128" spans="1:7" ht="12.75" thickTop="1" thickBot="1" x14ac:dyDescent="0.25">
      <c r="A128" s="33" t="s">
        <v>226</v>
      </c>
      <c r="C128" s="86">
        <f>SUM(C118:C127)</f>
        <v>11699274</v>
      </c>
      <c r="D128" s="86">
        <f>SUM(D118:D127)</f>
        <v>650039</v>
      </c>
      <c r="E128" s="86">
        <f>SUM(E118:E127)</f>
        <v>265688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497582</v>
      </c>
      <c r="D130" s="24" t="s">
        <v>288</v>
      </c>
      <c r="E130" s="129">
        <f>'DOE25'!L337</f>
        <v>0</v>
      </c>
      <c r="F130" s="129">
        <f>SUM('DOE25'!L375:'DOE25'!L381)</f>
        <v>0</v>
      </c>
      <c r="G130" s="24" t="s">
        <v>288</v>
      </c>
    </row>
    <row r="131" spans="1:7" x14ac:dyDescent="0.2">
      <c r="A131" t="s">
        <v>229</v>
      </c>
      <c r="B131" s="32">
        <v>5110</v>
      </c>
      <c r="C131" s="95">
        <f>'DOE25'!L261</f>
        <v>1058291</v>
      </c>
      <c r="D131" s="24" t="s">
        <v>288</v>
      </c>
      <c r="E131" s="129">
        <f>'DOE25'!L342</f>
        <v>0</v>
      </c>
      <c r="F131" s="24" t="s">
        <v>288</v>
      </c>
      <c r="G131" s="24" t="s">
        <v>288</v>
      </c>
    </row>
    <row r="132" spans="1:7" x14ac:dyDescent="0.2">
      <c r="A132" t="s">
        <v>230</v>
      </c>
      <c r="B132" s="32">
        <v>5120</v>
      </c>
      <c r="C132" s="95">
        <f>'DOE25'!L262</f>
        <v>1241879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125368</v>
      </c>
      <c r="D138" s="24" t="s">
        <v>288</v>
      </c>
      <c r="E138" s="24" t="s">
        <v>288</v>
      </c>
      <c r="F138" s="24" t="s">
        <v>288</v>
      </c>
      <c r="G138" s="24" t="s">
        <v>288</v>
      </c>
    </row>
    <row r="139" spans="1:7" x14ac:dyDescent="0.2">
      <c r="A139" t="s">
        <v>239</v>
      </c>
      <c r="B139" s="32">
        <v>5252</v>
      </c>
      <c r="C139" s="95">
        <f>'DOE25'!L402</f>
        <v>0</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-368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2922752</v>
      </c>
      <c r="D144" s="141">
        <f>SUM(D130:D143)</f>
        <v>0</v>
      </c>
      <c r="E144" s="141">
        <f>SUM(E130:E143)</f>
        <v>0</v>
      </c>
      <c r="F144" s="141">
        <f>SUM(F130:F143)</f>
        <v>0</v>
      </c>
      <c r="G144" s="141">
        <f>SUM(G130:G143)</f>
        <v>0</v>
      </c>
    </row>
    <row r="145" spans="1:9" ht="12.75" thickTop="1" thickBot="1" x14ac:dyDescent="0.25">
      <c r="A145" s="33" t="s">
        <v>244</v>
      </c>
      <c r="C145" s="86">
        <f>(C115+C128+C144)</f>
        <v>32734952</v>
      </c>
      <c r="D145" s="86">
        <f>(D115+D128+D144)</f>
        <v>650039</v>
      </c>
      <c r="E145" s="86">
        <f>(E115+E128+E144)</f>
        <v>1231673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02/15/2005</v>
      </c>
      <c r="C152" s="152">
        <f>'DOE25'!G492</f>
        <v>0</v>
      </c>
      <c r="D152" s="152">
        <f>'DOE25'!H492</f>
        <v>0</v>
      </c>
      <c r="E152" s="152">
        <f>'DOE25'!I492</f>
        <v>0</v>
      </c>
      <c r="F152" s="152">
        <f>'DOE25'!J492</f>
        <v>0</v>
      </c>
      <c r="G152" s="24" t="s">
        <v>288</v>
      </c>
    </row>
    <row r="153" spans="1:9" x14ac:dyDescent="0.2">
      <c r="A153" s="136" t="s">
        <v>29</v>
      </c>
      <c r="B153" s="152" t="str">
        <f>'DOE25'!F493</f>
        <v>08/15/2024</v>
      </c>
      <c r="C153" s="152">
        <f>'DOE25'!G493</f>
        <v>0</v>
      </c>
      <c r="D153" s="152">
        <f>'DOE25'!H493</f>
        <v>0</v>
      </c>
      <c r="E153" s="152">
        <f>'DOE25'!I493</f>
        <v>0</v>
      </c>
      <c r="F153" s="152">
        <f>'DOE25'!J493</f>
        <v>0</v>
      </c>
      <c r="G153" s="24" t="s">
        <v>288</v>
      </c>
    </row>
    <row r="154" spans="1:9" x14ac:dyDescent="0.2">
      <c r="A154" s="136" t="s">
        <v>30</v>
      </c>
      <c r="B154" s="137">
        <f>'DOE25'!F494</f>
        <v>29770200</v>
      </c>
      <c r="C154" s="137">
        <f>'DOE25'!G494</f>
        <v>0</v>
      </c>
      <c r="D154" s="137">
        <f>'DOE25'!H494</f>
        <v>0</v>
      </c>
      <c r="E154" s="137">
        <f>'DOE25'!I494</f>
        <v>0</v>
      </c>
      <c r="F154" s="137">
        <f>'DOE25'!J494</f>
        <v>0</v>
      </c>
      <c r="G154" s="24" t="s">
        <v>288</v>
      </c>
    </row>
    <row r="155" spans="1:9" x14ac:dyDescent="0.2">
      <c r="A155" s="136" t="s">
        <v>31</v>
      </c>
      <c r="B155" s="137">
        <f>'DOE25'!F495</f>
        <v>4.54</v>
      </c>
      <c r="C155" s="137">
        <f>'DOE25'!G495</f>
        <v>0</v>
      </c>
      <c r="D155" s="137">
        <f>'DOE25'!H495</f>
        <v>0</v>
      </c>
      <c r="E155" s="137">
        <f>'DOE25'!I495</f>
        <v>0</v>
      </c>
      <c r="F155" s="137">
        <f>'DOE25'!J495</f>
        <v>0</v>
      </c>
      <c r="G155" s="24" t="s">
        <v>288</v>
      </c>
    </row>
    <row r="156" spans="1:9" x14ac:dyDescent="0.2">
      <c r="A156" s="22" t="s">
        <v>32</v>
      </c>
      <c r="B156" s="137">
        <f>'DOE25'!F496</f>
        <v>4811564.78</v>
      </c>
      <c r="C156" s="137">
        <f>'DOE25'!G496</f>
        <v>0</v>
      </c>
      <c r="D156" s="137">
        <f>'DOE25'!H496</f>
        <v>0</v>
      </c>
      <c r="E156" s="137">
        <f>'DOE25'!I496</f>
        <v>0</v>
      </c>
      <c r="F156" s="137">
        <f>'DOE25'!J496</f>
        <v>0</v>
      </c>
      <c r="G156" s="138">
        <f>SUM(B156:F156)</f>
        <v>4811564.78</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1058290.97</v>
      </c>
      <c r="C158" s="137">
        <f>'DOE25'!G498</f>
        <v>0</v>
      </c>
      <c r="D158" s="137">
        <f>'DOE25'!H498</f>
        <v>0</v>
      </c>
      <c r="E158" s="137">
        <f>'DOE25'!I498</f>
        <v>0</v>
      </c>
      <c r="F158" s="137">
        <f>'DOE25'!J498</f>
        <v>0</v>
      </c>
      <c r="G158" s="138">
        <f t="shared" si="0"/>
        <v>1058290.97</v>
      </c>
    </row>
    <row r="159" spans="1:9" x14ac:dyDescent="0.2">
      <c r="A159" s="22" t="s">
        <v>35</v>
      </c>
      <c r="B159" s="137">
        <f>'DOE25'!F499</f>
        <v>3753273.81</v>
      </c>
      <c r="C159" s="137">
        <f>'DOE25'!G499</f>
        <v>0</v>
      </c>
      <c r="D159" s="137">
        <f>'DOE25'!H499</f>
        <v>0</v>
      </c>
      <c r="E159" s="137">
        <f>'DOE25'!I499</f>
        <v>0</v>
      </c>
      <c r="F159" s="137">
        <f>'DOE25'!J499</f>
        <v>0</v>
      </c>
      <c r="G159" s="138">
        <f t="shared" si="0"/>
        <v>3753273.81</v>
      </c>
    </row>
    <row r="160" spans="1:9" x14ac:dyDescent="0.2">
      <c r="A160" s="22" t="s">
        <v>36</v>
      </c>
      <c r="B160" s="137">
        <f>'DOE25'!F500</f>
        <v>5459527.1900000004</v>
      </c>
      <c r="C160" s="137">
        <f>'DOE25'!G500</f>
        <v>0</v>
      </c>
      <c r="D160" s="137">
        <f>'DOE25'!H500</f>
        <v>0</v>
      </c>
      <c r="E160" s="137">
        <f>'DOE25'!I500</f>
        <v>0</v>
      </c>
      <c r="F160" s="137">
        <f>'DOE25'!J500</f>
        <v>0</v>
      </c>
      <c r="G160" s="138">
        <f t="shared" si="0"/>
        <v>5459527.1900000004</v>
      </c>
    </row>
    <row r="161" spans="1:7" x14ac:dyDescent="0.2">
      <c r="A161" s="22" t="s">
        <v>37</v>
      </c>
      <c r="B161" s="137">
        <f>'DOE25'!F501</f>
        <v>9212801</v>
      </c>
      <c r="C161" s="137">
        <f>'DOE25'!G501</f>
        <v>0</v>
      </c>
      <c r="D161" s="137">
        <f>'DOE25'!H501</f>
        <v>0</v>
      </c>
      <c r="E161" s="137">
        <f>'DOE25'!I501</f>
        <v>0</v>
      </c>
      <c r="F161" s="137">
        <f>'DOE25'!J501</f>
        <v>0</v>
      </c>
      <c r="G161" s="138">
        <f t="shared" si="0"/>
        <v>9212801</v>
      </c>
    </row>
    <row r="162" spans="1:7" x14ac:dyDescent="0.2">
      <c r="A162" s="22" t="s">
        <v>38</v>
      </c>
      <c r="B162" s="137">
        <f>'DOE25'!F502</f>
        <v>1008331.41</v>
      </c>
      <c r="C162" s="137">
        <f>'DOE25'!G502</f>
        <v>0</v>
      </c>
      <c r="D162" s="137">
        <f>'DOE25'!H502</f>
        <v>0</v>
      </c>
      <c r="E162" s="137">
        <f>'DOE25'!I502</f>
        <v>0</v>
      </c>
      <c r="F162" s="137">
        <f>'DOE25'!J502</f>
        <v>0</v>
      </c>
      <c r="G162" s="138">
        <f t="shared" si="0"/>
        <v>1008331.41</v>
      </c>
    </row>
    <row r="163" spans="1:7" x14ac:dyDescent="0.2">
      <c r="A163" s="22" t="s">
        <v>39</v>
      </c>
      <c r="B163" s="137">
        <f>'DOE25'!F503</f>
        <v>1293057.5900000001</v>
      </c>
      <c r="C163" s="137">
        <f>'DOE25'!G503</f>
        <v>0</v>
      </c>
      <c r="D163" s="137">
        <f>'DOE25'!H503</f>
        <v>0</v>
      </c>
      <c r="E163" s="137">
        <f>'DOE25'!I503</f>
        <v>0</v>
      </c>
      <c r="F163" s="137">
        <f>'DOE25'!J503</f>
        <v>0</v>
      </c>
      <c r="G163" s="138">
        <f t="shared" si="0"/>
        <v>1293057.5900000001</v>
      </c>
    </row>
    <row r="164" spans="1:7" x14ac:dyDescent="0.2">
      <c r="A164" s="22" t="s">
        <v>246</v>
      </c>
      <c r="B164" s="137">
        <f>'DOE25'!F504</f>
        <v>2301389</v>
      </c>
      <c r="C164" s="137">
        <f>'DOE25'!G504</f>
        <v>0</v>
      </c>
      <c r="D164" s="137">
        <f>'DOE25'!H504</f>
        <v>0</v>
      </c>
      <c r="E164" s="137">
        <f>'DOE25'!I504</f>
        <v>0</v>
      </c>
      <c r="F164" s="137">
        <f>'DOE25'!J504</f>
        <v>0</v>
      </c>
      <c r="G164" s="138">
        <f t="shared" si="0"/>
        <v>2301389</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Sanborn Regional School District - SAU 17</v>
      </c>
    </row>
    <row r="3" spans="1:4" x14ac:dyDescent="0.2">
      <c r="B3" s="188" t="s">
        <v>1666</v>
      </c>
    </row>
    <row r="4" spans="1:4" x14ac:dyDescent="0.2">
      <c r="B4" t="s">
        <v>61</v>
      </c>
      <c r="C4" s="179">
        <f>IF('DOE25'!F666+'DOE25'!F671=0,0,ROUND('DOE25'!F673,0))</f>
        <v>21288</v>
      </c>
    </row>
    <row r="5" spans="1:4" x14ac:dyDescent="0.2">
      <c r="B5" t="s">
        <v>700</v>
      </c>
      <c r="C5" s="179">
        <f>IF('DOE25'!G666+'DOE25'!G671=0,0,ROUND('DOE25'!G673,0))</f>
        <v>21474</v>
      </c>
    </row>
    <row r="6" spans="1:4" x14ac:dyDescent="0.2">
      <c r="B6" t="s">
        <v>62</v>
      </c>
      <c r="C6" s="179">
        <f>IF('DOE25'!H666+'DOE25'!H671=0,0,ROUND('DOE25'!H673,0))</f>
        <v>19754</v>
      </c>
    </row>
    <row r="7" spans="1:4" x14ac:dyDescent="0.2">
      <c r="B7" t="s">
        <v>701</v>
      </c>
      <c r="C7" s="179">
        <f>IF('DOE25'!I666+'DOE25'!I671=0,0,ROUND('DOE25'!I673,0))</f>
        <v>20670</v>
      </c>
    </row>
    <row r="9" spans="1:4" x14ac:dyDescent="0.2">
      <c r="A9" s="187" t="s">
        <v>94</v>
      </c>
      <c r="B9" s="188" t="s">
        <v>1671</v>
      </c>
      <c r="C9" s="181" t="s">
        <v>720</v>
      </c>
      <c r="D9" s="181" t="s">
        <v>721</v>
      </c>
    </row>
    <row r="10" spans="1:4" x14ac:dyDescent="0.2">
      <c r="A10">
        <v>1100</v>
      </c>
      <c r="B10" t="s">
        <v>702</v>
      </c>
      <c r="C10" s="179">
        <f>ROUND('DOE25'!L198+'DOE25'!L216+'DOE25'!L234+'DOE25'!L277+'DOE25'!L296+'DOE25'!L315,0)</f>
        <v>12915157</v>
      </c>
      <c r="D10" s="182">
        <f>ROUND((C10/$C$28)*100,1)</f>
        <v>39.299999999999997</v>
      </c>
    </row>
    <row r="11" spans="1:4" x14ac:dyDescent="0.2">
      <c r="A11">
        <v>1200</v>
      </c>
      <c r="B11" t="s">
        <v>703</v>
      </c>
      <c r="C11" s="179">
        <f>ROUND('DOE25'!L199+'DOE25'!L217+'DOE25'!L235+'DOE25'!L278+'DOE25'!L297+'DOE25'!L316,0)</f>
        <v>5457913</v>
      </c>
      <c r="D11" s="182">
        <f>ROUND((C11/$C$28)*100,1)</f>
        <v>16.600000000000001</v>
      </c>
    </row>
    <row r="12" spans="1:4" x14ac:dyDescent="0.2">
      <c r="A12">
        <v>1300</v>
      </c>
      <c r="B12" t="s">
        <v>704</v>
      </c>
      <c r="C12" s="179">
        <f>ROUND('DOE25'!L200+'DOE25'!L218+'DOE25'!L236+'DOE25'!L279+'DOE25'!L298+'DOE25'!L317,0)</f>
        <v>221272</v>
      </c>
      <c r="D12" s="182">
        <f>ROUND((C12/$C$28)*100,1)</f>
        <v>0.7</v>
      </c>
    </row>
    <row r="13" spans="1:4" x14ac:dyDescent="0.2">
      <c r="A13">
        <v>1400</v>
      </c>
      <c r="B13" t="s">
        <v>705</v>
      </c>
      <c r="C13" s="179">
        <f>ROUND('DOE25'!L201+'DOE25'!L219+'DOE25'!L237+'DOE25'!L280+'DOE25'!L299+'DOE25'!L318,0)</f>
        <v>479045</v>
      </c>
      <c r="D13" s="182">
        <f>ROUND((C13/$C$28)*100,1)</f>
        <v>1.5</v>
      </c>
    </row>
    <row r="14" spans="1:4" x14ac:dyDescent="0.2">
      <c r="D14" s="182"/>
    </row>
    <row r="15" spans="1:4" x14ac:dyDescent="0.2">
      <c r="A15">
        <v>2100</v>
      </c>
      <c r="B15" t="s">
        <v>706</v>
      </c>
      <c r="C15" s="179">
        <f>ROUND('DOE25'!L203+'DOE25'!L221+'DOE25'!L239+'DOE25'!L282+'DOE25'!L301+'DOE25'!L320,0)</f>
        <v>2529745</v>
      </c>
      <c r="D15" s="182">
        <f t="shared" ref="D15:D27" si="0">ROUND((C15/$C$28)*100,1)</f>
        <v>7.7</v>
      </c>
    </row>
    <row r="16" spans="1:4" x14ac:dyDescent="0.2">
      <c r="A16">
        <v>2200</v>
      </c>
      <c r="B16" t="s">
        <v>707</v>
      </c>
      <c r="C16" s="179">
        <f>ROUND('DOE25'!L204+'DOE25'!L222+'DOE25'!L240+'DOE25'!L283+'DOE25'!L302+'DOE25'!L321,0)</f>
        <v>555095</v>
      </c>
      <c r="D16" s="182">
        <f t="shared" si="0"/>
        <v>1.7</v>
      </c>
    </row>
    <row r="17" spans="1:4" x14ac:dyDescent="0.2">
      <c r="A17" s="183" t="s">
        <v>723</v>
      </c>
      <c r="B17" t="s">
        <v>738</v>
      </c>
      <c r="C17" s="179">
        <f>ROUND('DOE25'!L205+'DOE25'!L210+'DOE25'!L223+'DOE25'!L228+'DOE25'!L241+'DOE25'!L246+'DOE25'!L284+'DOE25'!L289+'DOE25'!L303+'DOE25'!L308+'DOE25'!L322+'DOE25'!L327,0)</f>
        <v>2299345</v>
      </c>
      <c r="D17" s="182">
        <f t="shared" si="0"/>
        <v>7</v>
      </c>
    </row>
    <row r="18" spans="1:4" x14ac:dyDescent="0.2">
      <c r="A18">
        <v>2400</v>
      </c>
      <c r="B18" t="s">
        <v>711</v>
      </c>
      <c r="C18" s="179">
        <f>ROUND('DOE25'!L206+'DOE25'!L224+'DOE25'!L242+'DOE25'!L285+'DOE25'!L304+'DOE25'!L323,0)</f>
        <v>1865279</v>
      </c>
      <c r="D18" s="182">
        <f t="shared" si="0"/>
        <v>5.7</v>
      </c>
    </row>
    <row r="19" spans="1:4" x14ac:dyDescent="0.2">
      <c r="A19">
        <v>2500</v>
      </c>
      <c r="B19" t="s">
        <v>708</v>
      </c>
      <c r="C19" s="179">
        <f>ROUND('DOE25'!L207+'DOE25'!L225+'DOE25'!L243+'DOE25'!L286+'DOE25'!L305+'DOE25'!L324,0)</f>
        <v>526862</v>
      </c>
      <c r="D19" s="182">
        <f t="shared" si="0"/>
        <v>1.6</v>
      </c>
    </row>
    <row r="20" spans="1:4" x14ac:dyDescent="0.2">
      <c r="A20">
        <v>2600</v>
      </c>
      <c r="B20" t="s">
        <v>709</v>
      </c>
      <c r="C20" s="179">
        <f>ROUND('DOE25'!L208+'DOE25'!L226+'DOE25'!L244+'DOE25'!L287+'DOE25'!L306+'DOE25'!L325,0)</f>
        <v>2936213</v>
      </c>
      <c r="D20" s="182">
        <f t="shared" si="0"/>
        <v>8.9</v>
      </c>
    </row>
    <row r="21" spans="1:4" x14ac:dyDescent="0.2">
      <c r="A21">
        <v>2700</v>
      </c>
      <c r="B21" t="s">
        <v>710</v>
      </c>
      <c r="C21" s="179">
        <f>ROUND('DOE25'!L209+'DOE25'!L227+'DOE25'!L245+'DOE25'!L288+'DOE25'!L307+'DOE25'!L326,0)</f>
        <v>1252423</v>
      </c>
      <c r="D21" s="182">
        <f t="shared" si="0"/>
        <v>3.8</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5524</v>
      </c>
      <c r="D24" s="182">
        <f t="shared" si="0"/>
        <v>0</v>
      </c>
    </row>
    <row r="25" spans="1:4" x14ac:dyDescent="0.2">
      <c r="A25">
        <v>5120</v>
      </c>
      <c r="B25" t="s">
        <v>716</v>
      </c>
      <c r="C25" s="179">
        <f>ROUND('DOE25'!L262+'DOE25'!L343,0)</f>
        <v>1241879</v>
      </c>
      <c r="D25" s="182">
        <f t="shared" si="0"/>
        <v>3.8</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608227</v>
      </c>
      <c r="D27" s="182">
        <f t="shared" si="0"/>
        <v>1.8</v>
      </c>
    </row>
    <row r="28" spans="1:4" x14ac:dyDescent="0.2">
      <c r="B28" s="187" t="s">
        <v>719</v>
      </c>
      <c r="C28" s="180">
        <f>SUM(C10:C27)</f>
        <v>32893979</v>
      </c>
      <c r="D28" s="184">
        <f>ROUND(SUM(D10:D27),0)</f>
        <v>100</v>
      </c>
    </row>
    <row r="29" spans="1:4" x14ac:dyDescent="0.2">
      <c r="A29">
        <v>4000</v>
      </c>
      <c r="B29" t="s">
        <v>724</v>
      </c>
      <c r="C29" s="179">
        <f>ROUND('DOE25'!L256+'DOE25'!L337+'DOE25'!L375+'DOE25'!L376+'DOE25'!L377+'DOE25'!L378+'DOE25'!L379+'DOE25'!L380+'DOE25'!L381,0)</f>
        <v>497582</v>
      </c>
    </row>
    <row r="30" spans="1:4" x14ac:dyDescent="0.2">
      <c r="B30" s="187" t="s">
        <v>725</v>
      </c>
      <c r="C30" s="180">
        <f>SUM(C28:C29)</f>
        <v>33391561</v>
      </c>
    </row>
    <row r="31" spans="1:4" x14ac:dyDescent="0.2">
      <c r="B31" s="33"/>
      <c r="C31" s="180"/>
    </row>
    <row r="32" spans="1:4" x14ac:dyDescent="0.2">
      <c r="A32">
        <v>5100</v>
      </c>
      <c r="B32" s="33" t="s">
        <v>726</v>
      </c>
      <c r="C32" s="180">
        <f>ROUND('DOE25'!L261+'DOE25'!L342,0)</f>
        <v>1058291</v>
      </c>
    </row>
    <row r="34" spans="1:4" x14ac:dyDescent="0.2">
      <c r="A34" s="187" t="s">
        <v>94</v>
      </c>
      <c r="B34" s="188" t="s">
        <v>1667</v>
      </c>
      <c r="C34" s="181" t="s">
        <v>720</v>
      </c>
      <c r="D34" s="181" t="s">
        <v>721</v>
      </c>
    </row>
    <row r="35" spans="1:4" x14ac:dyDescent="0.2">
      <c r="A35">
        <v>1100</v>
      </c>
      <c r="B35" s="185" t="s">
        <v>727</v>
      </c>
      <c r="C35" s="179">
        <f>ROUND('DOE25'!F60+'DOE25'!G60+'DOE25'!H60+'DOE25'!I60+'DOE25'!J60,0)</f>
        <v>21800486</v>
      </c>
      <c r="D35" s="182">
        <f t="shared" ref="D35:D40" si="1">ROUND((C35/$C$41)*100,1)</f>
        <v>62.5</v>
      </c>
    </row>
    <row r="36" spans="1:4" x14ac:dyDescent="0.2">
      <c r="B36" s="185" t="s">
        <v>739</v>
      </c>
      <c r="C36" s="179">
        <f>SUM('DOE25'!F112:J112)-SUM('DOE25'!G97:G110)+('DOE25'!F175+'DOE25'!F176+'DOE25'!I175+'DOE25'!I176)-C35</f>
        <v>4473754</v>
      </c>
      <c r="D36" s="182">
        <f t="shared" si="1"/>
        <v>12.8</v>
      </c>
    </row>
    <row r="37" spans="1:4" x14ac:dyDescent="0.2">
      <c r="A37" s="183" t="s">
        <v>835</v>
      </c>
      <c r="B37" s="185" t="s">
        <v>728</v>
      </c>
      <c r="C37" s="179">
        <f>ROUND('DOE25'!F117+'DOE25'!F118,0)</f>
        <v>6004501</v>
      </c>
      <c r="D37" s="182">
        <f t="shared" si="1"/>
        <v>17.2</v>
      </c>
    </row>
    <row r="38" spans="1:4" x14ac:dyDescent="0.2">
      <c r="A38" s="183" t="s">
        <v>734</v>
      </c>
      <c r="B38" s="185" t="s">
        <v>729</v>
      </c>
      <c r="C38" s="179">
        <f>ROUND(SUM('DOE25'!F140:J140)-SUM('DOE25'!F117:F119),0)</f>
        <v>777527</v>
      </c>
      <c r="D38" s="182">
        <f t="shared" si="1"/>
        <v>2.2000000000000002</v>
      </c>
    </row>
    <row r="39" spans="1:4" x14ac:dyDescent="0.2">
      <c r="A39">
        <v>4000</v>
      </c>
      <c r="B39" s="185" t="s">
        <v>730</v>
      </c>
      <c r="C39" s="179">
        <f>ROUND('DOE25'!F170+'DOE25'!G170+'DOE25'!H170+'DOE25'!I170,0)</f>
        <v>1833929</v>
      </c>
      <c r="D39" s="182">
        <f t="shared" si="1"/>
        <v>5.3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34890197</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Sanborn Regional School District - SAU 17</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2021-05-05T12:20:34Z</cp:lastPrinted>
  <dcterms:created xsi:type="dcterms:W3CDTF">1997-12-04T19:04:30Z</dcterms:created>
  <dcterms:modified xsi:type="dcterms:W3CDTF">2021-12-14T19:47:29Z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