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43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460" i="1"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G655" i="1"/>
  <c r="H655" i="1"/>
  <c r="H656" i="1"/>
  <c r="J656" i="1" s="1"/>
  <c r="G62" i="2"/>
  <c r="I170" i="1"/>
  <c r="I409" i="1" l="1"/>
  <c r="J652" i="1"/>
  <c r="J572" i="1"/>
  <c r="G553" i="1"/>
  <c r="G477" i="1"/>
  <c r="H477" i="1"/>
  <c r="H625" i="1" s="1"/>
  <c r="H409" i="1"/>
  <c r="H645" i="1" s="1"/>
  <c r="J645" i="1" s="1"/>
  <c r="G409" i="1"/>
  <c r="H646" i="1" s="1"/>
  <c r="J646" i="1" s="1"/>
  <c r="G662" i="1"/>
  <c r="E112" i="2"/>
  <c r="E123" i="2"/>
  <c r="K339" i="1"/>
  <c r="K353" i="1" s="1"/>
  <c r="E110" i="2"/>
  <c r="G339" i="1"/>
  <c r="G353" i="1" s="1"/>
  <c r="E119" i="2"/>
  <c r="J258" i="1"/>
  <c r="J272" i="1" s="1"/>
  <c r="H663" i="1"/>
  <c r="C110" i="2"/>
  <c r="C121" i="2"/>
  <c r="C119" i="2"/>
  <c r="E13" i="13"/>
  <c r="C13" i="13" s="1"/>
  <c r="C112" i="2"/>
  <c r="D6" i="13"/>
  <c r="C6" i="13" s="1"/>
  <c r="C13" i="10"/>
  <c r="A40" i="12"/>
  <c r="G646"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C141" i="2"/>
  <c r="C144" i="2" s="1"/>
  <c r="E128" i="2"/>
  <c r="I663" i="1"/>
  <c r="E115" i="2"/>
  <c r="G24" i="14"/>
  <c r="H24" i="14" s="1"/>
  <c r="I24" i="14" s="1"/>
  <c r="F661" i="1"/>
  <c r="F665" i="1" s="1"/>
  <c r="F668" i="1" s="1"/>
  <c r="H649" i="1"/>
  <c r="J649" i="1" s="1"/>
  <c r="H661" i="1"/>
  <c r="H665" i="1" s="1"/>
  <c r="C81" i="2"/>
  <c r="F194" i="1"/>
  <c r="G628" i="1" s="1"/>
  <c r="J628" i="1" s="1"/>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68"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<sst xmlns="http://schemas.openxmlformats.org/spreadsheetml/2006/main" count="5582" uniqueCount="1680">
  <si>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</si>
  <si>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</si>
  <si>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</si>
  <si>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</si>
  <si>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</si>
  <si>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</si>
  <si>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</si>
  <si>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</si>
  <si>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</si>
  <si>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</si>
  <si>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</si>
  <si>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</si>
  <si>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</si>
  <si>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</si>
  <si>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</si>
  <si>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</si>
  <si>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</si>
  <si>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</si>
  <si>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</si>
  <si>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</si>
  <si>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</si>
  <si>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</si>
  <si>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</si>
  <si>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</si>
  <si>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</si>
  <si>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</si>
  <si>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</si>
  <si>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</si>
  <si>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</si>
  <si>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</si>
  <si>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</si>
  <si>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</si>
  <si>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</si>
  <si>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</si>
  <si>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</si>
  <si>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</si>
  <si>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</si>
  <si>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</si>
  <si>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</si>
  <si>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</si>
  <si>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</si>
  <si>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</si>
  <si>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</si>
  <si>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</si>
  <si>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</si>
  <si>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</si>
  <si>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</si>
  <si>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</si>
  <si>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</si>
  <si>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</si>
  <si>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</si>
  <si>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</si>
  <si>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</si>
  <si>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</si>
  <si>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</si>
  <si>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</si>
  <si>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</si>
  <si>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</si>
  <si>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</si>
  <si>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</si>
  <si>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</si>
  <si>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</si>
  <si>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</si>
  <si>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</si>
  <si>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</si>
  <si>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</si>
  <si>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</si>
  <si>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</si>
  <si>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</si>
  <si>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</si>
  <si>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</si>
  <si>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</si>
  <si>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</si>
  <si>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</si>
  <si>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</si>
  <si>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</si>
  <si>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</si>
  <si>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</si>
  <si>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</si>
  <si>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</si>
  <si>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</si>
  <si>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</si>
  <si>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</si>
  <si>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</si>
  <si>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</si>
  <si>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</si>
  <si>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</si>
  <si>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</si>
  <si>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</si>
  <si>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</si>
  <si>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</si>
  <si>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</si>
  <si>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</si>
  <si>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</si>
  <si>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</si>
  <si>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</si>
  <si>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</si>
  <si>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</si>
  <si>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</si>
  <si>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</si>
  <si>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</si>
  <si>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</si>
  <si>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</si>
  <si>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</si>
  <si>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</si>
  <si>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</si>
  <si>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</si>
  <si>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</si>
  <si>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</si>
  <si>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</si>
  <si>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</si>
  <si>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</si>
  <si>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</si>
  <si>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</si>
  <si>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</si>
  <si>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</si>
  <si>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</si>
  <si>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</si>
  <si>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</si>
  <si>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</si>
  <si>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</si>
  <si>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</si>
  <si>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</si>
  <si>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</si>
  <si>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</si>
  <si>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</si>
  <si>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</si>
  <si>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</si>
  <si>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</si>
  <si>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</si>
  <si>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</si>
  <si>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</si>
  <si>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</si>
  <si>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</si>
  <si>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</si>
  <si>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</si>
  <si>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</si>
  <si>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</si>
  <si>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</si>
  <si>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</si>
  <si>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</si>
  <si>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</si>
  <si>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</si>
  <si>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</si>
  <si>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</si>
  <si>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</si>
  <si>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</si>
  <si>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</si>
  <si>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</si>
  <si>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</si>
  <si>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</si>
  <si>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</si>
  <si>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</si>
  <si>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</si>
  <si>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</si>
  <si>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</si>
  <si>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</si>
  <si>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</si>
  <si>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</si>
  <si>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</si>
  <si>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</si>
  <si>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</si>
  <si>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</si>
  <si>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</si>
  <si>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</si>
  <si>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</si>
  <si>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</si>
  <si>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</si>
  <si>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</si>
  <si>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</si>
  <si>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</si>
  <si>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</si>
  <si>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</si>
  <si>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</si>
  <si>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</si>
  <si>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</si>
  <si>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</si>
  <si>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</si>
  <si>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</si>
  <si>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</si>
  <si>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</si>
  <si>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</si>
  <si>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</si>
  <si>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</si>
  <si>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</si>
  <si>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</si>
  <si>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</si>
  <si>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</si>
  <si>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</si>
  <si>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</si>
  <si>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</si>
  <si>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</si>
  <si>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</si>
  <si>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</si>
  <si>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</si>
  <si>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</si>
  <si>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</si>
  <si>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</si>
  <si>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</si>
  <si>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</si>
  <si>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</si>
  <si>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</si>
  <si>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</si>
  <si>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</si>
  <si>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</si>
  <si>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</si>
  <si>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</si>
  <si>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</si>
  <si>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</si>
  <si>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</si>
  <si>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</si>
  <si>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</si>
  <si>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</si>
  <si>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</si>
  <si>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</si>
  <si>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</si>
  <si>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</si>
  <si>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</si>
  <si>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</si>
  <si>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</si>
  <si>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</si>
  <si>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</si>
  <si>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</si>
  <si>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</si>
  <si>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</si>
  <si>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</si>
  <si>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</si>
  <si>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</si>
  <si>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</si>
  <si>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</si>
  <si>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</si>
  <si>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</si>
  <si>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</si>
  <si>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</si>
  <si>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</si>
  <si>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</si>
  <si>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</si>
  <si>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</si>
  <si>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</si>
  <si>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</si>
  <si>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</si>
  <si>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</si>
  <si>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</si>
  <si>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</si>
  <si>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</si>
  <si>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</si>
  <si>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</si>
  <si>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</si>
  <si>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</si>
  <si>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</si>
  <si>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</si>
  <si>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</si>
  <si>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</si>
  <si>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</si>
  <si>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</si>
  <si>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</si>
  <si>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</si>
  <si>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</si>
  <si>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</si>
  <si>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</si>
  <si>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</si>
  <si>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</si>
  <si>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</si>
  <si>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</si>
  <si>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</si>
  <si>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</si>
  <si>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</si>
  <si>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</si>
  <si>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</si>
  <si>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</si>
  <si>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</si>
  <si>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</si>
  <si>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</si>
  <si>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</si>
  <si>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</si>
  <si>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</si>
  <si>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</si>
  <si>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</si>
  <si>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</si>
  <si>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</si>
  <si>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</si>
  <si>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</si>
  <si>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</si>
  <si>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</si>
  <si>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</si>
  <si>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</si>
  <si>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</si>
  <si>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</si>
  <si>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</si>
  <si>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</si>
  <si>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</si>
  <si>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</si>
  <si>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</si>
  <si>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</si>
  <si>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</si>
  <si>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</si>
  <si>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</si>
  <si>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</si>
  <si>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</si>
  <si>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</si>
  <si>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</si>
  <si>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</si>
  <si>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</si>
  <si>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</si>
  <si>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</si>
  <si>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</si>
  <si>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</si>
  <si>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</si>
  <si>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</si>
  <si>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</si>
  <si>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</si>
  <si>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</si>
  <si>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</si>
  <si>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</si>
  <si>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</si>
  <si>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</si>
  <si>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</si>
  <si>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</si>
  <si>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</si>
  <si>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</si>
  <si>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</si>
  <si>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</si>
  <si>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</si>
  <si>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</si>
  <si>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</si>
  <si>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</si>
  <si>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</si>
  <si>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</si>
  <si>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</si>
  <si>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</si>
  <si>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</si>
  <si>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</si>
  <si>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</si>
  <si>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</si>
  <si>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</si>
  <si>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</si>
  <si>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</si>
  <si>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</si>
  <si>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</si>
  <si>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</si>
  <si>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</si>
  <si>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</si>
  <si>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</si>
  <si>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</si>
  <si>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</si>
  <si>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</si>
  <si>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</si>
  <si>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</si>
  <si>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</si>
  <si>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</si>
  <si>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</si>
  <si>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</si>
  <si>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</si>
  <si>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</si>
  <si>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</si>
  <si>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</si>
  <si>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</si>
  <si>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</si>
  <si>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</si>
  <si>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</si>
  <si>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</si>
  <si>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</si>
  <si>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</si>
  <si>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</si>
  <si>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</si>
  <si>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</si>
  <si>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</si>
  <si>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</si>
  <si>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</si>
  <si>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</si>
  <si>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</si>
  <si>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</si>
  <si>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</si>
  <si>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</si>
  <si>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</si>
  <si>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</si>
  <si>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</si>
  <si>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</si>
  <si>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</si>
  <si>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</si>
  <si>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</si>
  <si>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</si>
  <si>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</si>
  <si>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</si>
  <si>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</si>
  <si>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</si>
  <si>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</si>
  <si>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</si>
  <si>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</si>
  <si>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</si>
  <si>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</si>
  <si>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</si>
  <si>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</si>
  <si>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</si>
  <si>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</si>
  <si>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</si>
  <si>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</si>
  <si>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</si>
  <si>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</si>
  <si>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</si>
  <si>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</si>
  <si>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</si>
  <si>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</si>
  <si>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</si>
  <si>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</si>
  <si>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</si>
  <si>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</si>
  <si>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</si>
  <si>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</si>
  <si>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</si>
  <si>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</si>
  <si>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</si>
  <si>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</si>
  <si>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</si>
  <si>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</si>
  <si>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</si>
  <si>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</si>
  <si>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</si>
  <si>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</si>
  <si>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</si>
  <si>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</si>
  <si>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</si>
  <si>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</si>
  <si>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</si>
  <si>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</si>
  <si>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</si>
  <si>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</si>
  <si>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</si>
  <si>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</si>
  <si>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</si>
  <si>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</si>
  <si>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</si>
  <si>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</si>
  <si>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</si>
  <si>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</si>
  <si>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</si>
  <si>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</si>
  <si>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</si>
  <si>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</si>
  <si>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</si>
  <si>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</si>
  <si>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</si>
  <si>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</si>
  <si>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</si>
  <si>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</si>
  <si>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</si>
  <si>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</si>
  <si>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</si>
  <si>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</si>
  <si>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</si>
  <si>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</si>
  <si>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</si>
  <si>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</si>
  <si>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</si>
  <si>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</si>
  <si>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</si>
  <si>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</si>
  <si>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</si>
  <si>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</si>
  <si>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</si>
  <si>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</si>
  <si>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</si>
  <si>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</si>
  <si>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</si>
  <si>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</si>
  <si>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</si>
  <si>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</si>
  <si>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</si>
  <si>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</si>
  <si>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</si>
  <si>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</si>
  <si>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</si>
  <si>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</si>
  <si>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</si>
  <si>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</si>
  <si>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</si>
  <si>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</si>
  <si>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</si>
  <si>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</si>
  <si>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</si>
  <si>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</si>
  <si>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</si>
  <si>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</si>
  <si>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</si>
  <si>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</si>
  <si>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</si>
  <si>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</si>
  <si>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</si>
  <si>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</si>
  <si>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</si>
  <si>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</si>
  <si>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</si>
  <si>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</si>
  <si>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</si>
  <si>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</si>
  <si>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</si>
  <si>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</si>
  <si>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</si>
  <si>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</si>
  <si>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</si>
  <si>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</si>
  <si>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</si>
  <si>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</si>
  <si>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</si>
  <si>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</si>
  <si>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</si>
  <si>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</si>
  <si>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</si>
  <si>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</si>
  <si>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</si>
  <si>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</si>
  <si>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</si>
  <si>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</si>
  <si>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</si>
  <si>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</si>
  <si>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</si>
  <si>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</si>
  <si>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</si>
  <si>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</si>
  <si>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</si>
  <si>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</si>
  <si>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</si>
  <si>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</si>
  <si>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</si>
  <si>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</si>
  <si>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</si>
  <si>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</si>
  <si>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</si>
  <si>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</si>
  <si>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</si>
  <si>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</si>
  <si>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</si>
  <si>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</si>
  <si>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</si>
  <si>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</si>
  <si>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</si>
  <si>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</si>
  <si>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</si>
  <si>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</si>
  <si>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</si>
  <si>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</si>
  <si>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</si>
  <si>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</si>
  <si>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</si>
  <si>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</si>
  <si>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</si>
  <si>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</si>
  <si>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</si>
  <si>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</si>
  <si>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</si>
  <si>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</si>
  <si>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</si>
  <si>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</si>
  <si>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</si>
  <si>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</si>
  <si>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</si>
  <si>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</si>
  <si>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</si>
  <si>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</si>
  <si>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</si>
  <si>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</si>
  <si>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</si>
  <si>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</si>
  <si>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</si>
  <si>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</si>
  <si>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</si>
  <si>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</si>
  <si>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</si>
  <si>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</si>
  <si>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</si>
  <si>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</si>
  <si>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</si>
  <si>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</si>
  <si>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</si>
  <si>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</si>
  <si>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</si>
  <si>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</si>
  <si>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</si>
  <si>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</si>
  <si>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</si>
  <si>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</si>
  <si>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</si>
  <si>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</si>
  <si>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</si>
  <si>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</si>
  <si>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</si>
  <si>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</si>
  <si>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</si>
  <si>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</si>
  <si>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</si>
  <si>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</si>
  <si>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</si>
  <si>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</si>
  <si>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</si>
  <si>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</si>
  <si>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</si>
  <si>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</si>
  <si>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</si>
  <si>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</si>
  <si>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</si>
  <si>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</si>
  <si>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</si>
  <si>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</si>
  <si>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</si>
  <si>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</si>
  <si>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</si>
  <si>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</si>
  <si>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</si>
  <si>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</si>
  <si>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</si>
  <si>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</si>
  <si>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</si>
  <si>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</si>
  <si>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</si>
  <si>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</si>
  <si>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</si>
  <si>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</si>
  <si>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</si>
  <si>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</si>
  <si>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</si>
  <si>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</si>
  <si>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</si>
  <si>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</si>
  <si>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</si>
  <si>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</si>
  <si>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</si>
  <si>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</si>
  <si>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</si>
  <si>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</si>
  <si>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</si>
  <si>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</si>
  <si>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</si>
  <si>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</si>
  <si>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</si>
  <si>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</si>
  <si>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</si>
  <si>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</si>
  <si>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</si>
  <si>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</si>
  <si>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</si>
  <si>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</si>
  <si>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</si>
  <si>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</si>
  <si>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</si>
  <si>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</si>
  <si>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</si>
  <si>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</si>
  <si>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</si>
  <si>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</si>
  <si>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</si>
  <si>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</si>
  <si>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</si>
  <si>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</si>
  <si>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</si>
  <si>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</si>
  <si>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</si>
  <si>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</si>
  <si>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</si>
  <si>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</si>
  <si>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</si>
  <si>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</si>
  <si>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</si>
  <si>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</si>
  <si>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</si>
  <si>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</si>
  <si>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</si>
  <si>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</si>
  <si>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</si>
  <si>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</si>
  <si>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</si>
  <si>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</si>
  <si>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</si>
  <si>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</si>
  <si>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</si>
  <si>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</si>
  <si>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</si>
  <si>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</si>
  <si>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</si>
  <si>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</si>
  <si>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</si>
  <si>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</si>
  <si>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</si>
  <si>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</si>
  <si>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</si>
  <si>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</si>
  <si>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</si>
  <si>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</si>
  <si>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</si>
  <si>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</si>
  <si>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</si>
  <si>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</si>
  <si>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</si>
  <si>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</si>
  <si>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</si>
  <si>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</si>
  <si>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</si>
  <si>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</si>
  <si>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</si>
  <si>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</si>
  <si>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</si>
  <si>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</si>
  <si>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</si>
  <si>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</si>
  <si>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</si>
  <si>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</si>
  <si>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</si>
  <si>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</si>
  <si>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</si>
  <si>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</si>
  <si>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</si>
  <si>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</si>
  <si>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</si>
  <si>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</si>
  <si>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</si>
  <si>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</si>
  <si>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</si>
  <si>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</si>
  <si>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</si>
  <si>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</si>
  <si>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</si>
  <si>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</si>
  <si>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</si>
  <si>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</si>
  <si>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</si>
  <si>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</si>
  <si>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</si>
  <si>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</si>
  <si>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</si>
  <si>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</si>
  <si>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</si>
  <si>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</si>
  <si>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</si>
  <si>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</si>
  <si>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</si>
  <si>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</si>
  <si>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</si>
  <si>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</si>
  <si>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</si>
  <si>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</si>
  <si>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</si>
  <si>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</si>
  <si>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</si>
  <si>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</si>
  <si>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</si>
  <si>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</si>
  <si>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</si>
  <si>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</si>
  <si>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</si>
  <si>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</si>
  <si>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</si>
  <si>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</si>
  <si>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</si>
  <si>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</si>
  <si>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</si>
  <si>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</si>
  <si>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</si>
  <si>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</si>
  <si>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</si>
  <si>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</si>
  <si>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</si>
  <si>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</si>
  <si>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</si>
  <si>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</si>
  <si>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</si>
  <si>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</si>
  <si>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</si>
  <si>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</si>
  <si>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</si>
  <si>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</si>
  <si>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</si>
  <si>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</si>
  <si>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</si>
  <si>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</si>
  <si>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</si>
  <si>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</si>
  <si>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</si>
  <si>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</si>
  <si>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</si>
  <si>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</si>
  <si>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</si>
  <si>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</si>
  <si>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</si>
  <si>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</si>
  <si>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</si>
  <si>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</si>
  <si>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</si>
  <si>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</si>
  <si>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</si>
  <si>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</si>
  <si>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</si>
  <si>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</si>
  <si>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</si>
  <si>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</si>
  <si>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</si>
  <si>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</si>
  <si>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</si>
  <si>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</si>
  <si>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</si>
  <si>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</si>
  <si>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</si>
  <si>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</si>
  <si>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</si>
  <si>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</si>
  <si>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</si>
  <si>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</si>
  <si>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</si>
  <si>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</si>
  <si>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</si>
  <si>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</si>
  <si>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</si>
  <si>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</si>
  <si>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</si>
  <si>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</si>
  <si>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</si>
  <si>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</si>
  <si>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</si>
  <si>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</si>
  <si>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</si>
  <si>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</si>
  <si>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</si>
  <si>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</si>
  <si>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</si>
  <si>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</si>
  <si>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</si>
  <si>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</si>
  <si>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</si>
  <si>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</si>
  <si>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</si>
  <si>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</si>
  <si>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</si>
  <si>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</si>
  <si>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</si>
  <si>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</si>
  <si>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</si>
  <si>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</si>
  <si>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</si>
  <si>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</si>
  <si>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</si>
  <si>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</si>
  <si>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</si>
  <si>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</si>
  <si>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</si>
  <si>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</si>
  <si>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</si>
  <si>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</si>
  <si>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</si>
  <si>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</si>
  <si>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</si>
  <si>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</si>
  <si>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</si>
  <si>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</si>
  <si>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</si>
  <si>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</si>
  <si>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</si>
  <si>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</si>
  <si>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</si>
  <si>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</si>
  <si>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</si>
  <si>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</si>
  <si>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</si>
  <si>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</si>
  <si>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</si>
  <si>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</si>
  <si>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</si>
  <si>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</si>
  <si>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</si>
  <si>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</si>
  <si>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</si>
  <si>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</si>
  <si>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</si>
  <si>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</si>
  <si>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</si>
  <si>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</si>
  <si>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</si>
  <si>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</si>
  <si>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</si>
  <si>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</si>
  <si>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</si>
  <si>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</si>
  <si>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</si>
  <si>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</si>
  <si>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</si>
  <si>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</si>
  <si>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</si>
  <si>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</si>
  <si>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</si>
  <si>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</si>
  <si>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</si>
  <si>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</si>
  <si>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</si>
  <si>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</si>
  <si>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</si>
  <si>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</si>
  <si>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</si>
  <si>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</si>
  <si>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</si>
  <si>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</si>
  <si>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</si>
  <si>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</si>
  <si>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</si>
  <si>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</si>
  <si>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</si>
  <si>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</si>
  <si>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</si>
  <si>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</si>
  <si>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</si>
  <si>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</si>
  <si>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</si>
  <si>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</si>
  <si>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</si>
  <si>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</si>
  <si>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</si>
  <si>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</si>
  <si>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</si>
  <si>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</si>
  <si>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</si>
  <si>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</si>
  <si>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</si>
  <si>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</si>
  <si>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</si>
  <si>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</si>
  <si>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</si>
  <si>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</si>
  <si>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</si>
  <si>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</si>
  <si>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</si>
  <si>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</si>
  <si>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</si>
  <si>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</si>
  <si>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</si>
  <si>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</si>
  <si>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</si>
  <si>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</si>
  <si>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</si>
  <si>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</si>
  <si>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</si>
  <si>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</si>
  <si>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</si>
  <si>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</si>
  <si>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</si>
  <si>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</si>
  <si>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</si>
  <si>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</si>
  <si>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</si>
  <si>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</si>
  <si>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</si>
  <si>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</si>
  <si>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</si>
  <si>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</si>
  <si>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</si>
  <si>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</si>
  <si>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</si>
  <si>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</si>
  <si>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</si>
  <si>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</si>
  <si>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</si>
  <si>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</si>
  <si>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</si>
  <si>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</si>
  <si>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</si>
  <si>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</si>
  <si>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</si>
  <si>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</si>
  <si>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</si>
  <si>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</si>
  <si>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</si>
  <si>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</si>
  <si>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</si>
  <si>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</si>
  <si>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</si>
  <si>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</si>
  <si>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</si>
  <si>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</si>
  <si>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</si>
  <si>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</si>
  <si>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</si>
  <si>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</si>
  <si>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</si>
  <si>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</si>
  <si>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</si>
  <si>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</si>
  <si>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</si>
  <si>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</si>
  <si>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</si>
  <si>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</si>
  <si>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</si>
  <si>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</si>
  <si>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</si>
  <si>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</si>
  <si>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</si>
  <si>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</si>
  <si>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</si>
  <si>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</si>
  <si>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</si>
  <si>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</si>
  <si>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</si>
  <si>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</si>
  <si>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</si>
  <si>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</si>
  <si>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</si>
  <si>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</si>
  <si>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</si>
  <si>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</si>
  <si>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</si>
  <si>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</si>
  <si>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</si>
  <si>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</si>
  <si>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</si>
  <si>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</si>
  <si>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</si>
  <si>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</si>
  <si>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</si>
  <si>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</si>
  <si>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</si>
  <si>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</si>
  <si>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</si>
  <si>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</si>
  <si>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</si>
  <si>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</si>
  <si>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</si>
  <si>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</si>
  <si>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</si>
  <si>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</si>
  <si>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</si>
  <si>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</si>
  <si>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</si>
  <si>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</si>
  <si>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</si>
  <si>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</si>
  <si>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</si>
  <si>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</si>
  <si>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</si>
  <si>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</si>
  <si>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</si>
  <si>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</si>
  <si>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</si>
  <si>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</si>
  <si>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</si>
  <si>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</si>
  <si>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</si>
  <si>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</si>
  <si>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</si>
  <si>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</si>
  <si>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</si>
  <si>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</si>
  <si>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</si>
  <si>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</si>
  <si>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</si>
  <si>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</si>
  <si>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</si>
  <si>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</si>
  <si>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</si>
  <si>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</si>
  <si>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</si>
  <si>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</si>
  <si>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</si>
  <si>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</si>
  <si>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</si>
  <si>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</si>
  <si>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</si>
  <si>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</si>
  <si>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</si>
  <si>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</si>
  <si>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</si>
  <si>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</si>
  <si>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</si>
  <si>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</si>
  <si>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</si>
  <si>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</si>
  <si>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</si>
  <si>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</si>
  <si>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</si>
  <si>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</si>
  <si>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</si>
  <si>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</si>
  <si>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</si>
  <si>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</si>
  <si>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</si>
  <si>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</si>
  <si>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</si>
  <si>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</si>
  <si>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</si>
  <si>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</si>
  <si>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</si>
  <si>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</si>
  <si>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</si>
  <si>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</si>
  <si>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</si>
  <si>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</si>
  <si>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</si>
  <si>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</si>
  <si>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</si>
  <si>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</si>
  <si>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</si>
  <si>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</si>
  <si>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</si>
  <si>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</si>
  <si>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</si>
  <si>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</si>
  <si>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</si>
  <si>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</si>
  <si>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</si>
  <si>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</si>
  <si>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</si>
  <si>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</si>
  <si>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</si>
  <si>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</si>
  <si>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</si>
  <si>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</si>
  <si>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</si>
  <si>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</si>
  <si>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</si>
  <si>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</si>
  <si>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</si>
  <si>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</si>
  <si>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</si>
  <si>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</si>
  <si>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</si>
  <si>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</si>
  <si>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</si>
  <si>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</si>
  <si>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</si>
  <si>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</si>
  <si>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</si>
  <si>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</si>
  <si>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</si>
  <si>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</si>
  <si>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</si>
  <si>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</si>
  <si>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</si>
  <si>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</si>
  <si>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</si>
  <si>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</si>
  <si>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</si>
  <si>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</si>
  <si>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</si>
  <si>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</si>
  <si>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</si>
  <si>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</si>
  <si>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</si>
  <si>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</si>
  <si>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</si>
  <si>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</si>
  <si>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</si>
  <si>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</si>
  <si>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</si>
  <si>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</si>
  <si>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</si>
  <si>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</si>
  <si>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</si>
  <si>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</si>
  <si>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</si>
  <si>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</si>
  <si>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</si>
  <si>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</si>
  <si>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</si>
  <si>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</si>
  <si>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</si>
  <si>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</si>
  <si>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</si>
  <si>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</si>
  <si>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</si>
  <si>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</si>
  <si>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</si>
  <si>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</si>
  <si>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</si>
  <si>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</si>
  <si>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</si>
  <si>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</si>
  <si>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</si>
  <si>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</si>
  <si>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</si>
  <si>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</si>
  <si>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</si>
  <si>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</si>
  <si>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</si>
  <si>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</si>
  <si>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</si>
  <si>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</si>
  <si>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</si>
  <si>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</si>
  <si>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</si>
  <si>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</si>
  <si>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</si>
  <si>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</si>
  <si>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</si>
  <si>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</si>
  <si>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</si>
  <si>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</si>
  <si>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</si>
  <si>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</si>
  <si>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</si>
  <si>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</si>
  <si>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</si>
  <si>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</si>
  <si>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</si>
  <si>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</si>
  <si>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</si>
  <si>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</si>
  <si>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</si>
  <si>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</si>
  <si>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</si>
  <si>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</si>
  <si>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</si>
  <si>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</si>
  <si>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</si>
  <si>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</si>
  <si>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</si>
  <si>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</si>
  <si>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</si>
  <si>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</si>
  <si>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</si>
  <si>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</si>
  <si>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</si>
  <si>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</si>
  <si>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</si>
  <si>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</si>
  <si>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</si>
  <si>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</si>
  <si>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</si>
  <si>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</si>
  <si>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</si>
  <si>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</si>
  <si>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</si>
  <si>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</si>
  <si>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</si>
  <si>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</si>
  <si>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</si>
  <si>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</si>
  <si>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</si>
  <si>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</si>
  <si>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</si>
  <si>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</si>
  <si>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</si>
  <si>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</si>
  <si>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</si>
  <si>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</si>
  <si>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</si>
  <si>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</si>
  <si>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</si>
  <si>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</si>
  <si>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</si>
  <si>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</si>
  <si>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</si>
  <si>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</si>
  <si>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</si>
  <si>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</si>
  <si>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</si>
  <si>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</si>
  <si>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</si>
  <si>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</si>
  <si>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</si>
  <si>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</si>
  <si>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</si>
  <si>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</si>
  <si>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</si>
  <si>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</si>
  <si>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</si>
  <si>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</si>
  <si>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</si>
  <si>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</si>
  <si>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</si>
  <si>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</si>
  <si>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</si>
  <si>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</si>
  <si>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</si>
  <si>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</si>
  <si>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</si>
  <si>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</si>
  <si>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</si>
  <si>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</si>
  <si>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</si>
  <si>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</si>
  <si>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</si>
  <si>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</si>
  <si>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</si>
  <si>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</si>
  <si>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</si>
  <si>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</si>
  <si>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</si>
  <si>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</si>
  <si>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</si>
  <si>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</si>
  <si>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</si>
  <si>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</si>
  <si>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</si>
  <si>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</si>
  <si>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</si>
  <si>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</si>
  <si>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</si>
  <si>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</si>
  <si>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</si>
  <si>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</si>
  <si>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</si>
  <si>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</si>
  <si>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</si>
  <si>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</si>
  <si>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</si>
  <si>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</si>
  <si>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</si>
  <si>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</si>
  <si>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</si>
  <si>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</si>
  <si>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</si>
  <si>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</si>
  <si>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</si>
  <si>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</si>
  <si>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</si>
  <si>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</si>
  <si>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</si>
  <si>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</si>
  <si>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</si>
  <si>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</si>
  <si>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</si>
  <si>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</si>
  <si>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</si>
  <si>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</si>
  <si>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</si>
  <si>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</si>
  <si>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</si>
  <si>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</si>
  <si>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</si>
  <si>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</si>
  <si>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</si>
  <si>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</si>
  <si>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</si>
  <si>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</si>
  <si>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</si>
  <si>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</si>
  <si>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</si>
  <si>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</si>
  <si>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</si>
  <si>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</si>
  <si>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</si>
  <si>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</si>
  <si>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</si>
  <si>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</si>
  <si>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</si>
  <si>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</si>
  <si>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</si>
  <si>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</si>
  <si>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</si>
  <si>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</si>
  <si>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</si>
  <si>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</si>
  <si>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</si>
  <si>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</si>
  <si>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</si>
  <si>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</si>
  <si>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</si>
  <si>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</si>
  <si>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</si>
  <si>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</si>
  <si>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</si>
  <si>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</si>
  <si>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</si>
  <si>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</si>
  <si>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</si>
  <si>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</si>
  <si>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</si>
  <si>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</si>
  <si>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</si>
  <si>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</si>
  <si>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</si>
  <si>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</si>
  <si>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</si>
  <si>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</si>
  <si>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</si>
  <si>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</si>
  <si>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</si>
  <si>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</si>
  <si>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</si>
  <si>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</si>
  <si>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</si>
  <si>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</si>
  <si>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</si>
  <si>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</si>
  <si>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</si>
  <si>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</si>
  <si>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</si>
  <si>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</si>
  <si>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</si>
  <si>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</si>
  <si>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</si>
  <si>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</si>
  <si>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</si>
  <si>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</si>
  <si>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</si>
  <si>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</si>
  <si>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</si>
  <si>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</si>
  <si>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</si>
  <si>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</si>
  <si>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</si>
  <si>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</si>
  <si>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</si>
  <si>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</si>
  <si>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</si>
  <si>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</si>
  <si>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</si>
  <si>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</si>
  <si>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</si>
  <si>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</si>
  <si>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</si>
  <si>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</si>
  <si>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</si>
  <si>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</si>
  <si>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</si>
  <si>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</si>
  <si>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</si>
  <si>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</si>
  <si>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</si>
  <si>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</si>
  <si>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</si>
  <si>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</si>
  <si>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</si>
  <si>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</si>
  <si>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</si>
  <si>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</si>
  <si>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</si>
  <si>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</si>
  <si>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</si>
  <si>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</si>
  <si>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</si>
  <si>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</si>
  <si>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</si>
  <si>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</si>
  <si>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</si>
  <si>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</si>
  <si>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</si>
  <si>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</si>
  <si>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</si>
  <si>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</si>
  <si>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</si>
  <si>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</si>
  <si>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</si>
  <si>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</si>
  <si>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</si>
  <si>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</si>
  <si>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</si>
  <si>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</si>
  <si>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</si>
  <si>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</si>
  <si>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</si>
  <si>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</si>
  <si>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</si>
  <si>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</si>
  <si>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</si>
  <si>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</si>
  <si>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</si>
  <si>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</si>
  <si>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</si>
  <si>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</si>
  <si>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</si>
  <si>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</si>
  <si>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</si>
  <si>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</si>
  <si>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</si>
  <si>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</si>
  <si>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</si>
  <si>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</si>
  <si>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</si>
  <si>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</si>
  <si>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</si>
  <si>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</si>
  <si>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</si>
  <si>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</si>
  <si>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</si>
  <si>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</si>
  <si>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</si>
  <si>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</si>
  <si>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</si>
  <si>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</si>
  <si>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</si>
  <si>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</si>
  <si>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</si>
  <si>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</si>
  <si>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</si>
  <si>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</si>
  <si>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</si>
  <si>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</si>
  <si>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</si>
  <si>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</si>
  <si>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</si>
  <si>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</si>
  <si>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</si>
  <si>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</si>
  <si>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</si>
  <si>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</si>
  <si>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</si>
  <si>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</si>
  <si>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</si>
  <si>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</si>
  <si>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</si>
  <si>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</si>
  <si>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</si>
  <si>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</si>
  <si>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</si>
  <si>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</si>
  <si>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</si>
  <si>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</si>
  <si>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</si>
  <si>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</si>
  <si>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</si>
  <si>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</si>
  <si>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</si>
  <si>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</si>
  <si>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</si>
  <si>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</si>
  <si>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</si>
  <si>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</si>
  <si>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</si>
  <si>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</si>
  <si>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</si>
  <si>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</si>
  <si>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</si>
  <si>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</si>
  <si>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</si>
  <si>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</si>
  <si>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</si>
  <si>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</si>
  <si>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</si>
  <si>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</si>
  <si>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</si>
  <si>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</si>
  <si>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</si>
  <si>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</si>
  <si>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</si>
  <si>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</si>
  <si>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</si>
  <si>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</si>
  <si>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</si>
  <si>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</si>
  <si>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</si>
  <si>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</si>
  <si>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</si>
  <si>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</si>
  <si>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</si>
  <si>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</si>
  <si>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</si>
  <si>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</si>
  <si>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</si>
  <si>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</si>
  <si>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</si>
  <si>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</si>
  <si>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</si>
  <si>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</si>
  <si>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</si>
  <si>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</si>
  <si>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</si>
  <si>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</si>
  <si>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</si>
  <si>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</si>
  <si>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</si>
  <si>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</si>
  <si>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</si>
  <si>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</si>
  <si>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</si>
  <si>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</si>
  <si>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</si>
  <si>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</si>
  <si>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</si>
  <si>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</si>
  <si>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</si>
  <si>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</si>
  <si>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</si>
  <si>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</si>
  <si>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</si>
  <si>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</si>
  <si>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</si>
  <si>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</si>
  <si>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</si>
  <si>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</si>
  <si>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</si>
  <si>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</si>
  <si>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</si>
  <si>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</si>
  <si>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</si>
  <si>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</si>
  <si>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</si>
  <si>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</si>
  <si>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</si>
  <si>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</si>
  <si>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</si>
  <si>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</si>
  <si>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</si>
  <si>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</si>
  <si>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</si>
  <si>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</si>
  <si>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</si>
  <si>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</si>
  <si>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</si>
  <si>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</si>
  <si>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</si>
  <si>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</si>
  <si>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</si>
  <si>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</si>
  <si>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</si>
  <si>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</si>
  <si>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</si>
  <si>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</si>
  <si>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</si>
  <si>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</si>
  <si>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</si>
  <si>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</si>
  <si>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</si>
  <si>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</si>
  <si>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</si>
  <si>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</si>
  <si>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</si>
  <si>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</si>
  <si>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</si>
  <si>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</si>
  <si>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</si>
  <si>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</si>
  <si>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</si>
  <si>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</si>
  <si>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</si>
  <si>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</si>
  <si>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</si>
  <si>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</si>
  <si>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</si>
  <si>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</si>
  <si>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</si>
  <si>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</si>
  <si>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</si>
  <si>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</si>
  <si>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</si>
  <si>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</si>
  <si>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</si>
  <si>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</si>
  <si>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</si>
  <si>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</si>
  <si>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</si>
  <si>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</si>
  <si>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</si>
  <si>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</si>
  <si>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</si>
  <si>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</si>
  <si>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</si>
  <si>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</si>
  <si>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</si>
  <si>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</si>
  <si>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</si>
  <si>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</si>
  <si>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</si>
  <si>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</si>
  <si>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</si>
  <si>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</si>
  <si>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</si>
  <si>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</si>
  <si>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</si>
  <si>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</si>
  <si>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</si>
  <si>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</si>
  <si>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</si>
  <si>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</si>
  <si>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</si>
  <si>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</si>
  <si>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</si>
  <si>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</si>
  <si>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</si>
  <si>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</si>
  <si>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</si>
  <si>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</si>
  <si>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</si>
  <si>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</si>
  <si>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</si>
  <si>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</si>
  <si>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</si>
  <si>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</si>
  <si>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</si>
  <si>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Shaker Regional School District</t>
  </si>
  <si>
    <t>Deposit held for sale of Gale School Committee - returned as expense</t>
  </si>
  <si>
    <t>Rounding issue</t>
  </si>
  <si>
    <t>Beginning Fund Balance adjusted to add Student Activities beg. Balance of 186981.17</t>
  </si>
  <si>
    <t>Student Activity Beginning Balance $186,981,17</t>
  </si>
  <si>
    <t>Student Activity Ending Balance $217,443.97</t>
  </si>
  <si>
    <t>Trust Funds Beginning Balance  $674,272.23</t>
  </si>
  <si>
    <t>Trust Funds Ending Balance $770,211.72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</si>
</sst>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60" zoomScaleNormal="160" workbookViewId="0">
      <pane xSplit="5" ySplit="3" topLeftCell="F655"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486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2018625.99</v>
      </c>
      <c r="G9" s="18"/>
      <c r="H9" s="18"/>
      <c r="I9" s="18"/>
      <c r="J9" s="67">
        <f>SUM(I440)</f>
        <v>217443.97</v>
      </c>
      <c r="K9" s="24" t="s">
        <v>288</v>
      </c>
      <c r="L9" s="24" t="s">
        <v>288</v>
      </c>
      <c r="M9" s="8"/>
      <c r="N9" s="264"/>
    </row>
    <row r="10" spans="1:14" s="3" customFormat="1" ht="12.2" customHeight="1" x14ac:dyDescent="0.15">
      <c r="A10" s="1" t="s">
        <v>562</v>
      </c>
      <c r="B10" s="2" t="s">
        <v>289</v>
      </c>
      <c r="C10" s="6">
        <v>2</v>
      </c>
      <c r="D10" s="2" t="s">
        <v>428</v>
      </c>
      <c r="E10" s="6">
        <v>110</v>
      </c>
      <c r="F10" s="18">
        <v>1522.9</v>
      </c>
      <c r="G10" s="18">
        <v>128.97999999999999</v>
      </c>
      <c r="H10" s="18"/>
      <c r="I10" s="18"/>
      <c r="J10" s="67">
        <f>SUM(I441)</f>
        <v>770211.72000000009</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482135.75</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28851.81</v>
      </c>
      <c r="G13" s="18">
        <v>38221.949999999997</v>
      </c>
      <c r="H13" s="18">
        <v>679433.78</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19755.54</v>
      </c>
      <c r="G14" s="18">
        <v>2185.8200000000002</v>
      </c>
      <c r="H14" s="18">
        <v>3393.37</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85981.25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2636873.2399999998</v>
      </c>
      <c r="G19" s="41">
        <f>SUM(G9:G18)</f>
        <v>40536.75</v>
      </c>
      <c r="H19" s="41">
        <f>SUM(H9:H18)</f>
        <v>682827.15</v>
      </c>
      <c r="I19" s="41">
        <f>SUM(I9:I18)</f>
        <v>0</v>
      </c>
      <c r="J19" s="41">
        <f>SUM(J9:J18)</f>
        <v>987655.69000000006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23099.54</v>
      </c>
      <c r="H22" s="18">
        <v>459036.18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47541.36</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35369.32</v>
      </c>
      <c r="G28" s="18">
        <v>150.61000000000001</v>
      </c>
      <c r="H28" s="18">
        <v>9854.65</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10340</v>
      </c>
      <c r="G30" s="18">
        <v>17286.599999999999</v>
      </c>
      <c r="H30" s="18">
        <v>213936.32</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93250.68</v>
      </c>
      <c r="G32" s="41">
        <f>SUM(G22:G31)</f>
        <v>40536.75</v>
      </c>
      <c r="H32" s="41">
        <f>SUM(H22:H31)</f>
        <v>682827.15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85981.25</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140000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396593.98</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987655.69000000006</v>
      </c>
      <c r="K48" s="24" t="s">
        <v>288</v>
      </c>
      <c r="L48" s="24" t="s">
        <v>288</v>
      </c>
      <c r="M48" s="8"/>
      <c r="N48" s="264"/>
    </row>
    <row r="49" spans="1:14" s="3" customFormat="1" ht="12.2" customHeight="1" x14ac:dyDescent="0.15">
      <c r="A49" s="1" t="s">
        <v>859</v>
      </c>
      <c r="B49" s="2" t="s">
        <v>289</v>
      </c>
      <c r="C49" s="6">
        <v>34</v>
      </c>
      <c r="D49" s="2"/>
      <c r="E49" s="6">
        <v>753</v>
      </c>
      <c r="F49" s="18">
        <v>285470.8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1635576.53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2543622.56</v>
      </c>
      <c r="G51" s="41">
        <f>SUM(G35:G50)</f>
        <v>0</v>
      </c>
      <c r="H51" s="41">
        <f>SUM(H35:H50)</f>
        <v>0</v>
      </c>
      <c r="I51" s="41">
        <f>SUM(I35:I50)</f>
        <v>0</v>
      </c>
      <c r="J51" s="41">
        <f>SUM(J35:J50)</f>
        <v>987655.69000000006</v>
      </c>
      <c r="K51" s="45" t="s">
        <v>288</v>
      </c>
      <c r="L51" s="45" t="s">
        <v>288</v>
      </c>
      <c r="N51" s="262"/>
    </row>
    <row r="52" spans="1:14" s="3" customFormat="1" ht="12.2" customHeight="1" thickTop="1" x14ac:dyDescent="0.15">
      <c r="A52" s="38" t="s">
        <v>455</v>
      </c>
      <c r="B52" s="39" t="s">
        <v>289</v>
      </c>
      <c r="C52" s="6">
        <v>37</v>
      </c>
      <c r="D52" s="39" t="s">
        <v>653</v>
      </c>
      <c r="E52" s="39"/>
      <c r="F52" s="41">
        <f>F51+F32</f>
        <v>2636873.2400000002</v>
      </c>
      <c r="G52" s="41">
        <f>G51+G32</f>
        <v>40536.75</v>
      </c>
      <c r="H52" s="41">
        <f>H51+H32</f>
        <v>682827.15</v>
      </c>
      <c r="I52" s="41">
        <f>I51+I32</f>
        <v>0</v>
      </c>
      <c r="J52" s="41">
        <f>J51+J32</f>
        <v>987655.69000000006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13840006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13840006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17576</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17576</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2792.49</v>
      </c>
      <c r="G96" s="18"/>
      <c r="H96" s="18"/>
      <c r="I96" s="18"/>
      <c r="J96" s="18">
        <v>342.49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12918.23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800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80447.509999999995</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150930.76</v>
      </c>
      <c r="G110" s="18">
        <v>676.91</v>
      </c>
      <c r="H110" s="18">
        <v>169730.53</v>
      </c>
      <c r="I110" s="18"/>
      <c r="J110" s="18">
        <v>470307.04</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234970.76</v>
      </c>
      <c r="G111" s="41">
        <f>SUM(G96:G110)</f>
        <v>13595.14</v>
      </c>
      <c r="H111" s="41">
        <f>SUM(H96:H110)</f>
        <v>169730.53</v>
      </c>
      <c r="I111" s="41">
        <f>SUM(I96:I110)</f>
        <v>0</v>
      </c>
      <c r="J111" s="41">
        <f>SUM(J96:J110)</f>
        <v>470649.52999999997</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14092552.76</v>
      </c>
      <c r="G112" s="41">
        <f>G60+G111</f>
        <v>13595.14</v>
      </c>
      <c r="H112" s="41">
        <f>H60+H79+H94+H111</f>
        <v>169730.53</v>
      </c>
      <c r="I112" s="41">
        <f>I60+I111</f>
        <v>0</v>
      </c>
      <c r="J112" s="41">
        <f>J60+J111</f>
        <v>470649.52999999997</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6179072.8899999997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2023753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2804.47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8205630.3599999994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157621.56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7627.42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9128.85</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8705.07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165248.98000000001</v>
      </c>
      <c r="G136" s="41">
        <f>SUM(G123:G135)</f>
        <v>8705.07</v>
      </c>
      <c r="H136" s="41">
        <f>SUM(H123:H135)</f>
        <v>9128.85</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8370879.3399999999</v>
      </c>
      <c r="G140" s="41">
        <f>G121+SUM(G136:G137)</f>
        <v>8705.07</v>
      </c>
      <c r="H140" s="41">
        <f>H121+SUM(H136:H139)</f>
        <v>9128.85</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274629.53000000003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100212.14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364385.25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266621.84000000003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99079.55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552594.91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489766.49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99079.55</v>
      </c>
      <c r="G163" s="41">
        <f>SUM(G150:G162)</f>
        <v>364385.25</v>
      </c>
      <c r="H163" s="41">
        <f>SUM(H150:H162)</f>
        <v>1683824.91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99079.55</v>
      </c>
      <c r="G170" s="41">
        <f>G147+G163+SUM(G164:G169)</f>
        <v>364385.25</v>
      </c>
      <c r="H170" s="41">
        <f>H147+H163+SUM(H164:H169)</f>
        <v>1683824.91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134606.34</v>
      </c>
      <c r="H180" s="18"/>
      <c r="I180" s="18"/>
      <c r="J180" s="18">
        <v>240000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v>33941.31</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168547.65</v>
      </c>
      <c r="H184" s="41">
        <f>SUM(H180:H183)</f>
        <v>0</v>
      </c>
      <c r="I184" s="41">
        <f>SUM(I180:I183)</f>
        <v>0</v>
      </c>
      <c r="J184" s="41">
        <f>SUM(J180:J183)</f>
        <v>240000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112072.31</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112072.31</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112072.31</v>
      </c>
      <c r="G193" s="41">
        <f>G184+SUM(G189:G192)</f>
        <v>168547.65</v>
      </c>
      <c r="H193" s="41">
        <f>+H184+SUM(H189:H192)</f>
        <v>0</v>
      </c>
      <c r="I193" s="41">
        <f>I178+I184+SUM(I189:I192)</f>
        <v>0</v>
      </c>
      <c r="J193" s="41">
        <f>J184</f>
        <v>240000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22674583.960000001</v>
      </c>
      <c r="G194" s="47">
        <f>G112+G140+G170+G193</f>
        <v>555233.11</v>
      </c>
      <c r="H194" s="47">
        <f>H112+H140+H170+H193</f>
        <v>1862684.29</v>
      </c>
      <c r="I194" s="47">
        <f>I112+I140+I170+I193</f>
        <v>0</v>
      </c>
      <c r="J194" s="47">
        <f>J112+J140+J193</f>
        <v>710649.53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2287039.5499999998</v>
      </c>
      <c r="G198" s="18">
        <v>1172579.52</v>
      </c>
      <c r="H198" s="18">
        <v>2973.78</v>
      </c>
      <c r="I198" s="18">
        <v>74554.559999999998</v>
      </c>
      <c r="J198" s="18">
        <v>17338.88</v>
      </c>
      <c r="K198" s="18"/>
      <c r="L198" s="19">
        <f>SUM(F198:K198)</f>
        <v>3554486.2899999996</v>
      </c>
      <c r="M198" s="8"/>
      <c r="N198" s="264"/>
    </row>
    <row r="199" spans="1:14" s="3" customFormat="1" ht="12.2" customHeight="1" x14ac:dyDescent="0.15">
      <c r="A199" s="1" t="s">
        <v>439</v>
      </c>
      <c r="B199" s="2" t="s">
        <v>341</v>
      </c>
      <c r="C199" s="2" t="s">
        <v>291</v>
      </c>
      <c r="D199" s="2" t="s">
        <v>431</v>
      </c>
      <c r="E199" s="6">
        <v>1200</v>
      </c>
      <c r="F199" s="18">
        <v>794810.36</v>
      </c>
      <c r="G199" s="18">
        <v>423239.45</v>
      </c>
      <c r="H199" s="18">
        <v>11650.05</v>
      </c>
      <c r="I199" s="18">
        <v>1767.53</v>
      </c>
      <c r="J199" s="18">
        <v>70.989999999999995</v>
      </c>
      <c r="K199" s="18"/>
      <c r="L199" s="19">
        <f>SUM(F199:K199)</f>
        <v>1231538.3800000001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45420.22</v>
      </c>
      <c r="G201" s="18">
        <v>14770.45</v>
      </c>
      <c r="H201" s="18">
        <v>2380</v>
      </c>
      <c r="I201" s="18">
        <v>1190.22</v>
      </c>
      <c r="J201" s="18"/>
      <c r="K201" s="18">
        <v>74.180000000000007</v>
      </c>
      <c r="L201" s="19">
        <f>SUM(F201:K201)</f>
        <v>63835.07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594866.02</v>
      </c>
      <c r="G203" s="18">
        <v>325317.36</v>
      </c>
      <c r="H203" s="18">
        <v>393058.42</v>
      </c>
      <c r="I203" s="18">
        <v>4728.88</v>
      </c>
      <c r="J203" s="18">
        <v>728.56</v>
      </c>
      <c r="K203" s="18">
        <v>635.85</v>
      </c>
      <c r="L203" s="19">
        <f t="shared" ref="L203:L209" si="0">SUM(F203:K203)</f>
        <v>1319335.0900000001</v>
      </c>
      <c r="M203" s="8"/>
      <c r="N203" s="264"/>
    </row>
    <row r="204" spans="1:14" s="3" customFormat="1" ht="12.2" customHeight="1" x14ac:dyDescent="0.15">
      <c r="A204" s="1" t="s">
        <v>443</v>
      </c>
      <c r="B204" s="2" t="s">
        <v>341</v>
      </c>
      <c r="C204" s="2" t="s">
        <v>295</v>
      </c>
      <c r="D204" s="2" t="s">
        <v>431</v>
      </c>
      <c r="E204" s="6">
        <v>2200</v>
      </c>
      <c r="F204" s="18">
        <v>177702.73</v>
      </c>
      <c r="G204" s="18">
        <v>101693.1</v>
      </c>
      <c r="H204" s="18">
        <v>84718.3</v>
      </c>
      <c r="I204" s="18">
        <v>30102.19</v>
      </c>
      <c r="J204" s="18">
        <v>26338.95</v>
      </c>
      <c r="K204" s="18">
        <v>2400.61</v>
      </c>
      <c r="L204" s="19">
        <f t="shared" si="0"/>
        <v>422955.88</v>
      </c>
      <c r="M204" s="8"/>
      <c r="N204" s="264"/>
    </row>
    <row r="205" spans="1:14" s="3" customFormat="1" ht="12.2" customHeight="1" x14ac:dyDescent="0.15">
      <c r="A205" s="1" t="s">
        <v>444</v>
      </c>
      <c r="B205" s="2" t="s">
        <v>341</v>
      </c>
      <c r="C205" s="2" t="s">
        <v>296</v>
      </c>
      <c r="D205" s="2" t="s">
        <v>431</v>
      </c>
      <c r="E205" s="6">
        <v>2300</v>
      </c>
      <c r="F205" s="18">
        <v>72272.09</v>
      </c>
      <c r="G205" s="18">
        <v>29632.560000000001</v>
      </c>
      <c r="H205" s="18">
        <v>38528.089999999997</v>
      </c>
      <c r="I205" s="18">
        <v>827.64</v>
      </c>
      <c r="J205" s="18"/>
      <c r="K205" s="18">
        <v>2495</v>
      </c>
      <c r="L205" s="19">
        <f t="shared" si="0"/>
        <v>143755.38</v>
      </c>
      <c r="M205" s="8"/>
      <c r="N205" s="264"/>
    </row>
    <row r="206" spans="1:14" s="3" customFormat="1" ht="12.2" customHeight="1" x14ac:dyDescent="0.15">
      <c r="A206" s="1" t="s">
        <v>445</v>
      </c>
      <c r="B206" s="2" t="s">
        <v>341</v>
      </c>
      <c r="C206" s="2" t="s">
        <v>297</v>
      </c>
      <c r="D206" s="2" t="s">
        <v>431</v>
      </c>
      <c r="E206" s="6">
        <v>2400</v>
      </c>
      <c r="F206" s="18">
        <v>326748.81</v>
      </c>
      <c r="G206" s="18">
        <v>167440.06</v>
      </c>
      <c r="H206" s="18">
        <v>22777.27</v>
      </c>
      <c r="I206" s="18">
        <v>3081.08</v>
      </c>
      <c r="J206" s="18">
        <v>1451.14</v>
      </c>
      <c r="K206" s="18">
        <v>693.22</v>
      </c>
      <c r="L206" s="19">
        <f t="shared" si="0"/>
        <v>522191.58</v>
      </c>
      <c r="M206" s="8"/>
      <c r="N206" s="264"/>
    </row>
    <row r="207" spans="1:14" s="3" customFormat="1" ht="12.2" customHeight="1" x14ac:dyDescent="0.15">
      <c r="A207" s="1" t="s">
        <v>446</v>
      </c>
      <c r="B207" s="2" t="s">
        <v>341</v>
      </c>
      <c r="C207" s="2" t="s">
        <v>298</v>
      </c>
      <c r="D207" s="2" t="s">
        <v>431</v>
      </c>
      <c r="E207" s="6">
        <v>2500</v>
      </c>
      <c r="F207" s="18">
        <v>83052.539999999994</v>
      </c>
      <c r="G207" s="18">
        <v>34901.86</v>
      </c>
      <c r="H207" s="18">
        <v>13459.4</v>
      </c>
      <c r="I207" s="18">
        <v>1210.73</v>
      </c>
      <c r="J207" s="18"/>
      <c r="K207" s="18"/>
      <c r="L207" s="19">
        <f t="shared" si="0"/>
        <v>132624.53</v>
      </c>
      <c r="M207" s="8"/>
      <c r="N207" s="264"/>
    </row>
    <row r="208" spans="1:14" s="3" customFormat="1" ht="12.2" customHeight="1" x14ac:dyDescent="0.15">
      <c r="A208" s="1" t="s">
        <v>447</v>
      </c>
      <c r="B208" s="2" t="s">
        <v>341</v>
      </c>
      <c r="C208" s="2" t="s">
        <v>299</v>
      </c>
      <c r="D208" s="2" t="s">
        <v>431</v>
      </c>
      <c r="E208" s="6">
        <v>2600</v>
      </c>
      <c r="F208" s="18">
        <v>187528.37</v>
      </c>
      <c r="G208" s="18">
        <v>80582.350000000006</v>
      </c>
      <c r="H208" s="18">
        <v>211881.65</v>
      </c>
      <c r="I208" s="18">
        <v>116139.57</v>
      </c>
      <c r="J208" s="18">
        <v>15109.45</v>
      </c>
      <c r="K208" s="18"/>
      <c r="L208" s="19">
        <f t="shared" si="0"/>
        <v>611241.3899999999</v>
      </c>
      <c r="M208" s="8"/>
      <c r="N208" s="264"/>
    </row>
    <row r="209" spans="1:14" s="3" customFormat="1" ht="12.2" customHeight="1" x14ac:dyDescent="0.15">
      <c r="A209" s="1" t="s">
        <v>448</v>
      </c>
      <c r="B209" s="2" t="s">
        <v>341</v>
      </c>
      <c r="C209" s="2" t="s">
        <v>300</v>
      </c>
      <c r="D209" s="2" t="s">
        <v>431</v>
      </c>
      <c r="E209" s="6">
        <v>2700</v>
      </c>
      <c r="F209" s="18"/>
      <c r="G209" s="18"/>
      <c r="H209" s="18">
        <v>257024.49</v>
      </c>
      <c r="I209" s="18">
        <v>743.44</v>
      </c>
      <c r="J209" s="18"/>
      <c r="K209" s="18"/>
      <c r="L209" s="19">
        <f t="shared" si="0"/>
        <v>257767.93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4569440.6899999995</v>
      </c>
      <c r="G212" s="41">
        <f t="shared" si="1"/>
        <v>2350156.71</v>
      </c>
      <c r="H212" s="41">
        <f t="shared" si="1"/>
        <v>1038451.4500000001</v>
      </c>
      <c r="I212" s="41">
        <f t="shared" si="1"/>
        <v>234345.84000000003</v>
      </c>
      <c r="J212" s="41">
        <f t="shared" si="1"/>
        <v>61037.97</v>
      </c>
      <c r="K212" s="41">
        <f t="shared" si="1"/>
        <v>6298.8600000000006</v>
      </c>
      <c r="L212" s="41">
        <f t="shared" si="1"/>
        <v>8259731.5199999996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1786932.71</v>
      </c>
      <c r="G216" s="18">
        <v>872329.38</v>
      </c>
      <c r="H216" s="18">
        <v>984.9</v>
      </c>
      <c r="I216" s="18">
        <v>31856.46</v>
      </c>
      <c r="J216" s="18">
        <v>5892.93</v>
      </c>
      <c r="K216" s="18"/>
      <c r="L216" s="19">
        <f>SUM(F216:K216)</f>
        <v>2697996.38</v>
      </c>
      <c r="M216" s="8"/>
      <c r="N216" s="264"/>
    </row>
    <row r="217" spans="1:14" s="3" customFormat="1" ht="12.2" customHeight="1" x14ac:dyDescent="0.15">
      <c r="A217" s="1" t="s">
        <v>439</v>
      </c>
      <c r="B217" s="2" t="s">
        <v>346</v>
      </c>
      <c r="C217" s="2" t="s">
        <v>291</v>
      </c>
      <c r="D217" s="2" t="s">
        <v>431</v>
      </c>
      <c r="E217" s="6">
        <v>1200</v>
      </c>
      <c r="F217" s="18">
        <v>498789.89</v>
      </c>
      <c r="G217" s="18">
        <v>292205.17</v>
      </c>
      <c r="H217" s="18">
        <v>417463.7</v>
      </c>
      <c r="I217" s="18">
        <v>381.51</v>
      </c>
      <c r="J217" s="18">
        <v>626.91999999999996</v>
      </c>
      <c r="K217" s="18"/>
      <c r="L217" s="19">
        <f>SUM(F217:K217)</f>
        <v>1209467.19</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78787.69</v>
      </c>
      <c r="G219" s="18">
        <v>19450.12</v>
      </c>
      <c r="H219" s="18">
        <v>8481</v>
      </c>
      <c r="I219" s="18">
        <v>9022.3700000000008</v>
      </c>
      <c r="J219" s="18">
        <v>5468.39</v>
      </c>
      <c r="K219" s="18">
        <v>1914.6</v>
      </c>
      <c r="L219" s="19">
        <f>SUM(F219:K219)</f>
        <v>123124.17</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338177.78</v>
      </c>
      <c r="G221" s="18">
        <v>170832.65</v>
      </c>
      <c r="H221" s="18">
        <v>41218.65</v>
      </c>
      <c r="I221" s="18">
        <v>5430.5</v>
      </c>
      <c r="J221" s="18">
        <v>16.79</v>
      </c>
      <c r="K221" s="18">
        <v>785.97</v>
      </c>
      <c r="L221" s="19">
        <f t="shared" ref="L221:L227" si="2">SUM(F221:K221)</f>
        <v>556462.34000000008</v>
      </c>
      <c r="M221" s="8"/>
      <c r="N221" s="264"/>
    </row>
    <row r="222" spans="1:14" s="3" customFormat="1" ht="12.2" customHeight="1" x14ac:dyDescent="0.15">
      <c r="A222" s="1" t="s">
        <v>443</v>
      </c>
      <c r="B222" s="2" t="s">
        <v>346</v>
      </c>
      <c r="C222" s="2" t="s">
        <v>295</v>
      </c>
      <c r="D222" s="2" t="s">
        <v>431</v>
      </c>
      <c r="E222" s="6">
        <v>2200</v>
      </c>
      <c r="F222" s="18">
        <v>162627.89000000001</v>
      </c>
      <c r="G222" s="18">
        <v>98791.34</v>
      </c>
      <c r="H222" s="18">
        <v>66945.62</v>
      </c>
      <c r="I222" s="18">
        <v>21736.83</v>
      </c>
      <c r="J222" s="18">
        <v>22251.19</v>
      </c>
      <c r="K222" s="18"/>
      <c r="L222" s="19">
        <f t="shared" si="2"/>
        <v>372352.87</v>
      </c>
      <c r="M222" s="8"/>
      <c r="N222" s="264"/>
    </row>
    <row r="223" spans="1:14" s="3" customFormat="1" ht="12.2" customHeight="1" x14ac:dyDescent="0.15">
      <c r="A223" s="1" t="s">
        <v>444</v>
      </c>
      <c r="B223" s="2" t="s">
        <v>346</v>
      </c>
      <c r="C223" s="2" t="s">
        <v>296</v>
      </c>
      <c r="D223" s="2" t="s">
        <v>431</v>
      </c>
      <c r="E223" s="6">
        <v>2300</v>
      </c>
      <c r="F223" s="18">
        <v>61969.760000000002</v>
      </c>
      <c r="G223" s="18">
        <v>25408.5</v>
      </c>
      <c r="H223" s="18">
        <v>33035.94</v>
      </c>
      <c r="I223" s="18">
        <v>709.66</v>
      </c>
      <c r="J223" s="18"/>
      <c r="K223" s="18">
        <v>2058.41</v>
      </c>
      <c r="L223" s="19">
        <f t="shared" si="2"/>
        <v>123182.27000000002</v>
      </c>
      <c r="M223" s="8"/>
      <c r="N223" s="264"/>
    </row>
    <row r="224" spans="1:14" s="3" customFormat="1" ht="12.2" customHeight="1" x14ac:dyDescent="0.15">
      <c r="A224" s="1" t="s">
        <v>445</v>
      </c>
      <c r="B224" s="2" t="s">
        <v>346</v>
      </c>
      <c r="C224" s="2" t="s">
        <v>297</v>
      </c>
      <c r="D224" s="2" t="s">
        <v>431</v>
      </c>
      <c r="E224" s="6">
        <v>2400</v>
      </c>
      <c r="F224" s="18">
        <v>242474.3</v>
      </c>
      <c r="G224" s="18">
        <v>129381.09</v>
      </c>
      <c r="H224" s="18">
        <v>14469.76</v>
      </c>
      <c r="I224" s="18">
        <v>1546.99</v>
      </c>
      <c r="J224" s="18">
        <v>557.07000000000005</v>
      </c>
      <c r="K224" s="18">
        <v>1355</v>
      </c>
      <c r="L224" s="19">
        <f t="shared" si="2"/>
        <v>389784.21</v>
      </c>
      <c r="M224" s="8"/>
      <c r="N224" s="264"/>
    </row>
    <row r="225" spans="1:14" s="3" customFormat="1" ht="12.2" customHeight="1" x14ac:dyDescent="0.15">
      <c r="A225" s="1" t="s">
        <v>446</v>
      </c>
      <c r="B225" s="2" t="s">
        <v>346</v>
      </c>
      <c r="C225" s="2" t="s">
        <v>298</v>
      </c>
      <c r="D225" s="2" t="s">
        <v>431</v>
      </c>
      <c r="E225" s="6">
        <v>2500</v>
      </c>
      <c r="F225" s="18">
        <v>71213.48</v>
      </c>
      <c r="G225" s="18">
        <v>29926.639999999999</v>
      </c>
      <c r="H225" s="18">
        <v>11540.77</v>
      </c>
      <c r="I225" s="18">
        <v>1038.1400000000001</v>
      </c>
      <c r="J225" s="18"/>
      <c r="K225" s="18">
        <v>594.4</v>
      </c>
      <c r="L225" s="19">
        <f t="shared" si="2"/>
        <v>114313.43</v>
      </c>
      <c r="M225" s="8"/>
      <c r="N225" s="264"/>
    </row>
    <row r="226" spans="1:14" s="3" customFormat="1" ht="12.2" customHeight="1" x14ac:dyDescent="0.15">
      <c r="A226" s="1" t="s">
        <v>447</v>
      </c>
      <c r="B226" s="2" t="s">
        <v>346</v>
      </c>
      <c r="C226" s="2" t="s">
        <v>299</v>
      </c>
      <c r="D226" s="2" t="s">
        <v>431</v>
      </c>
      <c r="E226" s="6">
        <v>2600</v>
      </c>
      <c r="F226" s="18">
        <v>154380.82999999999</v>
      </c>
      <c r="G226" s="18">
        <v>82195.48</v>
      </c>
      <c r="H226" s="18">
        <v>177928.22</v>
      </c>
      <c r="I226" s="18">
        <v>106449.88</v>
      </c>
      <c r="J226" s="18">
        <v>6863.38</v>
      </c>
      <c r="K226" s="18"/>
      <c r="L226" s="19">
        <f t="shared" si="2"/>
        <v>527817.79</v>
      </c>
      <c r="M226" s="8"/>
      <c r="N226" s="264"/>
    </row>
    <row r="227" spans="1:14" s="3" customFormat="1" ht="12.2" customHeight="1" x14ac:dyDescent="0.15">
      <c r="A227" s="1" t="s">
        <v>448</v>
      </c>
      <c r="B227" s="2" t="s">
        <v>346</v>
      </c>
      <c r="C227" s="2" t="s">
        <v>300</v>
      </c>
      <c r="D227" s="2" t="s">
        <v>431</v>
      </c>
      <c r="E227" s="6">
        <v>2700</v>
      </c>
      <c r="F227" s="18"/>
      <c r="G227" s="18"/>
      <c r="H227" s="18">
        <v>277460.3</v>
      </c>
      <c r="I227" s="18">
        <v>637.46</v>
      </c>
      <c r="J227" s="18"/>
      <c r="K227" s="18"/>
      <c r="L227" s="19">
        <f t="shared" si="2"/>
        <v>278097.76</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3395354.33</v>
      </c>
      <c r="G230" s="41">
        <f>SUM(G216:G229)</f>
        <v>1720520.37</v>
      </c>
      <c r="H230" s="41">
        <f>SUM(H216:H229)</f>
        <v>1049528.8600000001</v>
      </c>
      <c r="I230" s="41">
        <f>SUM(I216:I229)</f>
        <v>178809.80000000002</v>
      </c>
      <c r="J230" s="41">
        <f>SUM(J216:J229)</f>
        <v>41676.67</v>
      </c>
      <c r="K230" s="41">
        <f t="shared" si="3"/>
        <v>6708.3799999999992</v>
      </c>
      <c r="L230" s="41">
        <f t="shared" si="3"/>
        <v>6392598.4100000001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1917198.78</v>
      </c>
      <c r="G234" s="18">
        <v>964218.21</v>
      </c>
      <c r="H234" s="18">
        <v>645</v>
      </c>
      <c r="I234" s="18">
        <v>57222.65</v>
      </c>
      <c r="J234" s="18">
        <v>29590.86</v>
      </c>
      <c r="K234" s="18"/>
      <c r="L234" s="19">
        <f>SUM(F234:K234)</f>
        <v>2968875.5</v>
      </c>
      <c r="M234" s="8"/>
      <c r="N234" s="264"/>
    </row>
    <row r="235" spans="1:14" s="3" customFormat="1" ht="12.2" customHeight="1" x14ac:dyDescent="0.15">
      <c r="A235" s="1" t="s">
        <v>439</v>
      </c>
      <c r="B235" s="2" t="s">
        <v>350</v>
      </c>
      <c r="C235" s="2" t="s">
        <v>291</v>
      </c>
      <c r="D235" s="2" t="s">
        <v>431</v>
      </c>
      <c r="E235" s="6">
        <v>1200</v>
      </c>
      <c r="F235" s="18">
        <v>431751.35</v>
      </c>
      <c r="G235" s="18">
        <v>278555.63</v>
      </c>
      <c r="H235" s="18">
        <v>271471.40000000002</v>
      </c>
      <c r="I235" s="18">
        <v>1515.13</v>
      </c>
      <c r="J235" s="18"/>
      <c r="K235" s="18"/>
      <c r="L235" s="19">
        <f>SUM(F235:K235)</f>
        <v>983293.51</v>
      </c>
      <c r="M235" s="8"/>
      <c r="N235" s="264"/>
    </row>
    <row r="236" spans="1:14" s="3" customFormat="1" ht="12.2" customHeight="1" x14ac:dyDescent="0.15">
      <c r="A236" s="1" t="s">
        <v>440</v>
      </c>
      <c r="B236" s="2" t="s">
        <v>350</v>
      </c>
      <c r="C236" s="2" t="s">
        <v>292</v>
      </c>
      <c r="D236" s="2" t="s">
        <v>431</v>
      </c>
      <c r="E236" s="6">
        <v>1300</v>
      </c>
      <c r="F236" s="18">
        <v>18010.04</v>
      </c>
      <c r="G236" s="18">
        <v>1490.15</v>
      </c>
      <c r="H236" s="18">
        <v>175884.58</v>
      </c>
      <c r="I236" s="18"/>
      <c r="J236" s="18"/>
      <c r="K236" s="18"/>
      <c r="L236" s="19">
        <f>SUM(F236:K236)</f>
        <v>195384.77</v>
      </c>
      <c r="M236" s="8"/>
      <c r="N236" s="264"/>
    </row>
    <row r="237" spans="1:14" s="3" customFormat="1" ht="12.2" customHeight="1" x14ac:dyDescent="0.15">
      <c r="A237" s="1" t="s">
        <v>441</v>
      </c>
      <c r="B237" s="2" t="s">
        <v>350</v>
      </c>
      <c r="C237" s="2" t="s">
        <v>293</v>
      </c>
      <c r="D237" s="2" t="s">
        <v>431</v>
      </c>
      <c r="E237" s="6">
        <v>1400</v>
      </c>
      <c r="F237" s="18">
        <v>109899.36</v>
      </c>
      <c r="G237" s="18">
        <v>26114.16</v>
      </c>
      <c r="H237" s="18">
        <v>44325.75</v>
      </c>
      <c r="I237" s="18">
        <v>29861.82</v>
      </c>
      <c r="J237" s="18">
        <v>34135.68</v>
      </c>
      <c r="K237" s="18">
        <v>11950.11</v>
      </c>
      <c r="L237" s="19">
        <f>SUM(F237:K237)</f>
        <v>256286.88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361367.15</v>
      </c>
      <c r="G239" s="18">
        <v>187244.21</v>
      </c>
      <c r="H239" s="18">
        <v>52923.78</v>
      </c>
      <c r="I239" s="18">
        <v>5480.64</v>
      </c>
      <c r="J239" s="18">
        <v>236.34</v>
      </c>
      <c r="K239" s="18">
        <v>531.17999999999995</v>
      </c>
      <c r="L239" s="19">
        <f t="shared" ref="L239:L245" si="4">SUM(F239:K239)</f>
        <v>607783.30000000005</v>
      </c>
      <c r="M239" s="8"/>
      <c r="N239" s="264"/>
    </row>
    <row r="240" spans="1:14" s="3" customFormat="1" ht="12.2" customHeight="1" x14ac:dyDescent="0.15">
      <c r="A240" s="1" t="s">
        <v>443</v>
      </c>
      <c r="B240" s="2" t="s">
        <v>350</v>
      </c>
      <c r="C240" s="2" t="s">
        <v>295</v>
      </c>
      <c r="D240" s="2" t="s">
        <v>431</v>
      </c>
      <c r="E240" s="6">
        <v>2200</v>
      </c>
      <c r="F240" s="18">
        <v>140389.93</v>
      </c>
      <c r="G240" s="18">
        <v>82724.77</v>
      </c>
      <c r="H240" s="18">
        <v>64876.6</v>
      </c>
      <c r="I240" s="18">
        <v>24599.43</v>
      </c>
      <c r="J240" s="18">
        <v>22539.98</v>
      </c>
      <c r="K240" s="18"/>
      <c r="L240" s="19">
        <f t="shared" si="4"/>
        <v>335130.70999999996</v>
      </c>
      <c r="M240" s="8"/>
      <c r="N240" s="264"/>
    </row>
    <row r="241" spans="1:14" s="3" customFormat="1" ht="12.2" customHeight="1" x14ac:dyDescent="0.15">
      <c r="A241" s="1" t="s">
        <v>444</v>
      </c>
      <c r="B241" s="2" t="s">
        <v>350</v>
      </c>
      <c r="C241" s="2" t="s">
        <v>296</v>
      </c>
      <c r="D241" s="2" t="s">
        <v>431</v>
      </c>
      <c r="E241" s="6">
        <v>2300</v>
      </c>
      <c r="F241" s="18">
        <v>60509.11</v>
      </c>
      <c r="G241" s="18">
        <v>24809.59</v>
      </c>
      <c r="H241" s="18">
        <v>50698.55</v>
      </c>
      <c r="I241" s="18">
        <v>692.95</v>
      </c>
      <c r="J241" s="18"/>
      <c r="K241" s="18">
        <v>2009.9</v>
      </c>
      <c r="L241" s="19">
        <f t="shared" si="4"/>
        <v>138720.1</v>
      </c>
      <c r="M241" s="8"/>
      <c r="N241" s="264"/>
    </row>
    <row r="242" spans="1:14" s="3" customFormat="1" ht="12.2" customHeight="1" x14ac:dyDescent="0.15">
      <c r="A242" s="1" t="s">
        <v>445</v>
      </c>
      <c r="B242" s="2" t="s">
        <v>350</v>
      </c>
      <c r="C242" s="2" t="s">
        <v>297</v>
      </c>
      <c r="D242" s="2" t="s">
        <v>431</v>
      </c>
      <c r="E242" s="6">
        <v>2400</v>
      </c>
      <c r="F242" s="18">
        <v>224290.34</v>
      </c>
      <c r="G242" s="18">
        <v>116933.24</v>
      </c>
      <c r="H242" s="18">
        <v>12610.45</v>
      </c>
      <c r="I242" s="18">
        <v>3136.14</v>
      </c>
      <c r="J242" s="18"/>
      <c r="K242" s="18">
        <v>15841.63</v>
      </c>
      <c r="L242" s="19">
        <f t="shared" si="4"/>
        <v>372811.80000000005</v>
      </c>
      <c r="M242" s="8"/>
      <c r="N242" s="264"/>
    </row>
    <row r="243" spans="1:14" s="3" customFormat="1" ht="12.2" customHeight="1" x14ac:dyDescent="0.15">
      <c r="A243" s="1" t="s">
        <v>446</v>
      </c>
      <c r="B243" s="2" t="s">
        <v>350</v>
      </c>
      <c r="C243" s="2" t="s">
        <v>298</v>
      </c>
      <c r="D243" s="2" t="s">
        <v>431</v>
      </c>
      <c r="E243" s="6">
        <v>2500</v>
      </c>
      <c r="F243" s="18">
        <v>69534.990000000005</v>
      </c>
      <c r="G243" s="18">
        <v>29221.26</v>
      </c>
      <c r="H243" s="18">
        <v>11268.76</v>
      </c>
      <c r="I243" s="18">
        <v>1013.67</v>
      </c>
      <c r="J243" s="18"/>
      <c r="K243" s="18">
        <v>580.39</v>
      </c>
      <c r="L243" s="19">
        <f t="shared" si="4"/>
        <v>111619.06999999999</v>
      </c>
      <c r="M243" s="8"/>
      <c r="N243" s="264"/>
    </row>
    <row r="244" spans="1:14" s="3" customFormat="1" ht="12.2" customHeight="1" x14ac:dyDescent="0.15">
      <c r="A244" s="1" t="s">
        <v>447</v>
      </c>
      <c r="B244" s="2" t="s">
        <v>350</v>
      </c>
      <c r="C244" s="2" t="s">
        <v>299</v>
      </c>
      <c r="D244" s="2" t="s">
        <v>431</v>
      </c>
      <c r="E244" s="6">
        <v>2600</v>
      </c>
      <c r="F244" s="18">
        <v>149018.89000000001</v>
      </c>
      <c r="G244" s="18">
        <v>60501.46</v>
      </c>
      <c r="H244" s="18">
        <v>186382.18</v>
      </c>
      <c r="I244" s="18">
        <v>116509.6</v>
      </c>
      <c r="J244" s="18">
        <v>10294.85</v>
      </c>
      <c r="K244" s="18"/>
      <c r="L244" s="19">
        <f t="shared" si="4"/>
        <v>522706.98</v>
      </c>
      <c r="M244" s="8"/>
      <c r="N244" s="264"/>
    </row>
    <row r="245" spans="1:14" s="3" customFormat="1" ht="12.2" customHeight="1" x14ac:dyDescent="0.15">
      <c r="A245" s="1" t="s">
        <v>448</v>
      </c>
      <c r="B245" s="2" t="s">
        <v>350</v>
      </c>
      <c r="C245" s="2" t="s">
        <v>300</v>
      </c>
      <c r="D245" s="2" t="s">
        <v>431</v>
      </c>
      <c r="E245" s="6">
        <v>2700</v>
      </c>
      <c r="F245" s="18"/>
      <c r="G245" s="18"/>
      <c r="H245" s="18">
        <v>281403.13</v>
      </c>
      <c r="I245" s="18">
        <v>622.41999999999996</v>
      </c>
      <c r="J245" s="18"/>
      <c r="K245" s="18"/>
      <c r="L245" s="19">
        <f t="shared" si="4"/>
        <v>282025.55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3481969.94</v>
      </c>
      <c r="G248" s="41">
        <f t="shared" si="5"/>
        <v>1771812.6799999997</v>
      </c>
      <c r="H248" s="41">
        <f t="shared" si="5"/>
        <v>1152490.1800000002</v>
      </c>
      <c r="I248" s="41">
        <f t="shared" si="5"/>
        <v>240654.45000000004</v>
      </c>
      <c r="J248" s="41">
        <f t="shared" si="5"/>
        <v>96797.71</v>
      </c>
      <c r="K248" s="41">
        <f t="shared" si="5"/>
        <v>30913.21</v>
      </c>
      <c r="L248" s="41">
        <f t="shared" si="5"/>
        <v>6774638.169999999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106390.91</v>
      </c>
      <c r="I256" s="18"/>
      <c r="J256" s="18"/>
      <c r="K256" s="18"/>
      <c r="L256" s="19">
        <f t="shared" si="6"/>
        <v>106390.91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106390.91</v>
      </c>
      <c r="I257" s="41">
        <f t="shared" si="7"/>
        <v>0</v>
      </c>
      <c r="J257" s="41">
        <f t="shared" si="7"/>
        <v>0</v>
      </c>
      <c r="K257" s="41">
        <f t="shared" si="7"/>
        <v>0</v>
      </c>
      <c r="L257" s="41">
        <f>SUM(F257:K257)</f>
        <v>106390.91</v>
      </c>
      <c r="M257" s="8"/>
      <c r="N257" s="264"/>
    </row>
    <row r="258" spans="1:14" s="3" customFormat="1" ht="12.2" customHeight="1" thickTop="1" x14ac:dyDescent="0.15">
      <c r="A258" s="38" t="s">
        <v>462</v>
      </c>
      <c r="B258" s="40">
        <v>10</v>
      </c>
      <c r="C258" s="40">
        <v>8</v>
      </c>
      <c r="D258" s="39" t="s">
        <v>431</v>
      </c>
      <c r="E258" s="40"/>
      <c r="F258" s="41">
        <f t="shared" ref="F258:L258" si="8">F212+F230+F248+F257</f>
        <v>11446764.959999999</v>
      </c>
      <c r="G258" s="41">
        <f t="shared" si="8"/>
        <v>5842489.7599999998</v>
      </c>
      <c r="H258" s="41">
        <f t="shared" si="8"/>
        <v>3346861.4000000004</v>
      </c>
      <c r="I258" s="41">
        <f t="shared" si="8"/>
        <v>653810.09000000008</v>
      </c>
      <c r="J258" s="41">
        <f t="shared" si="8"/>
        <v>199512.35</v>
      </c>
      <c r="K258" s="41">
        <f t="shared" si="8"/>
        <v>43920.45</v>
      </c>
      <c r="L258" s="41">
        <f t="shared" si="8"/>
        <v>21533359.009999998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134606.34</v>
      </c>
      <c r="L264" s="19">
        <f>SUM(F264:K264)</f>
        <v>134606.34</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240000</v>
      </c>
      <c r="L267" s="19">
        <f t="shared" si="9"/>
        <v>240000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374606.33999999997</v>
      </c>
      <c r="L271" s="41">
        <f t="shared" si="9"/>
        <v>374606.33999999997</v>
      </c>
      <c r="M271" s="8"/>
      <c r="N271" s="264"/>
    </row>
    <row r="272" spans="1:14" s="34" customFormat="1" ht="12.2" customHeight="1" thickTop="1" x14ac:dyDescent="0.2">
      <c r="A272" s="43" t="s">
        <v>464</v>
      </c>
      <c r="B272" s="40">
        <v>10</v>
      </c>
      <c r="C272" s="40">
        <v>18</v>
      </c>
      <c r="D272" s="39" t="s">
        <v>431</v>
      </c>
      <c r="E272" s="40"/>
      <c r="F272" s="42">
        <f t="shared" ref="F272:L272" si="11">F258+F271</f>
        <v>11446764.959999999</v>
      </c>
      <c r="G272" s="42">
        <f t="shared" si="11"/>
        <v>5842489.7599999998</v>
      </c>
      <c r="H272" s="42">
        <f t="shared" si="11"/>
        <v>3346861.4000000004</v>
      </c>
      <c r="I272" s="42">
        <f t="shared" si="11"/>
        <v>653810.09000000008</v>
      </c>
      <c r="J272" s="42">
        <f t="shared" si="11"/>
        <v>199512.35</v>
      </c>
      <c r="K272" s="42">
        <f t="shared" si="11"/>
        <v>418526.79</v>
      </c>
      <c r="L272" s="42">
        <f t="shared" si="11"/>
        <v>21907965.349999998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188356.06</v>
      </c>
      <c r="G277" s="18">
        <v>57023.75</v>
      </c>
      <c r="H277" s="18">
        <v>132.75</v>
      </c>
      <c r="I277" s="18">
        <v>35010.050000000003</v>
      </c>
      <c r="J277" s="18">
        <v>23621.05</v>
      </c>
      <c r="K277" s="18"/>
      <c r="L277" s="19">
        <f>SUM(F277:K277)</f>
        <v>304143.65999999997</v>
      </c>
      <c r="M277" s="8"/>
      <c r="N277" s="264"/>
    </row>
    <row r="278" spans="1:14" s="3" customFormat="1" ht="12.2" customHeight="1" x14ac:dyDescent="0.15">
      <c r="A278" s="1" t="s">
        <v>439</v>
      </c>
      <c r="B278" s="2" t="s">
        <v>357</v>
      </c>
      <c r="C278" s="2" t="s">
        <v>291</v>
      </c>
      <c r="D278" s="2" t="s">
        <v>431</v>
      </c>
      <c r="E278" s="6">
        <v>1200</v>
      </c>
      <c r="F278" s="18">
        <v>74346.740000000005</v>
      </c>
      <c r="G278" s="18">
        <v>51796.68</v>
      </c>
      <c r="H278" s="18">
        <v>673.18</v>
      </c>
      <c r="I278" s="18">
        <v>6984.24</v>
      </c>
      <c r="J278" s="18">
        <v>14252.56</v>
      </c>
      <c r="K278" s="18"/>
      <c r="L278" s="19">
        <f>SUM(F278:K278)</f>
        <v>148053.4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16170</v>
      </c>
      <c r="G280" s="18">
        <v>4031.46</v>
      </c>
      <c r="H280" s="18"/>
      <c r="I280" s="18">
        <v>693.46</v>
      </c>
      <c r="J280" s="18"/>
      <c r="K280" s="18"/>
      <c r="L280" s="19">
        <f>SUM(F280:K280)</f>
        <v>20894.919999999998</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16543.64</v>
      </c>
      <c r="G283" s="18">
        <v>4157.8100000000004</v>
      </c>
      <c r="H283" s="18">
        <v>3443.78</v>
      </c>
      <c r="I283" s="18">
        <v>18172.32</v>
      </c>
      <c r="J283" s="18">
        <v>104566.15</v>
      </c>
      <c r="K283" s="18"/>
      <c r="L283" s="19">
        <f t="shared" si="12"/>
        <v>146883.70000000001</v>
      </c>
      <c r="M283" s="8"/>
      <c r="N283" s="264"/>
    </row>
    <row r="284" spans="1:14" s="3" customFormat="1" ht="12.2" customHeight="1" x14ac:dyDescent="0.15">
      <c r="A284" s="1" t="s">
        <v>444</v>
      </c>
      <c r="B284" s="2" t="s">
        <v>357</v>
      </c>
      <c r="C284" s="2" t="s">
        <v>296</v>
      </c>
      <c r="D284" s="2" t="s">
        <v>431</v>
      </c>
      <c r="E284" s="6">
        <v>2300</v>
      </c>
      <c r="F284" s="18"/>
      <c r="G284" s="18"/>
      <c r="H284" s="18">
        <v>940.5</v>
      </c>
      <c r="I284" s="18"/>
      <c r="J284" s="18"/>
      <c r="K284" s="18"/>
      <c r="L284" s="19">
        <f t="shared" si="12"/>
        <v>940.5</v>
      </c>
      <c r="M284" s="8"/>
      <c r="N284" s="264"/>
    </row>
    <row r="285" spans="1:14" s="3" customFormat="1" ht="12.2" customHeight="1" x14ac:dyDescent="0.15">
      <c r="A285" s="1" t="s">
        <v>445</v>
      </c>
      <c r="B285" s="2" t="s">
        <v>357</v>
      </c>
      <c r="C285" s="2" t="s">
        <v>297</v>
      </c>
      <c r="D285" s="2" t="s">
        <v>431</v>
      </c>
      <c r="E285" s="6">
        <v>2400</v>
      </c>
      <c r="F285" s="18">
        <v>921.04</v>
      </c>
      <c r="G285" s="18">
        <v>234.41</v>
      </c>
      <c r="H285" s="18"/>
      <c r="I285" s="18"/>
      <c r="J285" s="18"/>
      <c r="K285" s="18"/>
      <c r="L285" s="19">
        <f t="shared" si="12"/>
        <v>1155.45</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24864.44</v>
      </c>
      <c r="I287" s="18">
        <v>48059.96</v>
      </c>
      <c r="J287" s="18">
        <v>23138.1</v>
      </c>
      <c r="K287" s="18"/>
      <c r="L287" s="19">
        <f t="shared" si="12"/>
        <v>96062.5</v>
      </c>
      <c r="M287" s="8"/>
      <c r="N287" s="264"/>
    </row>
    <row r="288" spans="1:14" s="3" customFormat="1" ht="12.2" customHeight="1" x14ac:dyDescent="0.15">
      <c r="A288" s="1" t="s">
        <v>448</v>
      </c>
      <c r="B288" s="2" t="s">
        <v>357</v>
      </c>
      <c r="C288" s="2" t="s">
        <v>300</v>
      </c>
      <c r="D288" s="2" t="s">
        <v>431</v>
      </c>
      <c r="E288" s="6">
        <v>2700</v>
      </c>
      <c r="F288" s="18"/>
      <c r="G288" s="18"/>
      <c r="H288" s="18">
        <v>99414.57</v>
      </c>
      <c r="I288" s="18"/>
      <c r="J288" s="18"/>
      <c r="K288" s="18"/>
      <c r="L288" s="19">
        <f t="shared" si="12"/>
        <v>99414.57</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296337.48</v>
      </c>
      <c r="G291" s="42">
        <f t="shared" si="13"/>
        <v>117244.11</v>
      </c>
      <c r="H291" s="42">
        <f t="shared" si="13"/>
        <v>129469.22</v>
      </c>
      <c r="I291" s="42">
        <f t="shared" si="13"/>
        <v>108920.03</v>
      </c>
      <c r="J291" s="42">
        <f t="shared" si="13"/>
        <v>165577.86000000002</v>
      </c>
      <c r="K291" s="42">
        <f t="shared" si="13"/>
        <v>0</v>
      </c>
      <c r="L291" s="41">
        <f t="shared" si="13"/>
        <v>817548.7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99660.25</v>
      </c>
      <c r="G296" s="18">
        <v>45908.85</v>
      </c>
      <c r="H296" s="18">
        <v>113.83</v>
      </c>
      <c r="I296" s="18">
        <v>18357.52</v>
      </c>
      <c r="J296" s="18">
        <v>21220.95</v>
      </c>
      <c r="K296" s="18"/>
      <c r="L296" s="19">
        <f>SUM(F296:K296)</f>
        <v>185261.4</v>
      </c>
      <c r="M296" s="8"/>
      <c r="N296" s="264"/>
    </row>
    <row r="297" spans="1:14" s="3" customFormat="1" ht="12.2" customHeight="1" x14ac:dyDescent="0.15">
      <c r="A297" s="1" t="s">
        <v>439</v>
      </c>
      <c r="B297" s="2" t="s">
        <v>358</v>
      </c>
      <c r="C297" s="2" t="s">
        <v>291</v>
      </c>
      <c r="D297" s="2" t="s">
        <v>431</v>
      </c>
      <c r="E297" s="6">
        <v>1200</v>
      </c>
      <c r="F297" s="18">
        <v>19199.07</v>
      </c>
      <c r="G297" s="18">
        <v>13298.86</v>
      </c>
      <c r="H297" s="18">
        <v>577.21</v>
      </c>
      <c r="I297" s="18">
        <v>5634.05</v>
      </c>
      <c r="J297" s="18">
        <v>2836.68</v>
      </c>
      <c r="K297" s="18"/>
      <c r="L297" s="19">
        <f>SUM(F297:K297)</f>
        <v>41545.870000000003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1945</v>
      </c>
      <c r="G299" s="18">
        <v>514.6</v>
      </c>
      <c r="H299" s="18"/>
      <c r="I299" s="18">
        <v>3384.04</v>
      </c>
      <c r="J299" s="18"/>
      <c r="K299" s="18">
        <v>750</v>
      </c>
      <c r="L299" s="19">
        <f>SUM(F299:K299)</f>
        <v>6593.6399999999994</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15085.35</v>
      </c>
      <c r="G302" s="18">
        <v>3827.65</v>
      </c>
      <c r="H302" s="18">
        <v>2952.88</v>
      </c>
      <c r="I302" s="18">
        <v>15466.1</v>
      </c>
      <c r="J302" s="18">
        <v>89660.33</v>
      </c>
      <c r="K302" s="18"/>
      <c r="L302" s="19">
        <f t="shared" si="14"/>
        <v>126992.31</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v>789.75</v>
      </c>
      <c r="G304" s="18">
        <v>200.99</v>
      </c>
      <c r="H304" s="18">
        <v>940.5</v>
      </c>
      <c r="I304" s="18"/>
      <c r="J304" s="18"/>
      <c r="K304" s="18"/>
      <c r="L304" s="19">
        <f t="shared" si="14"/>
        <v>1931.24</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v>21320.02</v>
      </c>
      <c r="I306" s="18">
        <v>41209.06</v>
      </c>
      <c r="J306" s="18">
        <v>19839.78</v>
      </c>
      <c r="K306" s="18"/>
      <c r="L306" s="19">
        <f t="shared" si="14"/>
        <v>82368.86</v>
      </c>
      <c r="M306" s="8"/>
      <c r="N306" s="264"/>
    </row>
    <row r="307" spans="1:14" s="3" customFormat="1" ht="12.2" customHeight="1" x14ac:dyDescent="0.15">
      <c r="A307" s="1" t="s">
        <v>448</v>
      </c>
      <c r="B307" s="2" t="s">
        <v>358</v>
      </c>
      <c r="C307" s="2" t="s">
        <v>300</v>
      </c>
      <c r="D307" s="2" t="s">
        <v>431</v>
      </c>
      <c r="E307" s="6">
        <v>2700</v>
      </c>
      <c r="F307" s="18"/>
      <c r="G307" s="18"/>
      <c r="H307" s="18">
        <v>87387.98</v>
      </c>
      <c r="I307" s="18"/>
      <c r="J307" s="18"/>
      <c r="K307" s="18"/>
      <c r="L307" s="19">
        <f t="shared" si="14"/>
        <v>87387.98</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136679.42000000001</v>
      </c>
      <c r="G310" s="42">
        <f t="shared" si="15"/>
        <v>63750.95</v>
      </c>
      <c r="H310" s="42">
        <f t="shared" si="15"/>
        <v>113292.42</v>
      </c>
      <c r="I310" s="42">
        <f t="shared" si="15"/>
        <v>84050.76999999999</v>
      </c>
      <c r="J310" s="42">
        <f t="shared" si="15"/>
        <v>133557.74</v>
      </c>
      <c r="K310" s="42">
        <f t="shared" si="15"/>
        <v>750</v>
      </c>
      <c r="L310" s="41">
        <f t="shared" si="15"/>
        <v>532081.29999999993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17528.71</v>
      </c>
      <c r="G315" s="18">
        <v>8775.4</v>
      </c>
      <c r="H315" s="18">
        <v>111.14</v>
      </c>
      <c r="I315" s="18">
        <v>19516.13</v>
      </c>
      <c r="J315" s="18">
        <v>19566.810000000001</v>
      </c>
      <c r="K315" s="18"/>
      <c r="L315" s="19">
        <f>SUM(F315:K315)</f>
        <v>65498.19</v>
      </c>
      <c r="M315" s="8"/>
      <c r="N315" s="264"/>
    </row>
    <row r="316" spans="1:14" s="3" customFormat="1" ht="12.2" customHeight="1" x14ac:dyDescent="0.15">
      <c r="A316" s="1" t="s">
        <v>439</v>
      </c>
      <c r="B316" s="2" t="s">
        <v>359</v>
      </c>
      <c r="C316" s="2" t="s">
        <v>291</v>
      </c>
      <c r="D316" s="2" t="s">
        <v>431</v>
      </c>
      <c r="E316" s="6">
        <v>1200</v>
      </c>
      <c r="F316" s="18">
        <v>18746.560000000001</v>
      </c>
      <c r="G316" s="18">
        <v>12985.36</v>
      </c>
      <c r="H316" s="18">
        <v>563.61</v>
      </c>
      <c r="I316" s="18">
        <v>5501.24</v>
      </c>
      <c r="J316" s="18">
        <v>2769.8</v>
      </c>
      <c r="K316" s="18"/>
      <c r="L316" s="19">
        <f>SUM(F316:K316)</f>
        <v>40566.570000000007</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7547</v>
      </c>
      <c r="G318" s="18">
        <v>1110.44</v>
      </c>
      <c r="H318" s="18">
        <v>15849.67</v>
      </c>
      <c r="I318" s="18">
        <v>2256</v>
      </c>
      <c r="J318" s="18">
        <v>1586.09</v>
      </c>
      <c r="K318" s="18">
        <v>65</v>
      </c>
      <c r="L318" s="19">
        <f>SUM(F318:K318)</f>
        <v>28414.2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13851.01</v>
      </c>
      <c r="G321" s="18">
        <v>3481.02</v>
      </c>
      <c r="H321" s="18">
        <v>2883.27</v>
      </c>
      <c r="I321" s="18">
        <v>15101.56</v>
      </c>
      <c r="J321" s="18">
        <v>87547.02</v>
      </c>
      <c r="K321" s="18"/>
      <c r="L321" s="19">
        <f t="shared" si="16"/>
        <v>122863.88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v>771.14</v>
      </c>
      <c r="G323" s="18">
        <v>196.25</v>
      </c>
      <c r="H323" s="18">
        <v>969</v>
      </c>
      <c r="I323" s="18"/>
      <c r="J323" s="18"/>
      <c r="K323" s="18"/>
      <c r="L323" s="19">
        <f t="shared" si="16"/>
        <v>1936.3899999999999</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23217.54</v>
      </c>
      <c r="I325" s="18">
        <v>40237.760000000002</v>
      </c>
      <c r="J325" s="18">
        <v>19372.150000000001</v>
      </c>
      <c r="K325" s="18"/>
      <c r="L325" s="19">
        <f t="shared" si="16"/>
        <v>82827.450000000012</v>
      </c>
      <c r="M325" s="8"/>
      <c r="N325" s="264"/>
    </row>
    <row r="326" spans="1:14" s="3" customFormat="1" ht="12.2" customHeight="1" x14ac:dyDescent="0.15">
      <c r="A326" s="1" t="s">
        <v>448</v>
      </c>
      <c r="B326" s="2" t="s">
        <v>359</v>
      </c>
      <c r="C326" s="2" t="s">
        <v>300</v>
      </c>
      <c r="D326" s="2" t="s">
        <v>431</v>
      </c>
      <c r="E326" s="6">
        <v>2700</v>
      </c>
      <c r="F326" s="18"/>
      <c r="G326" s="18"/>
      <c r="H326" s="18">
        <v>85898.39</v>
      </c>
      <c r="I326" s="18"/>
      <c r="J326" s="18"/>
      <c r="K326" s="18"/>
      <c r="L326" s="19">
        <f t="shared" si="16"/>
        <v>85898.39</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58444.420000000006</v>
      </c>
      <c r="G329" s="42">
        <f t="shared" si="17"/>
        <v>26548.47</v>
      </c>
      <c r="H329" s="42">
        <f t="shared" si="17"/>
        <v>129492.62</v>
      </c>
      <c r="I329" s="42">
        <f t="shared" si="17"/>
        <v>82612.69</v>
      </c>
      <c r="J329" s="42">
        <f t="shared" si="17"/>
        <v>130841.87</v>
      </c>
      <c r="K329" s="42">
        <f t="shared" si="17"/>
        <v>65</v>
      </c>
      <c r="L329" s="41">
        <f t="shared" si="17"/>
        <v>428005.07000000007</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51107.91</v>
      </c>
      <c r="I337" s="18"/>
      <c r="J337" s="18"/>
      <c r="K337" s="18"/>
      <c r="L337" s="19">
        <f t="shared" si="18"/>
        <v>51107.91</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51107.91</v>
      </c>
      <c r="I338" s="41">
        <f t="shared" si="19"/>
        <v>0</v>
      </c>
      <c r="J338" s="41">
        <f t="shared" si="19"/>
        <v>0</v>
      </c>
      <c r="K338" s="41">
        <f t="shared" si="19"/>
        <v>0</v>
      </c>
      <c r="L338" s="41">
        <f t="shared" si="18"/>
        <v>51107.91</v>
      </c>
      <c r="M338" s="8"/>
      <c r="N338" s="264"/>
    </row>
    <row r="339" spans="1:43" s="3" customFormat="1" ht="12.2" customHeight="1" thickTop="1" x14ac:dyDescent="0.15">
      <c r="A339" s="38" t="s">
        <v>468</v>
      </c>
      <c r="B339" s="40">
        <v>14</v>
      </c>
      <c r="C339" s="40">
        <v>7</v>
      </c>
      <c r="D339" s="39" t="s">
        <v>431</v>
      </c>
      <c r="E339" s="40"/>
      <c r="F339" s="41">
        <f t="shared" ref="F339:L339" si="20">F291+F310+F329+F338</f>
        <v>491461.32</v>
      </c>
      <c r="G339" s="41">
        <f t="shared" si="20"/>
        <v>207543.53</v>
      </c>
      <c r="H339" s="41">
        <f t="shared" si="20"/>
        <v>423362.17000000004</v>
      </c>
      <c r="I339" s="41">
        <f t="shared" si="20"/>
        <v>275583.49</v>
      </c>
      <c r="J339" s="41">
        <f t="shared" si="20"/>
        <v>429977.47</v>
      </c>
      <c r="K339" s="41">
        <f t="shared" si="20"/>
        <v>815</v>
      </c>
      <c r="L339" s="41">
        <f t="shared" si="20"/>
        <v>1828742.98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33941.31</v>
      </c>
      <c r="L346" s="19">
        <f t="shared" si="21"/>
        <v>33941.31</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33941.31</v>
      </c>
      <c r="L352" s="41">
        <f>SUM(L342:L351)</f>
        <v>33941.31</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491461.32</v>
      </c>
      <c r="G353" s="41">
        <f>G339</f>
        <v>207543.53</v>
      </c>
      <c r="H353" s="41">
        <f>H339</f>
        <v>423362.17000000004</v>
      </c>
      <c r="I353" s="41">
        <f>I339</f>
        <v>275583.49</v>
      </c>
      <c r="J353" s="41">
        <f>J339</f>
        <v>429977.47</v>
      </c>
      <c r="K353" s="47">
        <f>K339+K352</f>
        <v>34756.31</v>
      </c>
      <c r="L353" s="41">
        <f>L339+L352</f>
        <v>1862684.29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111040.78</v>
      </c>
      <c r="G359" s="18">
        <v>32161.08</v>
      </c>
      <c r="H359" s="18">
        <v>6670.09</v>
      </c>
      <c r="I359" s="18">
        <v>78051.929999999993</v>
      </c>
      <c r="J359" s="18">
        <v>3746.99</v>
      </c>
      <c r="K359" s="18">
        <v>442</v>
      </c>
      <c r="L359" s="13">
        <f>SUM(F359:K359)</f>
        <v>232112.86999999997</v>
      </c>
      <c r="M359" s="8"/>
      <c r="N359" s="264"/>
    </row>
    <row r="360" spans="1:22" s="3" customFormat="1" ht="12.2" customHeight="1" x14ac:dyDescent="0.15">
      <c r="A360" s="1" t="s">
        <v>542</v>
      </c>
      <c r="B360" s="2" t="s">
        <v>366</v>
      </c>
      <c r="C360" s="6">
        <v>2</v>
      </c>
      <c r="D360" s="2" t="s">
        <v>431</v>
      </c>
      <c r="E360" s="6"/>
      <c r="F360" s="18">
        <v>57088.25</v>
      </c>
      <c r="G360" s="18">
        <v>22139.88</v>
      </c>
      <c r="H360" s="18">
        <v>4219</v>
      </c>
      <c r="I360" s="18">
        <v>30827.06</v>
      </c>
      <c r="J360" s="18">
        <v>3212.86</v>
      </c>
      <c r="K360" s="18">
        <v>221</v>
      </c>
      <c r="L360" s="19">
        <f>SUM(F360:K360)</f>
        <v>117708.05</v>
      </c>
      <c r="M360" s="8"/>
      <c r="N360" s="264"/>
    </row>
    <row r="361" spans="1:22" s="3" customFormat="1" ht="12.2" customHeight="1" x14ac:dyDescent="0.15">
      <c r="A361" s="3" t="s">
        <v>543</v>
      </c>
      <c r="B361" s="2" t="s">
        <v>366</v>
      </c>
      <c r="C361" s="6">
        <v>3</v>
      </c>
      <c r="D361" s="2" t="s">
        <v>431</v>
      </c>
      <c r="E361" s="6"/>
      <c r="F361" s="18">
        <v>77111.199999999997</v>
      </c>
      <c r="G361" s="18">
        <v>35720.83</v>
      </c>
      <c r="H361" s="18">
        <v>11094.16</v>
      </c>
      <c r="I361" s="18">
        <v>75417.86</v>
      </c>
      <c r="J361" s="18">
        <v>5847.14</v>
      </c>
      <c r="K361" s="18">
        <v>221</v>
      </c>
      <c r="L361" s="19">
        <f>SUM(F361:K361)</f>
        <v>205412.19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245240.22999999998</v>
      </c>
      <c r="G363" s="47">
        <f t="shared" si="22"/>
        <v>90021.790000000008</v>
      </c>
      <c r="H363" s="47">
        <f t="shared" si="22"/>
        <v>21983.25</v>
      </c>
      <c r="I363" s="47">
        <f t="shared" si="22"/>
        <v>184296.84999999998</v>
      </c>
      <c r="J363" s="47">
        <f t="shared" si="22"/>
        <v>12806.990000000002</v>
      </c>
      <c r="K363" s="47">
        <f t="shared" si="22"/>
        <v>884</v>
      </c>
      <c r="L363" s="47">
        <f t="shared" si="22"/>
        <v>555233.11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66909.259999999995</v>
      </c>
      <c r="G368" s="18">
        <v>23526.83</v>
      </c>
      <c r="H368" s="18">
        <v>59280.01</v>
      </c>
      <c r="I368" s="56">
        <f>SUM(F368:H368)</f>
        <v>149716.1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11142.67</v>
      </c>
      <c r="G369" s="63">
        <v>7300.23</v>
      </c>
      <c r="H369" s="63">
        <v>16137.85</v>
      </c>
      <c r="I369" s="56">
        <f>SUM(F369:H369)</f>
        <v>34580.75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78051.929999999993</v>
      </c>
      <c r="G370" s="47">
        <f>SUM(G368:G369)</f>
        <v>30827.06</v>
      </c>
      <c r="H370" s="47">
        <f>SUM(H368:H369)</f>
        <v>75417.86</v>
      </c>
      <c r="I370" s="47">
        <f>SUM(I368:I369)</f>
        <v>184296.85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v>11.62</v>
      </c>
      <c r="I388" s="18"/>
      <c r="J388" s="24" t="s">
        <v>288</v>
      </c>
      <c r="K388" s="24" t="s">
        <v>288</v>
      </c>
      <c r="L388" s="56">
        <f t="shared" ref="L388:L393" si="25">SUM(F388:K388)</f>
        <v>11.62</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11.62</v>
      </c>
      <c r="I394" s="65">
        <f>SUM(I388:I393)</f>
        <v>0</v>
      </c>
      <c r="J394" s="45" t="s">
        <v>288</v>
      </c>
      <c r="K394" s="45" t="s">
        <v>288</v>
      </c>
      <c r="L394" s="47">
        <f>SUM(L388:L393)</f>
        <v>11.62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v>108.91</v>
      </c>
      <c r="I397" s="18"/>
      <c r="J397" s="24" t="s">
        <v>288</v>
      </c>
      <c r="K397" s="24" t="s">
        <v>288</v>
      </c>
      <c r="L397" s="56">
        <f t="shared" si="26"/>
        <v>100108.91</v>
      </c>
      <c r="M397" s="8"/>
      <c r="N397" s="264"/>
    </row>
    <row r="398" spans="1:14" s="3" customFormat="1" ht="12.2" customHeight="1" x14ac:dyDescent="0.15">
      <c r="A398" s="79" t="s">
        <v>515</v>
      </c>
      <c r="B398" s="2" t="s">
        <v>381</v>
      </c>
      <c r="C398" s="6">
        <v>10</v>
      </c>
      <c r="D398" s="2" t="s">
        <v>432</v>
      </c>
      <c r="E398" s="6"/>
      <c r="F398" s="18"/>
      <c r="G398" s="18">
        <v>100000</v>
      </c>
      <c r="H398" s="18">
        <v>107.59</v>
      </c>
      <c r="I398" s="18"/>
      <c r="J398" s="24" t="s">
        <v>288</v>
      </c>
      <c r="K398" s="24" t="s">
        <v>288</v>
      </c>
      <c r="L398" s="56">
        <f t="shared" si="26"/>
        <v>100107.59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20000</v>
      </c>
      <c r="H400" s="18">
        <v>25.1</v>
      </c>
      <c r="I400" s="18"/>
      <c r="J400" s="24" t="s">
        <v>288</v>
      </c>
      <c r="K400" s="24" t="s">
        <v>288</v>
      </c>
      <c r="L400" s="56">
        <f t="shared" si="26"/>
        <v>20025.099999999999</v>
      </c>
      <c r="M400" s="8"/>
      <c r="N400" s="264"/>
    </row>
    <row r="401" spans="1:21" s="3" customFormat="1" ht="12.2" customHeight="1" thickBot="1" x14ac:dyDescent="0.2">
      <c r="A401" s="79" t="s">
        <v>510</v>
      </c>
      <c r="B401" s="2" t="s">
        <v>381</v>
      </c>
      <c r="C401" s="6">
        <v>13</v>
      </c>
      <c r="D401" s="2" t="s">
        <v>432</v>
      </c>
      <c r="E401" s="6"/>
      <c r="F401" s="18"/>
      <c r="G401" s="18">
        <v>20000</v>
      </c>
      <c r="H401" s="18">
        <v>89.27</v>
      </c>
      <c r="I401" s="18">
        <v>470307.04</v>
      </c>
      <c r="J401" s="24" t="s">
        <v>288</v>
      </c>
      <c r="K401" s="24" t="s">
        <v>288</v>
      </c>
      <c r="L401" s="56">
        <f t="shared" si="26"/>
        <v>490396.31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240000</v>
      </c>
      <c r="H402" s="47">
        <f>SUM(H396:H401)</f>
        <v>330.87</v>
      </c>
      <c r="I402" s="47">
        <f>SUM(I396:I401)</f>
        <v>470307.04</v>
      </c>
      <c r="J402" s="45" t="s">
        <v>288</v>
      </c>
      <c r="K402" s="45" t="s">
        <v>288</v>
      </c>
      <c r="L402" s="47">
        <f>SUM(L396:L401)</f>
        <v>710637.91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240000</v>
      </c>
      <c r="H409" s="47">
        <f>H394+H402+H408</f>
        <v>342.49</v>
      </c>
      <c r="I409" s="47">
        <f>I394+I402+I408</f>
        <v>470307.04</v>
      </c>
      <c r="J409" s="24" t="s">
        <v>288</v>
      </c>
      <c r="K409" s="24" t="s">
        <v>288</v>
      </c>
      <c r="L409" s="47">
        <f>L394+L402+L408</f>
        <v>710649.53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144403</v>
      </c>
      <c r="L423" s="56">
        <f t="shared" si="29"/>
        <v>144403</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v>439844.24</v>
      </c>
      <c r="J427" s="18"/>
      <c r="K427" s="18"/>
      <c r="L427" s="56">
        <f t="shared" si="29"/>
        <v>439844.24</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439844.24</v>
      </c>
      <c r="J428" s="47">
        <f t="shared" si="30"/>
        <v>0</v>
      </c>
      <c r="K428" s="47">
        <f t="shared" si="30"/>
        <v>144403</v>
      </c>
      <c r="L428" s="47">
        <f t="shared" si="30"/>
        <v>584247.24</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439844.24</v>
      </c>
      <c r="J435" s="47">
        <f t="shared" si="32"/>
        <v>0</v>
      </c>
      <c r="K435" s="47">
        <f t="shared" si="32"/>
        <v>144403</v>
      </c>
      <c r="L435" s="47">
        <f t="shared" si="32"/>
        <v>584247.24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217443.97</v>
      </c>
      <c r="H440" s="18"/>
      <c r="I440" s="56">
        <f t="shared" ref="I440:I446" si="33">SUM(F440:H440)</f>
        <v>217443.97</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26626.66</v>
      </c>
      <c r="G441" s="18">
        <v>743585.06</v>
      </c>
      <c r="H441" s="18"/>
      <c r="I441" s="56">
        <f t="shared" si="33"/>
        <v>770211.72000000009</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26626.66</v>
      </c>
      <c r="G447" s="13">
        <f>SUM(G440:G446)</f>
        <v>961029.03</v>
      </c>
      <c r="H447" s="13">
        <f>SUM(H440:H446)</f>
        <v>0</v>
      </c>
      <c r="I447" s="13">
        <f>SUM(I440:I446)</f>
        <v>987655.69000000006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26626.66</v>
      </c>
      <c r="G460" s="18">
        <f>743585.06+217443.97</f>
        <v>961029.03</v>
      </c>
      <c r="H460" s="18"/>
      <c r="I460" s="56">
        <f t="shared" si="34"/>
        <v>987655.69000000006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26626.66</v>
      </c>
      <c r="G461" s="83">
        <f>SUM(G455:G460)</f>
        <v>961029.03</v>
      </c>
      <c r="H461" s="83">
        <f>SUM(H455:H460)</f>
        <v>0</v>
      </c>
      <c r="I461" s="83">
        <f>SUM(I455:I460)</f>
        <v>987655.69000000006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26626.66</v>
      </c>
      <c r="G462" s="42">
        <f>G453+G461</f>
        <v>961029.03</v>
      </c>
      <c r="H462" s="42">
        <f>H453+H461</f>
        <v>0</v>
      </c>
      <c r="I462" s="42">
        <f>I453+I461</f>
        <v>987655.69000000006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1772004.05</v>
      </c>
      <c r="G466" s="18">
        <v>0</v>
      </c>
      <c r="H466" s="18">
        <v>0</v>
      </c>
      <c r="I466" s="18"/>
      <c r="J466" s="18">
        <v>861253.4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22674583.960000001</v>
      </c>
      <c r="G469" s="18">
        <v>555233.11</v>
      </c>
      <c r="H469" s="18">
        <v>1862684.29</v>
      </c>
      <c r="I469" s="18"/>
      <c r="J469" s="18">
        <v>710649.53</v>
      </c>
      <c r="K469" s="24" t="s">
        <v>288</v>
      </c>
      <c r="L469" s="24" t="s">
        <v>288</v>
      </c>
      <c r="N469" s="263"/>
    </row>
    <row r="470" spans="1:14" s="52" customFormat="1" ht="12.2" customHeight="1" x14ac:dyDescent="0.2">
      <c r="A470" s="93" t="s">
        <v>611</v>
      </c>
      <c r="B470" s="75">
        <v>19</v>
      </c>
      <c r="C470" s="80">
        <v>3</v>
      </c>
      <c r="D470" s="2" t="s">
        <v>432</v>
      </c>
      <c r="E470" s="80"/>
      <c r="F470" s="18">
        <v>5000</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22679583.960000001</v>
      </c>
      <c r="G471" s="53">
        <f>SUM(G469:G470)</f>
        <v>555233.11</v>
      </c>
      <c r="H471" s="53">
        <f>SUM(H469:H470)</f>
        <v>1862684.29</v>
      </c>
      <c r="I471" s="53">
        <f>SUM(I469:I470)</f>
        <v>0</v>
      </c>
      <c r="J471" s="53">
        <f>SUM(J469:J470)</f>
        <v>710649.53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21907965.350000001</v>
      </c>
      <c r="G473" s="18">
        <v>555233.11</v>
      </c>
      <c r="H473" s="18">
        <v>1862684.29</v>
      </c>
      <c r="I473" s="18"/>
      <c r="J473" s="18">
        <v>584247.24</v>
      </c>
      <c r="K473" s="24" t="s">
        <v>288</v>
      </c>
      <c r="L473" s="24" t="s">
        <v>288</v>
      </c>
      <c r="N473" s="263"/>
    </row>
    <row r="474" spans="1:14" s="52" customFormat="1" ht="12.2" customHeight="1" x14ac:dyDescent="0.2">
      <c r="A474" s="93" t="s">
        <v>613</v>
      </c>
      <c r="B474" s="75">
        <v>19</v>
      </c>
      <c r="C474" s="80">
        <v>6</v>
      </c>
      <c r="D474" s="2" t="s">
        <v>432</v>
      </c>
      <c r="E474" s="80"/>
      <c r="F474" s="18">
        <v>0.1</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21907965.450000003</v>
      </c>
      <c r="G475" s="53">
        <f>SUM(G473:G474)</f>
        <v>555233.11</v>
      </c>
      <c r="H475" s="53">
        <f>SUM(H473:H474)</f>
        <v>1862684.29</v>
      </c>
      <c r="I475" s="53">
        <f>SUM(I473:I474)</f>
        <v>0</v>
      </c>
      <c r="J475" s="53">
        <f>SUM(J473:J474)</f>
        <v>584247.24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2543622.5599999987</v>
      </c>
      <c r="G477" s="53">
        <f>(G466+G471)- G475</f>
        <v>0</v>
      </c>
      <c r="H477" s="53">
        <f>(H466+H471)- H475</f>
        <v>0</v>
      </c>
      <c r="I477" s="53">
        <f>(I466+I471)- I475</f>
        <v>0</v>
      </c>
      <c r="J477" s="53">
        <f>(J466+J471)- J475</f>
        <v>987655.69000000018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1673</v>
      </c>
      <c r="B481" s="112"/>
      <c r="C481" s="112"/>
      <c r="D481" s="112"/>
      <c r="E481" s="112"/>
      <c r="F481" s="112"/>
      <c r="G481" s="112"/>
      <c r="H481" s="112"/>
      <c r="I481" s="112" t="s">
        <v>401</v>
      </c>
      <c r="J481" s="112"/>
      <c r="K481" s="95"/>
      <c r="L481" s="95"/>
      <c r="N481" s="263"/>
    </row>
    <row r="482" spans="1:14" s="52" customFormat="1" ht="12.2" customHeight="1" x14ac:dyDescent="0.2">
      <c r="A482" s="175" t="s">
        <v>1675</v>
      </c>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1674</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661847.26</v>
      </c>
      <c r="G522" s="18">
        <v>383767.82</v>
      </c>
      <c r="H522" s="18">
        <v>12185.92</v>
      </c>
      <c r="I522" s="18">
        <v>1170.57</v>
      </c>
      <c r="J522" s="18">
        <v>2401.9299999999998</v>
      </c>
      <c r="K522" s="18"/>
      <c r="L522" s="88">
        <f>SUM(F522:K522)</f>
        <v>1061373.5</v>
      </c>
      <c r="N522" s="263"/>
    </row>
    <row r="523" spans="1:14" s="52" customFormat="1" ht="12.2" customHeight="1" x14ac:dyDescent="0.2">
      <c r="A523" s="22" t="s">
        <v>634</v>
      </c>
      <c r="B523" s="105">
        <v>21</v>
      </c>
      <c r="C523" s="115">
        <v>2</v>
      </c>
      <c r="D523" s="2" t="s">
        <v>432</v>
      </c>
      <c r="E523" s="115"/>
      <c r="F523" s="18">
        <v>349790.55</v>
      </c>
      <c r="G523" s="18">
        <v>206666.56</v>
      </c>
      <c r="H523" s="18">
        <v>417923.18</v>
      </c>
      <c r="I523" s="18">
        <v>78.959999999999994</v>
      </c>
      <c r="J523" s="18">
        <v>1998.67</v>
      </c>
      <c r="K523" s="18"/>
      <c r="L523" s="88">
        <f>SUM(F523:K523)</f>
        <v>976457.92</v>
      </c>
      <c r="N523" s="263"/>
    </row>
    <row r="524" spans="1:14" s="52" customFormat="1" ht="12.2" customHeight="1" thickBot="1" x14ac:dyDescent="0.25">
      <c r="A524" s="22" t="s">
        <v>635</v>
      </c>
      <c r="B524" s="105">
        <v>21</v>
      </c>
      <c r="C524" s="115">
        <v>3</v>
      </c>
      <c r="D524" s="2" t="s">
        <v>432</v>
      </c>
      <c r="E524" s="115"/>
      <c r="F524" s="18">
        <v>439864.78</v>
      </c>
      <c r="G524" s="18">
        <v>287566.40000000002</v>
      </c>
      <c r="H524" s="18">
        <v>271920.05</v>
      </c>
      <c r="I524" s="18">
        <v>1515.13</v>
      </c>
      <c r="J524" s="18">
        <v>1951.56</v>
      </c>
      <c r="K524" s="18"/>
      <c r="L524" s="88">
        <f>SUM(F524:K524)</f>
        <v>1002817.92</v>
      </c>
      <c r="N524" s="263"/>
    </row>
    <row r="525" spans="1:14" s="52" customFormat="1" ht="12.2" customHeight="1" thickTop="1" x14ac:dyDescent="0.2">
      <c r="A525" s="139" t="s">
        <v>63</v>
      </c>
      <c r="B525" s="107">
        <v>21</v>
      </c>
      <c r="C525" s="195">
        <v>4</v>
      </c>
      <c r="D525" s="196" t="s">
        <v>432</v>
      </c>
      <c r="E525" s="195"/>
      <c r="F525" s="108">
        <f>SUM(F522:F524)</f>
        <v>1451502.59</v>
      </c>
      <c r="G525" s="108">
        <f t="shared" ref="G525:L525" si="36">SUM(G522:G524)</f>
        <v>878000.78</v>
      </c>
      <c r="H525" s="108">
        <f t="shared" si="36"/>
        <v>702029.14999999991</v>
      </c>
      <c r="I525" s="108">
        <f t="shared" si="36"/>
        <v>2764.66</v>
      </c>
      <c r="J525" s="108">
        <f t="shared" si="36"/>
        <v>6352.16</v>
      </c>
      <c r="K525" s="108">
        <f t="shared" si="36"/>
        <v>0</v>
      </c>
      <c r="L525" s="89">
        <f t="shared" si="36"/>
        <v>3040649.34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260224.32</v>
      </c>
      <c r="G527" s="18">
        <v>119632.91</v>
      </c>
      <c r="H527" s="18"/>
      <c r="I527" s="18">
        <v>74.099999999999994</v>
      </c>
      <c r="J527" s="18">
        <v>19.579999999999998</v>
      </c>
      <c r="K527" s="18"/>
      <c r="L527" s="88">
        <f>SUM(F527:K527)</f>
        <v>379950.91</v>
      </c>
      <c r="M527" s="8"/>
      <c r="N527" s="264"/>
    </row>
    <row r="528" spans="1:14" s="3" customFormat="1" ht="12.2" customHeight="1" x14ac:dyDescent="0.15">
      <c r="A528" s="22" t="s">
        <v>634</v>
      </c>
      <c r="B528" s="105">
        <v>21</v>
      </c>
      <c r="C528" s="115">
        <v>6</v>
      </c>
      <c r="D528" s="2" t="s">
        <v>432</v>
      </c>
      <c r="E528" s="115"/>
      <c r="F528" s="18">
        <v>80298.89</v>
      </c>
      <c r="G528" s="18">
        <v>32580.82</v>
      </c>
      <c r="H528" s="18"/>
      <c r="I528" s="18">
        <v>63.54</v>
      </c>
      <c r="J528" s="18">
        <v>16.79</v>
      </c>
      <c r="K528" s="18"/>
      <c r="L528" s="88">
        <f>SUM(F528:K528)</f>
        <v>112960.03999999998</v>
      </c>
      <c r="M528" s="8"/>
      <c r="N528" s="264"/>
    </row>
    <row r="529" spans="1:14" s="3" customFormat="1" ht="12.2" customHeight="1" thickBot="1" x14ac:dyDescent="0.2">
      <c r="A529" s="22" t="s">
        <v>635</v>
      </c>
      <c r="B529" s="118">
        <v>21</v>
      </c>
      <c r="C529" s="118">
        <v>7</v>
      </c>
      <c r="D529" s="2" t="s">
        <v>432</v>
      </c>
      <c r="E529" s="118"/>
      <c r="F529" s="18">
        <v>57991.99</v>
      </c>
      <c r="G529" s="18">
        <v>34527.57</v>
      </c>
      <c r="H529" s="18"/>
      <c r="I529" s="18">
        <v>62.04</v>
      </c>
      <c r="J529" s="18">
        <v>16.39</v>
      </c>
      <c r="K529" s="18"/>
      <c r="L529" s="88">
        <f>SUM(F529:K529)</f>
        <v>92597.989999999991</v>
      </c>
      <c r="M529" s="8"/>
      <c r="N529" s="264"/>
    </row>
    <row r="530" spans="1:14" s="3" customFormat="1" ht="12.2" customHeight="1" thickTop="1" x14ac:dyDescent="0.15">
      <c r="A530" s="139" t="s">
        <v>65</v>
      </c>
      <c r="B530" s="107">
        <v>21</v>
      </c>
      <c r="C530" s="107">
        <v>8</v>
      </c>
      <c r="D530" s="158" t="s">
        <v>432</v>
      </c>
      <c r="E530" s="107"/>
      <c r="F530" s="89">
        <f>SUM(F527:F529)</f>
        <v>398515.20000000001</v>
      </c>
      <c r="G530" s="89">
        <f t="shared" ref="G530:L530" si="37">SUM(G527:G529)</f>
        <v>186741.30000000002</v>
      </c>
      <c r="H530" s="89">
        <f t="shared" si="37"/>
        <v>0</v>
      </c>
      <c r="I530" s="89">
        <f t="shared" si="37"/>
        <v>199.67999999999998</v>
      </c>
      <c r="J530" s="89">
        <f t="shared" si="37"/>
        <v>52.76</v>
      </c>
      <c r="K530" s="89">
        <f t="shared" si="37"/>
        <v>0</v>
      </c>
      <c r="L530" s="89">
        <f t="shared" si="37"/>
        <v>585508.93999999994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45741.36</v>
      </c>
      <c r="G532" s="18">
        <v>19296.2</v>
      </c>
      <c r="H532" s="18">
        <v>353201.89</v>
      </c>
      <c r="I532" s="18">
        <v>1956.57</v>
      </c>
      <c r="J532" s="18"/>
      <c r="K532" s="18">
        <v>335.85</v>
      </c>
      <c r="L532" s="88">
        <f>SUM(F532:K532)</f>
        <v>420531.87</v>
      </c>
      <c r="M532" s="8"/>
      <c r="N532" s="264"/>
    </row>
    <row r="533" spans="1:14" s="3" customFormat="1" ht="12.2" customHeight="1" x14ac:dyDescent="0.15">
      <c r="A533" s="22" t="s">
        <v>634</v>
      </c>
      <c r="B533" s="105">
        <v>21</v>
      </c>
      <c r="C533" s="105">
        <v>10</v>
      </c>
      <c r="D533" s="2" t="s">
        <v>432</v>
      </c>
      <c r="E533" s="105"/>
      <c r="F533" s="18">
        <v>39220.97</v>
      </c>
      <c r="G533" s="18">
        <v>16545.54</v>
      </c>
      <c r="H533" s="18">
        <v>30267.27</v>
      </c>
      <c r="I533" s="18">
        <v>1677.65</v>
      </c>
      <c r="J533" s="18"/>
      <c r="K533" s="18">
        <v>287.97000000000003</v>
      </c>
      <c r="L533" s="88">
        <f>SUM(F533:K533)</f>
        <v>87999.4</v>
      </c>
      <c r="M533" s="8"/>
      <c r="N533" s="264"/>
    </row>
    <row r="534" spans="1:14" s="3" customFormat="1" ht="12.2" customHeight="1" thickBot="1" x14ac:dyDescent="0.2">
      <c r="A534" s="22" t="s">
        <v>635</v>
      </c>
      <c r="B534" s="105">
        <v>21</v>
      </c>
      <c r="C534" s="105">
        <v>11</v>
      </c>
      <c r="D534" s="2" t="s">
        <v>432</v>
      </c>
      <c r="E534" s="105"/>
      <c r="F534" s="18">
        <v>38296.519999999997</v>
      </c>
      <c r="G534" s="18">
        <v>16155.53</v>
      </c>
      <c r="H534" s="18">
        <v>37712.29</v>
      </c>
      <c r="I534" s="18">
        <v>1638.1</v>
      </c>
      <c r="J534" s="18"/>
      <c r="K534" s="18">
        <v>381.18</v>
      </c>
      <c r="L534" s="88">
        <f>SUM(F534:K534)</f>
        <v>94183.62</v>
      </c>
      <c r="M534" s="8"/>
      <c r="N534" s="264"/>
    </row>
    <row r="535" spans="1:14" s="3" customFormat="1" ht="12.2" customHeight="1" thickTop="1" x14ac:dyDescent="0.15">
      <c r="A535" s="139" t="s">
        <v>67</v>
      </c>
      <c r="B535" s="107">
        <v>21</v>
      </c>
      <c r="C535" s="107">
        <v>12</v>
      </c>
      <c r="D535" s="158" t="s">
        <v>432</v>
      </c>
      <c r="E535" s="107"/>
      <c r="F535" s="89">
        <f>SUM(F532:F534)</f>
        <v>123258.85</v>
      </c>
      <c r="G535" s="89">
        <f t="shared" ref="G535:L535" si="38">SUM(G532:G534)</f>
        <v>51997.270000000004</v>
      </c>
      <c r="H535" s="89">
        <f t="shared" si="38"/>
        <v>421181.45</v>
      </c>
      <c r="I535" s="89">
        <f t="shared" si="38"/>
        <v>5272.32</v>
      </c>
      <c r="J535" s="89">
        <f t="shared" si="38"/>
        <v>0</v>
      </c>
      <c r="K535" s="89">
        <f t="shared" si="38"/>
        <v>1005</v>
      </c>
      <c r="L535" s="89">
        <f t="shared" si="38"/>
        <v>602714.89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350</v>
      </c>
      <c r="I537" s="18"/>
      <c r="J537" s="18"/>
      <c r="K537" s="18"/>
      <c r="L537" s="88">
        <f>SUM(F537:K537)</f>
        <v>350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2878.3</v>
      </c>
      <c r="I539" s="18"/>
      <c r="J539" s="18"/>
      <c r="K539" s="18"/>
      <c r="L539" s="88">
        <f>SUM(F539:K539)</f>
        <v>2878.3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3228.3</v>
      </c>
      <c r="I540" s="89">
        <f t="shared" si="39"/>
        <v>0</v>
      </c>
      <c r="J540" s="89">
        <f t="shared" si="39"/>
        <v>0</v>
      </c>
      <c r="K540" s="89">
        <f t="shared" si="39"/>
        <v>0</v>
      </c>
      <c r="L540" s="89">
        <f t="shared" si="39"/>
        <v>3228.3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45608.4</v>
      </c>
      <c r="I542" s="18">
        <v>743.44</v>
      </c>
      <c r="J542" s="18"/>
      <c r="K542" s="18"/>
      <c r="L542" s="88">
        <f>SUM(F542:K542)</f>
        <v>46351.840000000004</v>
      </c>
      <c r="M542" s="8"/>
      <c r="N542" s="264"/>
    </row>
    <row r="543" spans="1:14" s="3" customFormat="1" ht="12.2" customHeight="1" x14ac:dyDescent="0.15">
      <c r="A543" s="22" t="s">
        <v>634</v>
      </c>
      <c r="B543" s="105">
        <v>21</v>
      </c>
      <c r="C543" s="105">
        <v>18</v>
      </c>
      <c r="D543" s="2" t="s">
        <v>432</v>
      </c>
      <c r="E543" s="105"/>
      <c r="F543" s="18"/>
      <c r="G543" s="18"/>
      <c r="H543" s="18">
        <v>92058.79</v>
      </c>
      <c r="I543" s="18">
        <v>637.46</v>
      </c>
      <c r="J543" s="18"/>
      <c r="K543" s="18"/>
      <c r="L543" s="88">
        <f>SUM(F543:K543)</f>
        <v>92696.25</v>
      </c>
      <c r="M543" s="8"/>
      <c r="N543" s="264"/>
    </row>
    <row r="544" spans="1:14" s="3" customFormat="1" ht="12.2" customHeight="1" thickBot="1" x14ac:dyDescent="0.2">
      <c r="A544" s="22" t="s">
        <v>635</v>
      </c>
      <c r="B544" s="105">
        <v>21</v>
      </c>
      <c r="C544" s="105">
        <v>19</v>
      </c>
      <c r="D544" s="2" t="s">
        <v>432</v>
      </c>
      <c r="E544" s="105"/>
      <c r="F544" s="18"/>
      <c r="G544" s="18"/>
      <c r="H544" s="18">
        <v>45076.14</v>
      </c>
      <c r="I544" s="18">
        <v>622.41999999999996</v>
      </c>
      <c r="J544" s="18"/>
      <c r="K544" s="18"/>
      <c r="L544" s="88">
        <f>SUM(F544:K544)</f>
        <v>45698.559999999998</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182743.33000000002</v>
      </c>
      <c r="I545" s="193">
        <f t="shared" si="40"/>
        <v>2003.3200000000002</v>
      </c>
      <c r="J545" s="193">
        <f t="shared" si="40"/>
        <v>0</v>
      </c>
      <c r="K545" s="193">
        <f t="shared" si="40"/>
        <v>0</v>
      </c>
      <c r="L545" s="193">
        <f t="shared" si="40"/>
        <v>184746.65</v>
      </c>
      <c r="M545" s="8"/>
      <c r="N545" s="264"/>
    </row>
    <row r="546" spans="1:14" s="3" customFormat="1" ht="12.2" customHeight="1" thickTop="1" x14ac:dyDescent="0.15">
      <c r="A546" s="98" t="s">
        <v>72</v>
      </c>
      <c r="B546" s="107">
        <v>21</v>
      </c>
      <c r="C546" s="107">
        <v>21</v>
      </c>
      <c r="D546" s="158" t="s">
        <v>432</v>
      </c>
      <c r="E546" s="107"/>
      <c r="F546" s="89">
        <f>F525+F530+F535+F540+F545</f>
        <v>1973276.6400000001</v>
      </c>
      <c r="G546" s="89">
        <f t="shared" ref="G546:L546" si="41">G525+G530+G535+G540+G545</f>
        <v>1116739.3500000001</v>
      </c>
      <c r="H546" s="89">
        <f t="shared" si="41"/>
        <v>1309182.23</v>
      </c>
      <c r="I546" s="89">
        <f t="shared" si="41"/>
        <v>10239.98</v>
      </c>
      <c r="J546" s="89">
        <f t="shared" si="41"/>
        <v>6404.92</v>
      </c>
      <c r="K546" s="89">
        <f t="shared" si="41"/>
        <v>1005</v>
      </c>
      <c r="L546" s="89">
        <f t="shared" si="41"/>
        <v>4416848.12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1061373.5</v>
      </c>
      <c r="G550" s="87">
        <f>L527</f>
        <v>379950.91</v>
      </c>
      <c r="H550" s="87">
        <f>L532</f>
        <v>420531.87</v>
      </c>
      <c r="I550" s="87">
        <f>L537</f>
        <v>350</v>
      </c>
      <c r="J550" s="87">
        <f>L542</f>
        <v>46351.840000000004</v>
      </c>
      <c r="K550" s="87">
        <f>SUM(F550:J550)</f>
        <v>1908558.1199999999</v>
      </c>
      <c r="L550" s="24" t="s">
        <v>288</v>
      </c>
      <c r="M550" s="8"/>
      <c r="N550" s="264"/>
    </row>
    <row r="551" spans="1:14" s="3" customFormat="1" ht="12.2" customHeight="1" x14ac:dyDescent="0.15">
      <c r="A551" s="22" t="s">
        <v>634</v>
      </c>
      <c r="B551" s="75">
        <v>21</v>
      </c>
      <c r="C551" s="75">
        <v>23</v>
      </c>
      <c r="D551" s="2" t="s">
        <v>432</v>
      </c>
      <c r="E551" s="75"/>
      <c r="F551" s="87">
        <f>L523</f>
        <v>976457.92</v>
      </c>
      <c r="G551" s="87">
        <f>L528</f>
        <v>112960.03999999998</v>
      </c>
      <c r="H551" s="87">
        <f>L533</f>
        <v>87999.4</v>
      </c>
      <c r="I551" s="87">
        <f>L538</f>
        <v>0</v>
      </c>
      <c r="J551" s="87">
        <f>L543</f>
        <v>92696.25</v>
      </c>
      <c r="K551" s="87">
        <f>SUM(F551:J551)</f>
        <v>1270113.6099999999</v>
      </c>
      <c r="L551" s="24" t="s">
        <v>288</v>
      </c>
      <c r="M551" s="8"/>
      <c r="N551" s="264"/>
    </row>
    <row r="552" spans="1:14" s="3" customFormat="1" ht="12.2" customHeight="1" thickBot="1" x14ac:dyDescent="0.2">
      <c r="A552" s="22" t="s">
        <v>635</v>
      </c>
      <c r="B552" s="75">
        <v>21</v>
      </c>
      <c r="C552" s="75">
        <v>24</v>
      </c>
      <c r="D552" s="2" t="s">
        <v>432</v>
      </c>
      <c r="E552" s="75"/>
      <c r="F552" s="87">
        <f>L524</f>
        <v>1002817.92</v>
      </c>
      <c r="G552" s="87">
        <f>L529</f>
        <v>92597.989999999991</v>
      </c>
      <c r="H552" s="87">
        <f>L534</f>
        <v>94183.62</v>
      </c>
      <c r="I552" s="87">
        <f>L539</f>
        <v>2878.3</v>
      </c>
      <c r="J552" s="87">
        <f>L544</f>
        <v>45698.559999999998</v>
      </c>
      <c r="K552" s="87">
        <f>SUM(F552:J552)</f>
        <v>1238176.3900000004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3040649.34</v>
      </c>
      <c r="G553" s="89">
        <f t="shared" si="42"/>
        <v>585508.93999999994</v>
      </c>
      <c r="H553" s="89">
        <f t="shared" si="42"/>
        <v>602714.89</v>
      </c>
      <c r="I553" s="89">
        <f t="shared" si="42"/>
        <v>3228.3</v>
      </c>
      <c r="J553" s="89">
        <f t="shared" si="42"/>
        <v>184746.65</v>
      </c>
      <c r="K553" s="89">
        <f t="shared" si="42"/>
        <v>4416848.12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12700.21</v>
      </c>
      <c r="G563" s="18">
        <v>1898.22</v>
      </c>
      <c r="H563" s="18"/>
      <c r="I563" s="18"/>
      <c r="J563" s="18"/>
      <c r="K563" s="18"/>
      <c r="L563" s="88">
        <f>SUM(F563:K563)</f>
        <v>14598.429999999998</v>
      </c>
      <c r="M563" s="8"/>
      <c r="N563" s="264"/>
    </row>
    <row r="564" spans="1:14" s="3" customFormat="1" ht="12.2" customHeight="1" x14ac:dyDescent="0.15">
      <c r="A564" s="22" t="s">
        <v>634</v>
      </c>
      <c r="B564" s="105">
        <v>22</v>
      </c>
      <c r="C564" s="115">
        <v>6</v>
      </c>
      <c r="D564" s="2" t="s">
        <v>432</v>
      </c>
      <c r="E564" s="115"/>
      <c r="F564" s="18">
        <v>10889.81</v>
      </c>
      <c r="G564" s="18">
        <v>1456.15</v>
      </c>
      <c r="H564" s="18"/>
      <c r="I564" s="18"/>
      <c r="J564" s="18"/>
      <c r="K564" s="18"/>
      <c r="L564" s="88">
        <f>SUM(F564:K564)</f>
        <v>12345.96</v>
      </c>
      <c r="M564" s="8"/>
      <c r="N564" s="264"/>
    </row>
    <row r="565" spans="1:14" s="3" customFormat="1" ht="12.2" customHeight="1" thickBot="1" x14ac:dyDescent="0.2">
      <c r="A565" s="22" t="s">
        <v>635</v>
      </c>
      <c r="B565" s="105">
        <v>22</v>
      </c>
      <c r="C565" s="118">
        <v>7</v>
      </c>
      <c r="D565" s="2" t="s">
        <v>432</v>
      </c>
      <c r="E565" s="118"/>
      <c r="F565" s="18">
        <v>10633.13</v>
      </c>
      <c r="G565" s="18">
        <v>1421.82</v>
      </c>
      <c r="H565" s="18"/>
      <c r="I565" s="18"/>
      <c r="J565" s="18"/>
      <c r="K565" s="18"/>
      <c r="L565" s="88">
        <f>SUM(F565:K565)</f>
        <v>12054.949999999999</v>
      </c>
      <c r="M565" s="8"/>
      <c r="N565" s="264"/>
    </row>
    <row r="566" spans="1:14" s="3" customFormat="1" ht="12.2" customHeight="1" thickTop="1" x14ac:dyDescent="0.15">
      <c r="A566" s="139" t="s">
        <v>65</v>
      </c>
      <c r="B566" s="107">
        <v>22</v>
      </c>
      <c r="C566" s="107">
        <v>8</v>
      </c>
      <c r="D566" s="196" t="s">
        <v>432</v>
      </c>
      <c r="E566" s="107"/>
      <c r="F566" s="89">
        <f t="shared" ref="F566:L566" si="44">SUM(F563:F565)</f>
        <v>34223.149999999994</v>
      </c>
      <c r="G566" s="89">
        <f t="shared" si="44"/>
        <v>4776.1899999999996</v>
      </c>
      <c r="H566" s="89">
        <f t="shared" si="44"/>
        <v>0</v>
      </c>
      <c r="I566" s="89">
        <f t="shared" si="44"/>
        <v>0</v>
      </c>
      <c r="J566" s="89">
        <f t="shared" si="44"/>
        <v>0</v>
      </c>
      <c r="K566" s="89">
        <f t="shared" si="44"/>
        <v>0</v>
      </c>
      <c r="L566" s="89">
        <f t="shared" si="44"/>
        <v>38999.339999999997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60086.32</v>
      </c>
      <c r="G568" s="18">
        <v>17486.97</v>
      </c>
      <c r="H568" s="18"/>
      <c r="I568" s="18">
        <v>596.96</v>
      </c>
      <c r="J568" s="18"/>
      <c r="K568" s="18"/>
      <c r="L568" s="88">
        <f>SUM(F568:K568)</f>
        <v>78170.250000000015</v>
      </c>
      <c r="M568" s="8"/>
      <c r="N568" s="264"/>
    </row>
    <row r="569" spans="1:14" s="3" customFormat="1" ht="12.2" customHeight="1" x14ac:dyDescent="0.15">
      <c r="A569" s="22" t="s">
        <v>634</v>
      </c>
      <c r="B569" s="105">
        <v>22</v>
      </c>
      <c r="C569" s="105">
        <v>10</v>
      </c>
      <c r="D569" s="2" t="s">
        <v>432</v>
      </c>
      <c r="E569" s="105"/>
      <c r="F569" s="18">
        <v>15021.68</v>
      </c>
      <c r="G569" s="18">
        <v>1976.27</v>
      </c>
      <c r="H569" s="18"/>
      <c r="I569" s="18">
        <v>302.55</v>
      </c>
      <c r="J569" s="18">
        <v>626.91999999999996</v>
      </c>
      <c r="K569" s="18"/>
      <c r="L569" s="88">
        <f>SUM(F569:K569)</f>
        <v>17927.419999999998</v>
      </c>
      <c r="M569" s="8"/>
      <c r="N569" s="264"/>
    </row>
    <row r="570" spans="1:14" s="3" customFormat="1" ht="12.2" customHeight="1" thickBot="1" x14ac:dyDescent="0.2">
      <c r="A570" s="22" t="s">
        <v>635</v>
      </c>
      <c r="B570" s="105">
        <v>22</v>
      </c>
      <c r="C570" s="105">
        <v>11</v>
      </c>
      <c r="D570" s="2" t="s">
        <v>432</v>
      </c>
      <c r="E570" s="105"/>
      <c r="F570" s="18"/>
      <c r="G570" s="18">
        <v>836.17</v>
      </c>
      <c r="H570" s="18"/>
      <c r="I570" s="18"/>
      <c r="J570" s="18"/>
      <c r="K570" s="18"/>
      <c r="L570" s="88">
        <f>SUM(F570:K570)</f>
        <v>836.17</v>
      </c>
      <c r="M570" s="8"/>
      <c r="N570" s="264"/>
    </row>
    <row r="571" spans="1:14" s="3" customFormat="1" ht="12.2" customHeight="1" thickTop="1" thickBot="1" x14ac:dyDescent="0.2">
      <c r="A571" s="130" t="s">
        <v>67</v>
      </c>
      <c r="B571" s="191">
        <v>22</v>
      </c>
      <c r="C571" s="191">
        <v>12</v>
      </c>
      <c r="D571" s="197" t="s">
        <v>432</v>
      </c>
      <c r="E571" s="191"/>
      <c r="F571" s="193">
        <f>SUM(F568:F570)</f>
        <v>75108</v>
      </c>
      <c r="G571" s="193">
        <f t="shared" ref="G571:L571" si="45">SUM(G568:G570)</f>
        <v>20299.41</v>
      </c>
      <c r="H571" s="193">
        <f t="shared" si="45"/>
        <v>0</v>
      </c>
      <c r="I571" s="193">
        <f t="shared" si="45"/>
        <v>899.51</v>
      </c>
      <c r="J571" s="193">
        <f t="shared" si="45"/>
        <v>626.91999999999996</v>
      </c>
      <c r="K571" s="193">
        <f t="shared" si="45"/>
        <v>0</v>
      </c>
      <c r="L571" s="193">
        <f t="shared" si="45"/>
        <v>96933.840000000011</v>
      </c>
      <c r="M571" s="8"/>
      <c r="N571" s="264"/>
    </row>
    <row r="572" spans="1:14" s="3" customFormat="1" ht="12.2" customHeight="1" thickTop="1" x14ac:dyDescent="0.15">
      <c r="A572" s="98" t="s">
        <v>88</v>
      </c>
      <c r="B572" s="107">
        <v>22</v>
      </c>
      <c r="C572" s="107">
        <v>13</v>
      </c>
      <c r="D572" s="158" t="s">
        <v>432</v>
      </c>
      <c r="E572" s="107"/>
      <c r="F572" s="89">
        <f>F561+F566+F571</f>
        <v>109331.15</v>
      </c>
      <c r="G572" s="89">
        <f t="shared" ref="G572:L572" si="46">G561+G566+G571</f>
        <v>25075.599999999999</v>
      </c>
      <c r="H572" s="89">
        <f t="shared" si="46"/>
        <v>0</v>
      </c>
      <c r="I572" s="89">
        <f t="shared" si="46"/>
        <v>899.51</v>
      </c>
      <c r="J572" s="89">
        <f t="shared" si="46"/>
        <v>626.91999999999996</v>
      </c>
      <c r="K572" s="89">
        <f t="shared" si="46"/>
        <v>0</v>
      </c>
      <c r="L572" s="89">
        <f t="shared" si="46"/>
        <v>135933.18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11650.05</v>
      </c>
      <c r="G580" s="18">
        <v>417463.7</v>
      </c>
      <c r="H580" s="18">
        <v>268214.03000000003</v>
      </c>
      <c r="I580" s="87">
        <f t="shared" si="47"/>
        <v>697327.78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175884.58</v>
      </c>
      <c r="I585" s="87">
        <f t="shared" si="47"/>
        <v>175884.58</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202535.13</v>
      </c>
      <c r="I592" s="18">
        <v>173663.92</v>
      </c>
      <c r="J592" s="18">
        <v>169570.65</v>
      </c>
      <c r="K592" s="104">
        <f t="shared" ref="K592:K598" si="48">SUM(H592:J592)</f>
        <v>545769.70000000007</v>
      </c>
      <c r="L592" s="24" t="s">
        <v>288</v>
      </c>
      <c r="M592" s="8"/>
      <c r="N592" s="264"/>
    </row>
    <row r="593" spans="1:14" s="3" customFormat="1" ht="12.2" customHeight="1" x14ac:dyDescent="0.15">
      <c r="A593" s="3" t="s">
        <v>638</v>
      </c>
      <c r="B593" s="75">
        <v>23</v>
      </c>
      <c r="C593" s="75">
        <v>2</v>
      </c>
      <c r="D593" s="2" t="s">
        <v>432</v>
      </c>
      <c r="E593" s="75"/>
      <c r="F593" s="102">
        <v>2722</v>
      </c>
      <c r="G593" s="103" t="s">
        <v>97</v>
      </c>
      <c r="H593" s="18">
        <v>46351.839999999997</v>
      </c>
      <c r="I593" s="18">
        <v>92696.25</v>
      </c>
      <c r="J593" s="18">
        <v>45698.559999999998</v>
      </c>
      <c r="K593" s="104">
        <f t="shared" si="48"/>
        <v>184746.65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44799.06</v>
      </c>
      <c r="K594" s="104">
        <f t="shared" si="48"/>
        <v>44799.06</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7924.13</v>
      </c>
      <c r="J595" s="18">
        <v>14458.06</v>
      </c>
      <c r="K595" s="104">
        <f t="shared" si="48"/>
        <v>22382.19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4433.5200000000004</v>
      </c>
      <c r="I596" s="18"/>
      <c r="J596" s="18">
        <v>3775.64</v>
      </c>
      <c r="K596" s="104">
        <f t="shared" si="48"/>
        <v>8209.16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4447.4399999999996</v>
      </c>
      <c r="I598" s="18">
        <v>3813.46</v>
      </c>
      <c r="J598" s="18">
        <v>3723.58</v>
      </c>
      <c r="K598" s="104">
        <f t="shared" si="48"/>
        <v>11984.48</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257767.93</v>
      </c>
      <c r="I599" s="108">
        <f>SUM(I592:I598)</f>
        <v>278097.76000000007</v>
      </c>
      <c r="J599" s="108">
        <f>SUM(J592:J598)</f>
        <v>282025.55000000005</v>
      </c>
      <c r="K599" s="108">
        <f>SUM(K592:K598)</f>
        <v>817891.24000000011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226615.83</v>
      </c>
      <c r="I605" s="18">
        <v>175234.41</v>
      </c>
      <c r="J605" s="18">
        <v>227639.58</v>
      </c>
      <c r="K605" s="104">
        <f>SUM(H605:J605)</f>
        <v>629489.81999999995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226615.83</v>
      </c>
      <c r="I606" s="108">
        <f>SUM(I603:I605)</f>
        <v>175234.41</v>
      </c>
      <c r="J606" s="108">
        <f>SUM(J603:J605)</f>
        <v>227639.58</v>
      </c>
      <c r="K606" s="108">
        <f>SUM(K603:K605)</f>
        <v>629489.81999999995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16170</v>
      </c>
      <c r="G612" s="18">
        <v>4031.46</v>
      </c>
      <c r="H612" s="18"/>
      <c r="I612" s="18">
        <v>274.67</v>
      </c>
      <c r="J612" s="18"/>
      <c r="K612" s="18"/>
      <c r="L612" s="88">
        <f>SUM(F612:K612)</f>
        <v>20476.129999999997</v>
      </c>
      <c r="M612" s="8"/>
      <c r="N612" s="264"/>
    </row>
    <row r="613" spans="1:14" s="3" customFormat="1" ht="12.2" customHeight="1" x14ac:dyDescent="0.15">
      <c r="A613" s="22" t="s">
        <v>634</v>
      </c>
      <c r="B613" s="75">
        <v>23</v>
      </c>
      <c r="C613" s="75">
        <v>14</v>
      </c>
      <c r="D613" s="2" t="s">
        <v>432</v>
      </c>
      <c r="E613" s="75"/>
      <c r="F613" s="18">
        <v>9645</v>
      </c>
      <c r="G613" s="18">
        <v>2330.7199999999998</v>
      </c>
      <c r="H613" s="18"/>
      <c r="I613" s="18"/>
      <c r="J613" s="18"/>
      <c r="K613" s="18"/>
      <c r="L613" s="88">
        <f>SUM(F613:K613)</f>
        <v>11975.72</v>
      </c>
      <c r="M613" s="8"/>
      <c r="N613" s="264"/>
    </row>
    <row r="614" spans="1:14" s="3" customFormat="1" ht="12.2" customHeight="1" thickBot="1" x14ac:dyDescent="0.2">
      <c r="A614" s="22" t="s">
        <v>645</v>
      </c>
      <c r="B614" s="75">
        <v>23</v>
      </c>
      <c r="C614" s="75">
        <v>15</v>
      </c>
      <c r="D614" s="2" t="s">
        <v>432</v>
      </c>
      <c r="E614" s="75"/>
      <c r="F614" s="18">
        <v>6944.85</v>
      </c>
      <c r="G614" s="18">
        <v>2048.4299999999998</v>
      </c>
      <c r="H614" s="18"/>
      <c r="I614" s="18"/>
      <c r="J614" s="18"/>
      <c r="K614" s="18"/>
      <c r="L614" s="88">
        <f>SUM(F614:K614)</f>
        <v>8993.2800000000007</v>
      </c>
      <c r="M614" s="8"/>
      <c r="N614" s="264"/>
    </row>
    <row r="615" spans="1:14" s="3" customFormat="1" ht="12.2" customHeight="1" thickTop="1" x14ac:dyDescent="0.15">
      <c r="A615" s="98" t="s">
        <v>340</v>
      </c>
      <c r="B615" s="107">
        <v>23</v>
      </c>
      <c r="C615" s="107">
        <v>16</v>
      </c>
      <c r="D615" s="39" t="s">
        <v>432</v>
      </c>
      <c r="E615" s="107"/>
      <c r="F615" s="108">
        <f t="shared" ref="F615:L615" si="49">SUM(F612:F614)</f>
        <v>32759.85</v>
      </c>
      <c r="G615" s="108">
        <f t="shared" si="49"/>
        <v>8410.61</v>
      </c>
      <c r="H615" s="108">
        <f t="shared" si="49"/>
        <v>0</v>
      </c>
      <c r="I615" s="108">
        <f t="shared" si="49"/>
        <v>274.67</v>
      </c>
      <c r="J615" s="108">
        <f t="shared" si="49"/>
        <v>0</v>
      </c>
      <c r="K615" s="108">
        <f t="shared" si="49"/>
        <v>0</v>
      </c>
      <c r="L615" s="89">
        <f t="shared" si="49"/>
        <v>41445.129999999997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2636873.2399999998</v>
      </c>
      <c r="H618" s="109">
        <f>SUM(F52)</f>
        <v>2636873.2400000002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40536.75</v>
      </c>
      <c r="H619" s="109">
        <f>SUM(G52)</f>
        <v>40536.75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682827.15</v>
      </c>
      <c r="H620" s="109">
        <f>SUM(H52)</f>
        <v>682827.15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987655.69000000006</v>
      </c>
      <c r="H622" s="109">
        <f>SUM(J52)</f>
        <v>987655.69000000006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2543622.56</v>
      </c>
      <c r="H623" s="109">
        <f>F477</f>
        <v>2543622.5599999987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987655.69000000006</v>
      </c>
      <c r="H627" s="109">
        <f>J477</f>
        <v>987655.69000000018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22674583.960000001</v>
      </c>
      <c r="H628" s="104">
        <f>SUM(F469)</f>
        <v>22674583.960000001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555233.11</v>
      </c>
      <c r="H629" s="104">
        <f>SUM(G469)</f>
        <v>555233.11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1862684.29</v>
      </c>
      <c r="H630" s="104">
        <f>SUM(H469)</f>
        <v>1862684.29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710649.53</v>
      </c>
      <c r="H632" s="104">
        <f>SUM(J469)</f>
        <v>710649.53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21907965.349999998</v>
      </c>
      <c r="H633" s="104">
        <f>SUM(F473)</f>
        <v>21907965.350000001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1862684.29</v>
      </c>
      <c r="H634" s="104">
        <f>SUM(H473)</f>
        <v>1862684.29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184296.84999999998</v>
      </c>
      <c r="H635" s="104">
        <f>I370</f>
        <v>184296.85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555233.11</v>
      </c>
      <c r="H636" s="104">
        <f>SUM(G473)</f>
        <v>555233.11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710649.53</v>
      </c>
      <c r="H638" s="164">
        <f>SUM(J469)</f>
        <v>710649.53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584247.24</v>
      </c>
      <c r="H639" s="164">
        <f>SUM(J473)</f>
        <v>584247.24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26626.66</v>
      </c>
      <c r="H640" s="104">
        <f>SUM(F462)</f>
        <v>26626.66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961029.03</v>
      </c>
      <c r="H641" s="104">
        <f>SUM(G462)</f>
        <v>961029.03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987655.69000000006</v>
      </c>
      <c r="H643" s="104">
        <f>SUM(I462)</f>
        <v>987655.69000000006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342.49</v>
      </c>
      <c r="H645" s="104">
        <f>H409</f>
        <v>342.49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240000</v>
      </c>
      <c r="H646" s="104">
        <f>G409</f>
        <v>240000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710649.53</v>
      </c>
      <c r="H647" s="104">
        <f>L409</f>
        <v>710649.53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817891.24000000011</v>
      </c>
      <c r="H648" s="104">
        <f>L209+L227+L245</f>
        <v>817891.24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629489.81999999995</v>
      </c>
      <c r="H649" s="104">
        <f>(J258+J339)-(J256+J337)</f>
        <v>629489.81999999995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257767.93</v>
      </c>
      <c r="H650" s="104">
        <f>H599</f>
        <v>257767.93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278097.76</v>
      </c>
      <c r="H651" s="104">
        <f>I599</f>
        <v>278097.76000000007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282025.55</v>
      </c>
      <c r="H652" s="104">
        <f>J599</f>
        <v>282025.55000000005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168547.65</v>
      </c>
      <c r="H653" s="104">
        <f>K264+K346</f>
        <v>168547.65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240000</v>
      </c>
      <c r="H656" s="104">
        <f>K267+K348</f>
        <v>240000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9309393.089999998</v>
      </c>
      <c r="G661" s="19">
        <f>(L230+L310+L360)</f>
        <v>7042387.7599999998</v>
      </c>
      <c r="H661" s="19">
        <f>(L248+L329+L361)</f>
        <v>7408055.4299999997</v>
      </c>
      <c r="I661" s="19">
        <f>SUM(F661:H661)</f>
        <v>23759836.279999997</v>
      </c>
      <c r="J661" s="13"/>
      <c r="K661" s="13"/>
      <c r="L661" s="13"/>
      <c r="M661" s="9"/>
    </row>
    <row r="662" spans="1:13" s="3" customFormat="1" ht="12.2" customHeight="1" x14ac:dyDescent="0.2">
      <c r="A662" s="1" t="s">
        <v>127</v>
      </c>
      <c r="F662" s="19">
        <f>(L359/IF(SUM(L359:L361)=0,1,SUM(L359:L361))*(SUM(G97:G110)))</f>
        <v>5683.3911858242736</v>
      </c>
      <c r="G662" s="19">
        <f>(L360/IF(SUM(L359:L361)=0,1,SUM(L359:L361))*(SUM(G97:G110)))</f>
        <v>2882.1361515652407</v>
      </c>
      <c r="H662" s="19">
        <f>(L361/IF(SUM(L359:L361)=0,1,SUM(L359:L361))*(SUM(G97:G110)))</f>
        <v>5029.6126626104851</v>
      </c>
      <c r="I662" s="19">
        <f>SUM(F662:H662)</f>
        <v>13595.14</v>
      </c>
      <c r="J662"/>
      <c r="K662" s="13"/>
      <c r="L662" s="13"/>
      <c r="M662" s="8"/>
    </row>
    <row r="663" spans="1:13" s="3" customFormat="1" ht="12.2" customHeight="1" x14ac:dyDescent="0.2">
      <c r="A663" s="1" t="s">
        <v>128</v>
      </c>
      <c r="F663" s="19">
        <f>(L209+L288)-(J209+J288)</f>
        <v>357182.5</v>
      </c>
      <c r="G663" s="19">
        <f>(L227+L307)-(J227+J307)</f>
        <v>365485.74</v>
      </c>
      <c r="H663" s="19">
        <f>(L245+L326)-(J245+J326)</f>
        <v>367923.94</v>
      </c>
      <c r="I663" s="19">
        <f>SUM(F663:H663)</f>
        <v>1090592.18</v>
      </c>
      <c r="J663"/>
      <c r="K663" s="13"/>
      <c r="L663" s="13"/>
      <c r="M663" s="9"/>
    </row>
    <row r="664" spans="1:13" s="3" customFormat="1" ht="12.2" customHeight="1" x14ac:dyDescent="0.15">
      <c r="A664" s="198" t="s">
        <v>129</v>
      </c>
      <c r="B664" s="169"/>
      <c r="C664" s="169"/>
      <c r="D664" s="169"/>
      <c r="E664" s="169"/>
      <c r="F664" s="199">
        <f>SUM(F576:F588)+SUM(H603:H605)+SUM(L612)</f>
        <v>258742.00999999998</v>
      </c>
      <c r="G664" s="199">
        <f>SUM(G576:G588)+SUM(I603:I605)+L613</f>
        <v>604673.82999999996</v>
      </c>
      <c r="H664" s="199">
        <f>SUM(H576:H588)+SUM(J603:J605)+L614</f>
        <v>680731.47</v>
      </c>
      <c r="I664" s="19">
        <f>SUM(F664:H664)</f>
        <v>1544147.31</v>
      </c>
      <c r="J664" s="13"/>
      <c r="K664" s="13"/>
      <c r="L664" s="13"/>
      <c r="M664" s="9"/>
    </row>
    <row r="665" spans="1:13" s="3" customFormat="1" ht="12.2" customHeight="1" x14ac:dyDescent="0.15">
      <c r="A665" s="1" t="s">
        <v>130</v>
      </c>
      <c r="F665" s="19">
        <f>F661-SUM(F662:F664)</f>
        <v>8687785.1888141744</v>
      </c>
      <c r="G665" s="19">
        <f>G661-SUM(G662:G664)</f>
        <v>6069346.0538484342</v>
      </c>
      <c r="H665" s="19">
        <f>H661-SUM(H662:H664)</f>
        <v>6354370.407337389</v>
      </c>
      <c r="I665" s="19">
        <f>I661-SUM(I662:I664)</f>
        <v>21111501.649999999</v>
      </c>
      <c r="J665" s="13"/>
      <c r="K665" s="13"/>
      <c r="L665" s="13"/>
      <c r="M665" s="8"/>
    </row>
    <row r="666" spans="1:13" s="3" customFormat="1" ht="12.2" customHeight="1" x14ac:dyDescent="0.25">
      <c r="A666" s="1" t="s">
        <v>131</v>
      </c>
      <c r="F666" s="359">
        <v>431.7</v>
      </c>
      <c r="G666" s="359">
        <v>370.1</v>
      </c>
      <c r="H666" s="359">
        <v>361.26</v>
      </c>
      <c r="I666" s="19">
        <f>SUM(F666:H666)</f>
        <v>1163.06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20124.59</v>
      </c>
      <c r="G668" s="19">
        <f>ROUND(G665/G666,2)</f>
        <v>16399.21</v>
      </c>
      <c r="H668" s="19">
        <f>ROUND(H665/H666,2)</f>
        <v>17589.47</v>
      </c>
      <c r="I668" s="19">
        <f>ROUND(I665/I666,2)</f>
        <v>18151.689999999999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-17.329999999999998</v>
      </c>
      <c r="I671" s="19">
        <f>SUM(F671:H671)</f>
        <v>-17.329999999999998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20124.59</v>
      </c>
      <c r="G673" s="19">
        <f>ROUND((G665+G670)/(G666+G671),2)</f>
        <v>16399.21</v>
      </c>
      <c r="H673" s="19">
        <f>ROUND((H665+H670)/(H666+H671),2)</f>
        <v>18475.77</v>
      </c>
      <c r="I673" s="19">
        <f>ROUND((I665+I670)/(I666+I671),2)</f>
        <v>18426.240000000002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8" sqref="E2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489766.49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496543.62</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986310.11</v>
      </c>
      <c r="F22" s="346"/>
    </row>
    <row r="23" spans="2:8" x14ac:dyDescent="0.25">
      <c r="B23" s="346"/>
      <c r="C23" s="346"/>
      <c r="D23" s="346"/>
      <c r="E23" s="346"/>
      <c r="F23" s="346"/>
    </row>
    <row r="24" spans="2:8" ht="26.25" customHeight="1" x14ac:dyDescent="0.25">
      <c r="B24" s="346"/>
      <c r="C24" s="348" t="s">
        <v>1661</v>
      </c>
      <c r="D24" s="346"/>
      <c r="E24" s="341">
        <v>209222.51</v>
      </c>
      <c r="F24" s="346"/>
    </row>
    <row r="25" spans="2:8" ht="18" x14ac:dyDescent="0.25">
      <c r="B25" s="346"/>
      <c r="C25" s="349"/>
      <c r="D25" s="346"/>
      <c r="E25" s="346"/>
      <c r="F25" s="346"/>
    </row>
    <row r="26" spans="2:8" ht="27.75" customHeight="1" x14ac:dyDescent="0.25">
      <c r="B26" s="346"/>
      <c r="C26" s="348" t="s">
        <v>1662</v>
      </c>
      <c r="D26" s="346"/>
      <c r="E26" s="341">
        <v>536426.49</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240661.11</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Shaker Regional School District</v>
      </c>
      <c r="C5" s="363"/>
      <c r="D5" s="363"/>
      <c r="E5" s="363"/>
      <c r="F5" s="363"/>
    </row>
    <row r="8" spans="1:9" ht="18" x14ac:dyDescent="0.25">
      <c r="A8" s="317" t="s">
        <v>1576</v>
      </c>
      <c r="F8" s="324" t="s">
        <v>1594</v>
      </c>
    </row>
    <row r="9" spans="1:9" ht="15" x14ac:dyDescent="0.2">
      <c r="A9" s="315" t="s">
        <v>1577</v>
      </c>
      <c r="B9" s="318">
        <f>'DOE25'!G97</f>
        <v>12918.23</v>
      </c>
      <c r="F9" s="315" t="s">
        <v>1590</v>
      </c>
    </row>
    <row r="10" spans="1:9" ht="15" x14ac:dyDescent="0.2">
      <c r="A10" s="315" t="s">
        <v>1578</v>
      </c>
      <c r="B10" s="318">
        <f>'DOE25'!G112-'DOE25'!G97</f>
        <v>676.90999999999985</v>
      </c>
      <c r="F10" s="315" t="s">
        <v>1591</v>
      </c>
    </row>
    <row r="11" spans="1:9" ht="15" x14ac:dyDescent="0.2">
      <c r="A11" s="315" t="s">
        <v>1579</v>
      </c>
      <c r="B11" s="318">
        <f>'DOE25'!G140</f>
        <v>8705.07</v>
      </c>
      <c r="F11" s="315" t="s">
        <v>1592</v>
      </c>
    </row>
    <row r="12" spans="1:9" ht="15" x14ac:dyDescent="0.2">
      <c r="A12" s="315" t="s">
        <v>1580</v>
      </c>
      <c r="B12" s="318">
        <f>'DOE25'!G170</f>
        <v>364385.25</v>
      </c>
      <c r="F12" s="315" t="s">
        <v>1593</v>
      </c>
    </row>
    <row r="13" spans="1:9" ht="15" x14ac:dyDescent="0.2">
      <c r="A13" s="315" t="s">
        <v>1581</v>
      </c>
      <c r="B13" s="318">
        <f>'DOE25'!G193-'DOE25'!G180</f>
        <v>33941.31</v>
      </c>
      <c r="F13" s="315" t="s">
        <v>1603</v>
      </c>
    </row>
    <row r="14" spans="1:9" ht="18" x14ac:dyDescent="0.25">
      <c r="A14" s="317" t="s">
        <v>732</v>
      </c>
      <c r="B14" s="319">
        <f>SUM(B9:B13)</f>
        <v>420626.77</v>
      </c>
    </row>
    <row r="16" spans="1:9" ht="18" x14ac:dyDescent="0.25">
      <c r="A16" s="317" t="s">
        <v>786</v>
      </c>
      <c r="F16" s="324" t="s">
        <v>1595</v>
      </c>
    </row>
    <row r="17" spans="1:6" ht="15" x14ac:dyDescent="0.2">
      <c r="A17" s="315" t="s">
        <v>1582</v>
      </c>
      <c r="B17" s="318">
        <f>'DOE25'!L363-'DOE25'!L362</f>
        <v>555233.11</v>
      </c>
      <c r="F17" s="315" t="s">
        <v>1596</v>
      </c>
    </row>
    <row r="18" spans="1:6" ht="15" x14ac:dyDescent="0.2">
      <c r="A18" s="315" t="s">
        <v>1583</v>
      </c>
      <c r="B18" s="328"/>
      <c r="F18" s="324" t="s">
        <v>1620</v>
      </c>
    </row>
    <row r="19" spans="1:6" ht="18" x14ac:dyDescent="0.25">
      <c r="A19" s="317" t="s">
        <v>725</v>
      </c>
      <c r="B19" s="319">
        <f>SUM(B17:B18)</f>
        <v>555233.11</v>
      </c>
    </row>
    <row r="21" spans="1:6" ht="18.75" thickBot="1" x14ac:dyDescent="0.3">
      <c r="A21" s="317" t="s">
        <v>1584</v>
      </c>
    </row>
    <row r="22" spans="1:6" ht="18.75" thickTop="1" x14ac:dyDescent="0.25">
      <c r="A22" s="317" t="s">
        <v>1585</v>
      </c>
      <c r="B22" s="323">
        <f>B14-B19</f>
        <v>-134606.33999999997</v>
      </c>
      <c r="F22" s="315" t="s">
        <v>1597</v>
      </c>
    </row>
    <row r="26" spans="1:6" ht="18" x14ac:dyDescent="0.25">
      <c r="A26" s="317" t="s">
        <v>186</v>
      </c>
    </row>
    <row r="27" spans="1:6" ht="15" x14ac:dyDescent="0.2">
      <c r="A27" s="315" t="s">
        <v>1586</v>
      </c>
      <c r="B27" s="318">
        <f>'DOE25'!G180</f>
        <v>134606.34</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33313.07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Shaker Regional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6296716.0599999996</v>
      </c>
      <c r="C9" s="229">
        <f>'DOE25'!G198+'DOE25'!G216+'DOE25'!G234+'DOE25'!G277+'DOE25'!G296+'DOE25'!G315</f>
        <v>3120835.11</v>
      </c>
    </row>
    <row r="10" spans="1:3" x14ac:dyDescent="0.2">
      <c r="A10" t="s">
        <v>775</v>
      </c>
      <c r="B10" s="240">
        <v>5818968.8499999996</v>
      </c>
      <c r="C10" s="240">
        <v>2906425.62</v>
      </c>
    </row>
    <row r="11" spans="1:3" x14ac:dyDescent="0.2">
      <c r="A11" t="s">
        <v>776</v>
      </c>
      <c r="B11" s="240">
        <v>397710.31</v>
      </c>
      <c r="C11" s="240">
        <v>209220.89</v>
      </c>
    </row>
    <row r="12" spans="1:3" x14ac:dyDescent="0.2">
      <c r="A12" t="s">
        <v>777</v>
      </c>
      <c r="B12" s="240">
        <v>80036.899999999994</v>
      </c>
      <c r="C12" s="240">
        <v>5188.6000000000004</v>
      </c>
    </row>
    <row r="13" spans="1:3" x14ac:dyDescent="0.2">
      <c r="A13" t="str">
        <f>IF(B9=B13,IF(C9=C13,"Check Total OK","Check Total Error"),"Check Total Error")</f>
        <v>Check Total OK</v>
      </c>
      <c r="B13" s="231">
        <f>SUM(B10:B12)</f>
        <v>6296716.0599999996</v>
      </c>
      <c r="C13" s="231">
        <f>SUM(C10:C12)</f>
        <v>3120835.1100000003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1837643.9700000002</v>
      </c>
      <c r="C18" s="229">
        <f>'DOE25'!G199+'DOE25'!G217+'DOE25'!G235+'DOE25'!G278+'DOE25'!G297+'DOE25'!G316</f>
        <v>1072081.1500000001</v>
      </c>
    </row>
    <row r="19" spans="1:3" x14ac:dyDescent="0.2">
      <c r="A19" t="s">
        <v>775</v>
      </c>
      <c r="B19" s="240">
        <v>1226553.46</v>
      </c>
      <c r="C19" s="240">
        <v>695944.61</v>
      </c>
    </row>
    <row r="20" spans="1:3" x14ac:dyDescent="0.2">
      <c r="A20" t="s">
        <v>776</v>
      </c>
      <c r="B20" s="240">
        <v>611090.51</v>
      </c>
      <c r="C20" s="240">
        <v>376136.54</v>
      </c>
    </row>
    <row r="21" spans="1:3" x14ac:dyDescent="0.2">
      <c r="A21" t="s">
        <v>777</v>
      </c>
      <c r="B21" s="240"/>
      <c r="C21" s="240"/>
    </row>
    <row r="22" spans="1:3" x14ac:dyDescent="0.2">
      <c r="A22" t="str">
        <f>IF(B18=B22,IF(C18=C22,"Check Total OK","Check Total Error"),"Check Total Error")</f>
        <v>Check Total OK</v>
      </c>
      <c r="B22" s="231">
        <f>SUM(B19:B21)</f>
        <v>1837643.97</v>
      </c>
      <c r="C22" s="231">
        <f>SUM(C19:C21)</f>
        <v>1072081.1499999999</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18010.04</v>
      </c>
      <c r="C27" s="234">
        <f>'DOE25'!G200+'DOE25'!G218+'DOE25'!G236+'DOE25'!G279+'DOE25'!G298+'DOE25'!G317</f>
        <v>1490.15</v>
      </c>
    </row>
    <row r="28" spans="1:3" x14ac:dyDescent="0.2">
      <c r="A28" t="s">
        <v>775</v>
      </c>
      <c r="B28" s="240"/>
      <c r="C28" s="240"/>
    </row>
    <row r="29" spans="1:3" x14ac:dyDescent="0.2">
      <c r="A29" t="s">
        <v>776</v>
      </c>
      <c r="B29" s="240">
        <v>18010.04</v>
      </c>
      <c r="C29" s="240">
        <v>1490.15</v>
      </c>
    </row>
    <row r="30" spans="1:3" x14ac:dyDescent="0.2">
      <c r="A30" t="s">
        <v>777</v>
      </c>
      <c r="B30" s="240"/>
      <c r="C30" s="240"/>
    </row>
    <row r="31" spans="1:3" x14ac:dyDescent="0.2">
      <c r="A31" t="str">
        <f>IF(B27=B31,IF(C27=C31,"Check Total OK","Check Total Error"),"Check Total Error")</f>
        <v>Check Total OK</v>
      </c>
      <c r="B31" s="231">
        <f>SUM(B28:B30)</f>
        <v>18010.04</v>
      </c>
      <c r="C31" s="231">
        <f>SUM(C28:C30)</f>
        <v>1490.15</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259769.27000000002</v>
      </c>
      <c r="C36" s="235">
        <f>'DOE25'!G201+'DOE25'!G219+'DOE25'!G237+'DOE25'!G280+'DOE25'!G299+'DOE25'!G318</f>
        <v>65991.23</v>
      </c>
    </row>
    <row r="37" spans="1:3" x14ac:dyDescent="0.2">
      <c r="A37" t="s">
        <v>775</v>
      </c>
      <c r="B37" s="240">
        <v>149678.97</v>
      </c>
      <c r="C37" s="240">
        <v>37615</v>
      </c>
    </row>
    <row r="38" spans="1:3" x14ac:dyDescent="0.2">
      <c r="A38" t="s">
        <v>776</v>
      </c>
      <c r="B38" s="240">
        <v>7508.51</v>
      </c>
      <c r="C38" s="240">
        <v>1077.74</v>
      </c>
    </row>
    <row r="39" spans="1:3" x14ac:dyDescent="0.2">
      <c r="A39" t="s">
        <v>777</v>
      </c>
      <c r="B39" s="240">
        <v>102581.79</v>
      </c>
      <c r="C39" s="240">
        <v>27298.49</v>
      </c>
    </row>
    <row r="40" spans="1:3" x14ac:dyDescent="0.2">
      <c r="A40" t="str">
        <f>IF(B36=B40,IF(C36=C40,"Check Total OK","Check Total Error"),"Check Total Error")</f>
        <v>Check Total OK</v>
      </c>
      <c r="B40" s="231">
        <f>SUM(B37:B39)</f>
        <v>259769.27000000002</v>
      </c>
      <c r="C40" s="231">
        <f>SUM(C37:C39)</f>
        <v>65991.23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Shaker Regional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13284288.140000001</v>
      </c>
      <c r="D5" s="20">
        <f>SUM('DOE25'!L198:L201)+SUM('DOE25'!L216:L219)+SUM('DOE25'!L234:L237)-F5-G5-H5</f>
        <v>13177224.6</v>
      </c>
      <c r="E5" s="243"/>
      <c r="F5" s="244"/>
      <c r="G5" s="53">
        <f>SUM('DOE25'!J198:J201)+SUM('DOE25'!J216:J219)+SUM('DOE25'!J234:J237)</f>
        <v>93124.650000000009</v>
      </c>
      <c r="H5" s="53">
        <f>SUM('DOE25'!K198:K201)+SUM('DOE25'!K216:K219)+SUM('DOE25'!K234:K237)</f>
        <v>13938.890000000001</v>
      </c>
      <c r="I5" s="254"/>
    </row>
    <row r="6" spans="1:9" x14ac:dyDescent="0.2">
      <c r="A6" s="32">
        <v>2100</v>
      </c>
      <c r="B6" t="s">
        <v>796</v>
      </c>
      <c r="C6" s="273">
        <f t="shared" si="0"/>
        <v>2483580.7300000004</v>
      </c>
      <c r="D6" s="20">
        <f>'DOE25'!L203+'DOE25'!L221+'DOE25'!L239-F6-G6-H6</f>
        <v>2480646.0400000005</v>
      </c>
      <c r="E6" s="243"/>
      <c r="F6" s="244"/>
      <c r="G6" s="53">
        <f>'DOE25'!J203+'DOE25'!J221+'DOE25'!J239</f>
        <v>981.68999999999994</v>
      </c>
      <c r="H6" s="53">
        <f>'DOE25'!K203+'DOE25'!K221+'DOE25'!K239</f>
        <v>1953</v>
      </c>
      <c r="I6" s="254"/>
    </row>
    <row r="7" spans="1:9" x14ac:dyDescent="0.2">
      <c r="A7" s="32">
        <v>2200</v>
      </c>
      <c r="B7" t="s">
        <v>821</v>
      </c>
      <c r="C7" s="273">
        <f t="shared" si="0"/>
        <v>1130439.4599999997</v>
      </c>
      <c r="D7" s="20">
        <f>'DOE25'!L204+'DOE25'!L222+'DOE25'!L240-F7-G7-H7</f>
        <v>1056908.7299999997</v>
      </c>
      <c r="E7" s="243"/>
      <c r="F7" s="244"/>
      <c r="G7" s="53">
        <f>'DOE25'!J204+'DOE25'!J222+'DOE25'!J240</f>
        <v>71130.12</v>
      </c>
      <c r="H7" s="53">
        <f>'DOE25'!K204+'DOE25'!K222+'DOE25'!K240</f>
        <v>2400.61</v>
      </c>
      <c r="I7" s="254"/>
    </row>
    <row r="8" spans="1:9" x14ac:dyDescent="0.2">
      <c r="A8" s="32">
        <v>2300</v>
      </c>
      <c r="B8" t="s">
        <v>797</v>
      </c>
      <c r="C8" s="273">
        <f t="shared" si="0"/>
        <v>405657.75</v>
      </c>
      <c r="D8" s="243"/>
      <c r="E8" s="20">
        <f>'DOE25'!L205+'DOE25'!L223+'DOE25'!L241-F8-G8-H8-D9-D11</f>
        <v>399094.44</v>
      </c>
      <c r="F8" s="244"/>
      <c r="G8" s="53">
        <f>'DOE25'!J205+'DOE25'!J223+'DOE25'!J241</f>
        <v>0</v>
      </c>
      <c r="H8" s="53">
        <f>'DOE25'!K205+'DOE25'!K223+'DOE25'!K241</f>
        <v>6563.3099999999995</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1284787.5900000001</v>
      </c>
      <c r="D12" s="20">
        <f>'DOE25'!L206+'DOE25'!L224+'DOE25'!L242-F12-G12-H12</f>
        <v>1264889.53</v>
      </c>
      <c r="E12" s="243"/>
      <c r="F12" s="244"/>
      <c r="G12" s="53">
        <f>'DOE25'!J206+'DOE25'!J224+'DOE25'!J242</f>
        <v>2008.21</v>
      </c>
      <c r="H12" s="53">
        <f>'DOE25'!K206+'DOE25'!K224+'DOE25'!K242</f>
        <v>17889.849999999999</v>
      </c>
      <c r="I12" s="254"/>
    </row>
    <row r="13" spans="1:9" x14ac:dyDescent="0.2">
      <c r="A13" s="32">
        <v>2500</v>
      </c>
      <c r="B13" t="s">
        <v>798</v>
      </c>
      <c r="C13" s="273">
        <f t="shared" si="0"/>
        <v>358557.02999999997</v>
      </c>
      <c r="D13" s="243"/>
      <c r="E13" s="20">
        <f>'DOE25'!L207+'DOE25'!L225+'DOE25'!L243-F13-G13-H13</f>
        <v>357382.24</v>
      </c>
      <c r="F13" s="244"/>
      <c r="G13" s="53">
        <f>'DOE25'!J207+'DOE25'!J225+'DOE25'!J243</f>
        <v>0</v>
      </c>
      <c r="H13" s="53">
        <f>'DOE25'!K207+'DOE25'!K225+'DOE25'!K243</f>
        <v>1174.79</v>
      </c>
      <c r="I13" s="254"/>
    </row>
    <row r="14" spans="1:9" x14ac:dyDescent="0.2">
      <c r="A14" s="32">
        <v>2600</v>
      </c>
      <c r="B14" t="s">
        <v>819</v>
      </c>
      <c r="C14" s="273">
        <f t="shared" si="0"/>
        <v>1661766.16</v>
      </c>
      <c r="D14" s="20">
        <f>'DOE25'!L208+'DOE25'!L226+'DOE25'!L244-F14-G14-H14</f>
        <v>1629498.48</v>
      </c>
      <c r="E14" s="243"/>
      <c r="F14" s="244"/>
      <c r="G14" s="53">
        <f>'DOE25'!J208+'DOE25'!J226+'DOE25'!J244</f>
        <v>32267.68</v>
      </c>
      <c r="H14" s="53">
        <f>'DOE25'!K208+'DOE25'!K226+'DOE25'!K244</f>
        <v>0</v>
      </c>
      <c r="I14" s="254"/>
    </row>
    <row r="15" spans="1:9" x14ac:dyDescent="0.2">
      <c r="A15" s="32">
        <v>2700</v>
      </c>
      <c r="B15" t="s">
        <v>799</v>
      </c>
      <c r="C15" s="273">
        <f t="shared" si="0"/>
        <v>817891.24</v>
      </c>
      <c r="D15" s="20">
        <f>'DOE25'!L209+'DOE25'!L227+'DOE25'!L245-F15-G15-H15</f>
        <v>817891.24</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157498.82</v>
      </c>
      <c r="D22" s="243"/>
      <c r="E22" s="243"/>
      <c r="F22" s="243"/>
      <c r="G22" s="53">
        <f>'DOE25'!L256+'DOE25'!L337</f>
        <v>157498.82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405517.01</v>
      </c>
      <c r="D29" s="281">
        <f>'DOE25'!L359+'DOE25'!L360+'DOE25'!L361-'DOE25'!I368-F29-G29-H29</f>
        <v>391826.02</v>
      </c>
      <c r="E29" s="243"/>
      <c r="F29" s="244"/>
      <c r="G29" s="53">
        <f>'DOE25'!J359+'DOE25'!J360+'DOE25'!J361</f>
        <v>12806.990000000002</v>
      </c>
      <c r="H29" s="53">
        <f>'DOE25'!K359+'DOE25'!K360+'DOE25'!K361</f>
        <v>884</v>
      </c>
      <c r="I29" s="254"/>
    </row>
    <row r="30" spans="1:9" x14ac:dyDescent="0.2">
      <c r="A30" s="32"/>
      <c r="C30" s="274"/>
      <c r="D30" s="20"/>
      <c r="E30" s="278"/>
      <c r="F30" s="268"/>
      <c r="G30" s="53"/>
      <c r="H30" s="53"/>
      <c r="I30" s="254"/>
    </row>
    <row r="31" spans="1:9" x14ac:dyDescent="0.2">
      <c r="A31" s="32" t="s">
        <v>818</v>
      </c>
      <c r="B31" t="s">
        <v>817</v>
      </c>
      <c r="C31" s="273">
        <f>SUM(D31:I31)</f>
        <v>1777635.07</v>
      </c>
      <c r="D31" s="20">
        <f>'DOE25'!L291+'DOE25'!L310+'DOE25'!L329+'DOE25'!L334+'DOE25'!L335+'DOE25'!L336-F31-G31-H31</f>
        <v>1346842.6</v>
      </c>
      <c r="E31" s="243"/>
      <c r="F31" s="244"/>
      <c r="G31" s="53">
        <f>'DOE25'!J291+'DOE25'!J310+'DOE25'!J329+'DOE25'!J334+'DOE25'!J335+'DOE25'!J336</f>
        <v>429977.47</v>
      </c>
      <c r="H31" s="53">
        <f>'DOE25'!K291+'DOE25'!K310+'DOE25'!K329+'DOE25'!K334+'DOE25'!K335+'DOE25'!K336</f>
        <v>815</v>
      </c>
      <c r="I31" s="254"/>
    </row>
    <row r="32" spans="1:9" ht="12" thickBot="1" x14ac:dyDescent="0.25">
      <c r="C32" s="274"/>
      <c r="G32" s="249"/>
      <c r="H32" s="249"/>
      <c r="I32" s="256"/>
    </row>
    <row r="33" spans="1:9" ht="12" thickTop="1" x14ac:dyDescent="0.2">
      <c r="B33" t="s">
        <v>809</v>
      </c>
      <c r="D33" s="245">
        <f t="shared" ref="D33:I33" si="1">SUM(D5:D31)</f>
        <v>22165727.240000002</v>
      </c>
      <c r="E33" s="245">
        <f t="shared" si="1"/>
        <v>756476.67999999993</v>
      </c>
      <c r="F33" s="245">
        <f t="shared" si="1"/>
        <v>0</v>
      </c>
      <c r="G33" s="245">
        <f t="shared" si="1"/>
        <v>799795.63</v>
      </c>
      <c r="H33" s="245">
        <f t="shared" si="1"/>
        <v>45619.45</v>
      </c>
      <c r="I33" s="245">
        <f t="shared" si="1"/>
        <v>0</v>
      </c>
    </row>
    <row r="35" spans="1:9" ht="12" thickBot="1" x14ac:dyDescent="0.25">
      <c r="B35" s="249" t="s">
        <v>831</v>
      </c>
      <c r="D35" s="250">
        <f>E33</f>
        <v>756476.67999999993</v>
      </c>
      <c r="E35" s="246"/>
      <c r="F35" s="333" t="s">
        <v>1632</v>
      </c>
      <c r="G35" s="334"/>
      <c r="H35" s="334"/>
      <c r="I35" s="334"/>
    </row>
    <row r="36" spans="1:9" ht="12" thickTop="1" x14ac:dyDescent="0.2">
      <c r="B36" t="s">
        <v>810</v>
      </c>
      <c r="D36" s="20">
        <f>D33</f>
        <v>22165727.240000002</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Shaker Regional School District</v>
      </c>
      <c r="B2" s="126">
        <f>'DOE25'!B2</f>
        <v>486</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9077280.2199999988</v>
      </c>
      <c r="G4" s="300">
        <f>'DOE25'!L212+'DOE25'!L291</f>
        <v>9077280.2199999988</v>
      </c>
      <c r="H4" s="353">
        <f>F4-G4</f>
        <v>0</v>
      </c>
      <c r="I4" s="371" t="str">
        <f>IF(H4=0,"","ISSUES!! Please review page 7 and 11 totals in comparison with total on this page")</f>
        <v/>
      </c>
      <c r="N4"/>
    </row>
    <row r="5" spans="1:18" x14ac:dyDescent="0.2">
      <c r="A5" s="21" t="s">
        <v>1415</v>
      </c>
      <c r="B5" s="301">
        <f>IFERROR(VLOOKUP(A5,'School Tables'!$C$3:$D$365,2,FALSE),"")</f>
        <v>22135</v>
      </c>
      <c r="C5" s="294" t="str">
        <f>IFERROR(INDEX('School Tables'!$B$3:$B$365,MATCH('School Level Expenditures'!B5,'School Tables'!$D$3:$D$365,0)),"")</f>
        <v>Shaker Regional</v>
      </c>
      <c r="D5" s="291">
        <v>6340100.5800000001</v>
      </c>
      <c r="E5" s="291">
        <v>112506.84</v>
      </c>
      <c r="F5" s="304">
        <f>D5+E5</f>
        <v>6452607.4199999999</v>
      </c>
      <c r="G5" s="294"/>
      <c r="H5" s="294"/>
      <c r="I5" s="372"/>
      <c r="N5"/>
    </row>
    <row r="6" spans="1:18" x14ac:dyDescent="0.2">
      <c r="A6" s="21" t="s">
        <v>1414</v>
      </c>
      <c r="B6" s="301">
        <f>IFERROR(VLOOKUP(A6,'School Tables'!$C$3:$D$365,2,FALSE),"")</f>
        <v>22165</v>
      </c>
      <c r="C6" s="294" t="str">
        <f>IFERROR(INDEX('School Tables'!$B$3:$B$365,MATCH('School Level Expenditures'!B6,'School Tables'!$D$3:$D$365,0)),"")</f>
        <v>Shaker Regional</v>
      </c>
      <c r="D6" s="291">
        <v>1919630.94</v>
      </c>
      <c r="E6" s="291">
        <v>705041.86</v>
      </c>
      <c r="F6" s="304">
        <f t="shared" ref="F6:F20" si="0">D6+E6</f>
        <v>2624672.7999999998</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8259731.5199999996</v>
      </c>
      <c r="E21" s="351">
        <f>SUM(E5:E20)</f>
        <v>817548.7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6924679.71</v>
      </c>
      <c r="G24" s="300">
        <f>'DOE25'!L230+'DOE25'!L310</f>
        <v>6924679.71</v>
      </c>
      <c r="H24" s="353">
        <f>F24-G24</f>
        <v>0</v>
      </c>
      <c r="I24" s="371" t="str">
        <f>IF(H24=0,"","ISSUES!! Please review page 8 and 12 totals in comparison with total on this page")</f>
        <v/>
      </c>
      <c r="N24"/>
    </row>
    <row r="25" spans="1:14" x14ac:dyDescent="0.2">
      <c r="A25" s="21" t="s">
        <v>1417</v>
      </c>
      <c r="B25" s="301">
        <f>IFERROR(VLOOKUP(A25,'School Tables'!$I$3:$J$80,2,FALSE),"")</f>
        <v>22150</v>
      </c>
      <c r="C25" s="294" t="str">
        <f t="array" ref="C25">IFERROR(INDEX('School Tables'!$H$3:$H$80,MATCH('School Level Expenditures'!B25,'School Tables'!$J$3:$J$80,0)),"")</f>
        <v>Shaker Regional</v>
      </c>
      <c r="D25" s="291">
        <v>6392598.4100000001</v>
      </c>
      <c r="E25" s="291">
        <v>532081.30000000005</v>
      </c>
      <c r="F25" s="304">
        <f>D25+E25</f>
        <v>6924679.71</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6392598.4100000001</v>
      </c>
      <c r="E33" s="351">
        <f>SUM(E25:E32)</f>
        <v>532081.30000000005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7202643.2400000002</v>
      </c>
      <c r="G36" s="300">
        <f>'DOE25'!L248+'DOE25'!L329</f>
        <v>7202643.2399999993</v>
      </c>
      <c r="H36" s="353">
        <f>F36-G36</f>
        <v>0</v>
      </c>
      <c r="I36" s="371" t="str">
        <f>IF(H36=0,"","ISSUES!! Please review page 9 and 13 totals in comparison with total on this page")</f>
        <v/>
      </c>
      <c r="N36"/>
    </row>
    <row r="37" spans="1:14" x14ac:dyDescent="0.2">
      <c r="A37" s="21" t="s">
        <v>1416</v>
      </c>
      <c r="B37" s="301">
        <f>IFERROR(VLOOKUP(A37,'School Tables'!$O$3:$P$118,2,FALSE),"")</f>
        <v>22145</v>
      </c>
      <c r="C37" s="294" t="str">
        <f t="array" ref="C37">IFERROR(INDEX('School Tables'!$N$3:$N$118,MATCH('School Level Expenditures'!B37,'School Tables'!$P$3:$P$118,0)),"")</f>
        <v>Shaker Regional</v>
      </c>
      <c r="D37" s="291">
        <v>6774638.1699999999</v>
      </c>
      <c r="E37" s="291">
        <v>428005.07</v>
      </c>
      <c r="F37" s="304">
        <f t="shared" ref="F37:F42" si="2">D37+E37</f>
        <v>7202643.2400000002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6774638.1699999999</v>
      </c>
      <c r="E43" s="352">
        <f>SUM(E37:E42)</f>
        <v>428005.07</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Shaker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2018625.99</v>
      </c>
      <c r="D8" s="95">
        <f>'DOE25'!G9</f>
        <v>0</v>
      </c>
      <c r="E8" s="95">
        <f>'DOE25'!H9</f>
        <v>0</v>
      </c>
      <c r="F8" s="95">
        <f>'DOE25'!I9</f>
        <v>0</v>
      </c>
      <c r="G8" s="95">
        <f>'DOE25'!J9</f>
        <v>217443.97</v>
      </c>
      <c r="H8" s="124"/>
      <c r="I8" s="124"/>
    </row>
    <row r="9" spans="1:9" x14ac:dyDescent="0.2">
      <c r="A9" s="1" t="s">
        <v>140</v>
      </c>
      <c r="B9" s="6">
        <v>110</v>
      </c>
      <c r="C9" s="95">
        <f>'DOE25'!F10</f>
        <v>1522.9</v>
      </c>
      <c r="D9" s="95">
        <f>'DOE25'!G10</f>
        <v>128.97999999999999</v>
      </c>
      <c r="E9" s="95">
        <f>'DOE25'!H10</f>
        <v>0</v>
      </c>
      <c r="F9" s="95">
        <f>'DOE25'!I10</f>
        <v>0</v>
      </c>
      <c r="G9" s="95">
        <f>'DOE25'!J10</f>
        <v>770211.72000000009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482135.75</v>
      </c>
      <c r="D11" s="95">
        <f>'DOE25'!G12</f>
        <v>0</v>
      </c>
      <c r="E11" s="95">
        <f>'DOE25'!H12</f>
        <v>0</v>
      </c>
      <c r="F11" s="95">
        <f>'DOE25'!I12</f>
        <v>0</v>
      </c>
      <c r="G11" s="95">
        <f>'DOE25'!J12</f>
        <v>0</v>
      </c>
      <c r="H11" s="124"/>
      <c r="I11" s="124"/>
    </row>
    <row r="12" spans="1:9" x14ac:dyDescent="0.2">
      <c r="A12" s="1" t="s">
        <v>143</v>
      </c>
      <c r="B12" s="6">
        <v>140</v>
      </c>
      <c r="C12" s="95">
        <f>'DOE25'!F13</f>
        <v>28851.81</v>
      </c>
      <c r="D12" s="95">
        <f>'DOE25'!G13</f>
        <v>38221.949999999997</v>
      </c>
      <c r="E12" s="95">
        <f>'DOE25'!H13</f>
        <v>679433.78</v>
      </c>
      <c r="F12" s="95">
        <f>'DOE25'!I13</f>
        <v>0</v>
      </c>
      <c r="G12" s="95">
        <f>'DOE25'!J13</f>
        <v>0</v>
      </c>
      <c r="H12" s="124"/>
      <c r="I12" s="124"/>
    </row>
    <row r="13" spans="1:9" x14ac:dyDescent="0.2">
      <c r="A13" s="1" t="s">
        <v>144</v>
      </c>
      <c r="B13" s="6">
        <v>150</v>
      </c>
      <c r="C13" s="95">
        <f>'DOE25'!F14</f>
        <v>19755.54</v>
      </c>
      <c r="D13" s="95">
        <f>'DOE25'!G14</f>
        <v>2185.8200000000002</v>
      </c>
      <c r="E13" s="95">
        <f>'DOE25'!H14</f>
        <v>3393.37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85981.25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2636873.2399999998</v>
      </c>
      <c r="D18" s="41">
        <f>SUM(D8:D17)</f>
        <v>40536.75</v>
      </c>
      <c r="E18" s="41">
        <f>SUM(E8:E17)</f>
        <v>682827.15</v>
      </c>
      <c r="F18" s="41">
        <f>SUM(F8:F17)</f>
        <v>0</v>
      </c>
      <c r="G18" s="41">
        <f>SUM(G8:G17)</f>
        <v>987655.69000000006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23099.54</v>
      </c>
      <c r="E21" s="95">
        <f>'DOE25'!H22</f>
        <v>459036.18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47541.36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35369.32</v>
      </c>
      <c r="D27" s="95">
        <f>'DOE25'!G28</f>
        <v>150.61000000000001</v>
      </c>
      <c r="E27" s="95">
        <f>'DOE25'!H28</f>
        <v>9854.65</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10340</v>
      </c>
      <c r="D29" s="95">
        <f>'DOE25'!G30</f>
        <v>17286.599999999999</v>
      </c>
      <c r="E29" s="95">
        <f>'DOE25'!H30</f>
        <v>213936.32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93250.68</v>
      </c>
      <c r="D31" s="41">
        <f>SUM(D21:D30)</f>
        <v>40536.75</v>
      </c>
      <c r="E31" s="41">
        <f>SUM(E21:E30)</f>
        <v>682827.15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85981.25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396593.98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987655.69000000006</v>
      </c>
      <c r="H47" s="124"/>
      <c r="I47" s="124"/>
    </row>
    <row r="48" spans="1:9" x14ac:dyDescent="0.2">
      <c r="A48" s="1" t="s">
        <v>882</v>
      </c>
      <c r="B48" s="6">
        <v>753</v>
      </c>
      <c r="C48" s="95">
        <f>'DOE25'!F49</f>
        <v>285470.8</v>
      </c>
      <c r="D48" s="95">
        <f>'DOE25'!G49</f>
        <v>0</v>
      </c>
      <c r="E48" s="95">
        <f>'DOE25'!H49</f>
        <v>0</v>
      </c>
      <c r="F48" s="95">
        <f>'DOE25'!I49</f>
        <v>0</v>
      </c>
      <c r="G48" s="95">
        <f>'DOE25'!J49</f>
        <v>0</v>
      </c>
      <c r="H48" s="124"/>
      <c r="I48" s="124"/>
    </row>
    <row r="49" spans="1:9" ht="12" thickBot="1" x14ac:dyDescent="0.25">
      <c r="A49" s="29" t="s">
        <v>883</v>
      </c>
      <c r="B49" s="71">
        <v>770</v>
      </c>
      <c r="C49" s="95">
        <f>'DOE25'!F50</f>
        <v>1635576.53</v>
      </c>
      <c r="D49" s="24" t="s">
        <v>288</v>
      </c>
      <c r="E49" s="24" t="s">
        <v>288</v>
      </c>
      <c r="F49" s="24" t="s">
        <v>288</v>
      </c>
      <c r="G49" s="24" t="s">
        <v>288</v>
      </c>
      <c r="H49" s="124"/>
      <c r="I49" s="124"/>
    </row>
    <row r="50" spans="1:9" ht="12.75" thickTop="1" thickBot="1" x14ac:dyDescent="0.25">
      <c r="A50" s="38" t="s">
        <v>884</v>
      </c>
      <c r="B50" s="48"/>
      <c r="C50" s="41">
        <f>SUM(C34:C49)</f>
        <v>2543622.56</v>
      </c>
      <c r="D50" s="41">
        <f>SUM(D34:D49)</f>
        <v>0</v>
      </c>
      <c r="E50" s="41">
        <f>SUM(E34:E49)</f>
        <v>0</v>
      </c>
      <c r="F50" s="41">
        <f>SUM(F34:F49)</f>
        <v>0</v>
      </c>
      <c r="G50" s="41">
        <f>SUM(G34:G49)</f>
        <v>987655.69000000006</v>
      </c>
      <c r="H50" s="124"/>
      <c r="I50" s="124"/>
    </row>
    <row r="51" spans="1:9" ht="12" thickTop="1" x14ac:dyDescent="0.2">
      <c r="A51" s="38" t="s">
        <v>885</v>
      </c>
      <c r="B51" s="2"/>
      <c r="C51" s="41">
        <f>C50+C31</f>
        <v>2636873.2400000002</v>
      </c>
      <c r="D51" s="41">
        <f>D50+D31</f>
        <v>40536.75</v>
      </c>
      <c r="E51" s="41">
        <f>E50+E31</f>
        <v>682827.15</v>
      </c>
      <c r="F51" s="41">
        <f>F50+F31</f>
        <v>0</v>
      </c>
      <c r="G51" s="41">
        <f>G50+G31</f>
        <v>987655.69000000006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13840006</v>
      </c>
      <c r="D56" s="95">
        <f>'DOE25'!G60</f>
        <v>0</v>
      </c>
      <c r="E56" s="95">
        <f>'DOE25'!H60</f>
        <v>0</v>
      </c>
      <c r="F56" s="95">
        <f>'DOE25'!I60</f>
        <v>0</v>
      </c>
      <c r="G56" s="95">
        <f>'DOE25'!J60</f>
        <v>0</v>
      </c>
      <c r="H56"/>
      <c r="I56"/>
    </row>
    <row r="57" spans="1:9" x14ac:dyDescent="0.2">
      <c r="A57" s="1" t="s">
        <v>164</v>
      </c>
      <c r="B57" s="6" t="s">
        <v>165</v>
      </c>
      <c r="C57" s="95">
        <f>'DOE25'!F79</f>
        <v>17576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2792.49</v>
      </c>
      <c r="D59" s="95">
        <f>'DOE25'!G96</f>
        <v>0</v>
      </c>
      <c r="E59" s="95">
        <f>'DOE25'!H96</f>
        <v>0</v>
      </c>
      <c r="F59" s="95">
        <f>'DOE25'!I96</f>
        <v>0</v>
      </c>
      <c r="G59" s="95">
        <f>'DOE25'!J96</f>
        <v>342.49</v>
      </c>
      <c r="H59"/>
      <c r="I59"/>
    </row>
    <row r="60" spans="1:9" x14ac:dyDescent="0.2">
      <c r="A60" s="1" t="s">
        <v>170</v>
      </c>
      <c r="B60" s="118" t="s">
        <v>171</v>
      </c>
      <c r="C60" s="24" t="s">
        <v>288</v>
      </c>
      <c r="D60" s="95">
        <f>'DOE25'!G97</f>
        <v>12918.23</v>
      </c>
      <c r="E60" s="24" t="s">
        <v>288</v>
      </c>
      <c r="F60" s="24" t="s">
        <v>288</v>
      </c>
      <c r="G60" s="24" t="s">
        <v>288</v>
      </c>
      <c r="H60"/>
      <c r="I60"/>
    </row>
    <row r="61" spans="1:9" ht="12" thickBot="1" x14ac:dyDescent="0.25">
      <c r="A61" s="1" t="s">
        <v>172</v>
      </c>
      <c r="B61" s="118" t="s">
        <v>173</v>
      </c>
      <c r="C61" s="95">
        <f>SUM('DOE25'!F98:F110)</f>
        <v>232178.27000000002</v>
      </c>
      <c r="D61" s="95">
        <f>SUM('DOE25'!G98:G110)</f>
        <v>676.91</v>
      </c>
      <c r="E61" s="95">
        <f>SUM('DOE25'!H98:H110)</f>
        <v>169730.53</v>
      </c>
      <c r="F61" s="95">
        <f>SUM('DOE25'!I98:I110)</f>
        <v>0</v>
      </c>
      <c r="G61" s="95">
        <f>SUM('DOE25'!J98:J110)</f>
        <v>470307.04</v>
      </c>
      <c r="H61"/>
      <c r="I61"/>
    </row>
    <row r="62" spans="1:9" ht="12.75" thickTop="1" thickBot="1" x14ac:dyDescent="0.25">
      <c r="A62" s="29" t="s">
        <v>174</v>
      </c>
      <c r="B62" s="6"/>
      <c r="C62" s="130">
        <f>SUM(C57:C61)</f>
        <v>252546.76</v>
      </c>
      <c r="D62" s="130">
        <f>SUM(D57:D61)</f>
        <v>13595.14</v>
      </c>
      <c r="E62" s="130">
        <f>SUM(E57:E61)</f>
        <v>169730.53</v>
      </c>
      <c r="F62" s="130">
        <f>SUM(F57:F61)</f>
        <v>0</v>
      </c>
      <c r="G62" s="130">
        <f>SUM(G57:G61)</f>
        <v>470649.52999999997</v>
      </c>
      <c r="H62"/>
      <c r="I62"/>
    </row>
    <row r="63" spans="1:9" ht="12" thickTop="1" x14ac:dyDescent="0.2">
      <c r="A63" s="29" t="s">
        <v>175</v>
      </c>
      <c r="B63" s="6"/>
      <c r="C63" s="22">
        <f>C56+C62</f>
        <v>14092552.76</v>
      </c>
      <c r="D63" s="22">
        <f>D56+D62</f>
        <v>13595.14</v>
      </c>
      <c r="E63" s="22">
        <f>E56+E62</f>
        <v>169730.53</v>
      </c>
      <c r="F63" s="22">
        <f>F56+F62</f>
        <v>0</v>
      </c>
      <c r="G63" s="22">
        <f>G56+G62</f>
        <v>470649.52999999997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6179072.8899999997</v>
      </c>
      <c r="D66" s="24" t="s">
        <v>288</v>
      </c>
      <c r="E66" s="24" t="s">
        <v>288</v>
      </c>
      <c r="F66" s="24" t="s">
        <v>288</v>
      </c>
      <c r="G66" s="24" t="s">
        <v>288</v>
      </c>
      <c r="H66"/>
      <c r="I66"/>
    </row>
    <row r="67" spans="1:9" x14ac:dyDescent="0.2">
      <c r="A67" s="1" t="s">
        <v>770</v>
      </c>
      <c r="B67" s="6">
        <v>3112</v>
      </c>
      <c r="C67" s="95">
        <f>'DOE25'!F118</f>
        <v>2023753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2804.47</v>
      </c>
      <c r="D69" s="95">
        <f>'DOE25'!G120</f>
        <v>0</v>
      </c>
      <c r="E69" s="95">
        <f>'DOE25'!H120</f>
        <v>0</v>
      </c>
      <c r="F69" s="95">
        <f>'DOE25'!I120</f>
        <v>0</v>
      </c>
      <c r="G69" s="95">
        <f>'DOE25'!J120</f>
        <v>0</v>
      </c>
      <c r="H69"/>
      <c r="I69"/>
    </row>
    <row r="70" spans="1:9" ht="12" thickTop="1" x14ac:dyDescent="0.2">
      <c r="A70" s="29" t="s">
        <v>252</v>
      </c>
      <c r="B70" s="2"/>
      <c r="C70" s="139">
        <f>SUM(C66:C69)</f>
        <v>8205630.3599999994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157621.56</v>
      </c>
      <c r="D75" s="24" t="s">
        <v>288</v>
      </c>
      <c r="E75" s="24" t="s">
        <v>288</v>
      </c>
      <c r="F75" s="24" t="s">
        <v>288</v>
      </c>
      <c r="G75" s="24" t="s">
        <v>288</v>
      </c>
      <c r="H75"/>
      <c r="I75"/>
    </row>
    <row r="76" spans="1:9" x14ac:dyDescent="0.2">
      <c r="A76" s="1" t="s">
        <v>257</v>
      </c>
      <c r="B76" s="6" t="s">
        <v>179</v>
      </c>
      <c r="C76" s="95">
        <f>SUM('DOE25'!F127:F130)</f>
        <v>7627.42</v>
      </c>
      <c r="D76" s="24" t="s">
        <v>288</v>
      </c>
      <c r="E76" s="95">
        <f>SUM('DOE25'!H127:H130)</f>
        <v>9128.85</v>
      </c>
      <c r="F76" s="95">
        <f>SUM('DOE25'!I127:I130)</f>
        <v>0</v>
      </c>
      <c r="G76" s="24" t="s">
        <v>288</v>
      </c>
      <c r="H76"/>
      <c r="I76"/>
    </row>
    <row r="77" spans="1:9" ht="12" thickBot="1" x14ac:dyDescent="0.25">
      <c r="A77" s="1" t="s">
        <v>258</v>
      </c>
      <c r="B77" s="6" t="s">
        <v>180</v>
      </c>
      <c r="C77" s="95">
        <f>SUM('DOE25'!F131:F135)</f>
        <v>0</v>
      </c>
      <c r="D77" s="95">
        <f>SUM('DOE25'!G131:G135)</f>
        <v>8705.07</v>
      </c>
      <c r="E77" s="95">
        <f>SUM('DOE25'!H131:H135)</f>
        <v>0</v>
      </c>
      <c r="F77" s="95">
        <f>SUM('DOE25'!I131:I135)</f>
        <v>0</v>
      </c>
      <c r="G77" s="95">
        <f>SUM('DOE25'!J131:J135)</f>
        <v>0</v>
      </c>
      <c r="H77"/>
      <c r="I77"/>
    </row>
    <row r="78" spans="1:9" ht="12.75" thickTop="1" thickBot="1" x14ac:dyDescent="0.25">
      <c r="A78" s="29" t="s">
        <v>259</v>
      </c>
      <c r="B78" s="6"/>
      <c r="C78" s="130">
        <f>SUM(C72:C77)</f>
        <v>165248.98000000001</v>
      </c>
      <c r="D78" s="130">
        <f>SUM(D72:D77)</f>
        <v>8705.07</v>
      </c>
      <c r="E78" s="130">
        <f>SUM(E72:E77)</f>
        <v>9128.85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8370879.3399999999</v>
      </c>
      <c r="D81" s="130">
        <f>SUM(D79:D80)+D78+D70</f>
        <v>8705.07</v>
      </c>
      <c r="E81" s="130">
        <f>SUM(E79:E80)+E78+E70</f>
        <v>9128.85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99079.55</v>
      </c>
      <c r="D88" s="331">
        <f>SUM('DOE25'!G153:G162)</f>
        <v>364385.25</v>
      </c>
      <c r="E88" s="331">
        <f>SUM('DOE25'!H153:H162)</f>
        <v>1683824.91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99079.55</v>
      </c>
      <c r="D91" s="131">
        <f>SUM(D85:D90)</f>
        <v>364385.25</v>
      </c>
      <c r="E91" s="131">
        <f>SUM(E85:E90)</f>
        <v>1683824.91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134606.34</v>
      </c>
      <c r="E96" s="95">
        <f>'DOE25'!H180</f>
        <v>0</v>
      </c>
      <c r="F96" s="95">
        <f>'DOE25'!I180</f>
        <v>0</v>
      </c>
      <c r="G96" s="95">
        <f>'DOE25'!J180</f>
        <v>240000</v>
      </c>
    </row>
    <row r="97" spans="1:7" x14ac:dyDescent="0.2">
      <c r="A97" t="s">
        <v>754</v>
      </c>
      <c r="B97" s="32" t="s">
        <v>188</v>
      </c>
      <c r="C97" s="95">
        <f>SUM('DOE25'!F181:F182)</f>
        <v>0</v>
      </c>
      <c r="D97" s="95">
        <f>SUM('DOE25'!G181:G182)</f>
        <v>33941.31</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112072.31</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112072.31</v>
      </c>
      <c r="D103" s="86">
        <f>SUM(D93:D102)</f>
        <v>168547.65</v>
      </c>
      <c r="E103" s="86">
        <f>SUM(E93:E102)</f>
        <v>0</v>
      </c>
      <c r="F103" s="86">
        <f>SUM(F93:F102)</f>
        <v>0</v>
      </c>
      <c r="G103" s="86">
        <f>SUM(G93:G102)</f>
        <v>240000</v>
      </c>
    </row>
    <row r="104" spans="1:7" ht="12.75" thickTop="1" thickBot="1" x14ac:dyDescent="0.25">
      <c r="A104" s="33" t="s">
        <v>761</v>
      </c>
      <c r="C104" s="86">
        <f>C63+C81+C91+C103</f>
        <v>22674583.960000001</v>
      </c>
      <c r="D104" s="86">
        <f>D63+D81+D91+D103</f>
        <v>555233.11</v>
      </c>
      <c r="E104" s="86">
        <f>E63+E81+E91+E103</f>
        <v>1862684.29</v>
      </c>
      <c r="F104" s="86">
        <f>F63+F81+F91+F103</f>
        <v>0</v>
      </c>
      <c r="G104" s="86">
        <f>G63+G81+G103</f>
        <v>710649.53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9221358.1699999999</v>
      </c>
      <c r="D109" s="24" t="s">
        <v>288</v>
      </c>
      <c r="E109" s="95">
        <f>('DOE25'!L277)+('DOE25'!L296)+('DOE25'!L315)</f>
        <v>554903.25</v>
      </c>
      <c r="F109" s="24" t="s">
        <v>288</v>
      </c>
      <c r="G109" s="24" t="s">
        <v>288</v>
      </c>
    </row>
    <row r="110" spans="1:7" x14ac:dyDescent="0.2">
      <c r="A110" t="s">
        <v>198</v>
      </c>
      <c r="B110" s="32" t="s">
        <v>199</v>
      </c>
      <c r="C110" s="95">
        <f>('DOE25'!L199)+('DOE25'!L217)+('DOE25'!L235)</f>
        <v>3424299.08</v>
      </c>
      <c r="D110" s="24" t="s">
        <v>288</v>
      </c>
      <c r="E110" s="95">
        <f>('DOE25'!L278)+('DOE25'!L297)+('DOE25'!L316)</f>
        <v>230165.84</v>
      </c>
      <c r="F110" s="24" t="s">
        <v>288</v>
      </c>
      <c r="G110" s="24" t="s">
        <v>288</v>
      </c>
    </row>
    <row r="111" spans="1:7" x14ac:dyDescent="0.2">
      <c r="A111" t="s">
        <v>200</v>
      </c>
      <c r="B111" s="32" t="s">
        <v>165</v>
      </c>
      <c r="C111" s="95">
        <f>('DOE25'!L200)+('DOE25'!L218)+('DOE25'!L236)</f>
        <v>195384.77</v>
      </c>
      <c r="D111" s="24" t="s">
        <v>288</v>
      </c>
      <c r="E111" s="95">
        <f>('DOE25'!L279)+('DOE25'!L298)+('DOE25'!L317)</f>
        <v>0</v>
      </c>
      <c r="F111" s="24" t="s">
        <v>288</v>
      </c>
      <c r="G111" s="24" t="s">
        <v>288</v>
      </c>
    </row>
    <row r="112" spans="1:7" x14ac:dyDescent="0.2">
      <c r="A112" t="s">
        <v>201</v>
      </c>
      <c r="B112" s="32" t="s">
        <v>167</v>
      </c>
      <c r="C112" s="95">
        <f>('DOE25'!L201)+('DOE25'!L219)+('DOE25'!L237)</f>
        <v>443246.12</v>
      </c>
      <c r="D112" s="24" t="s">
        <v>288</v>
      </c>
      <c r="E112" s="95">
        <f>+('DOE25'!L280)+('DOE25'!L299)+('DOE25'!L318)</f>
        <v>55902.759999999995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13284288.139999999</v>
      </c>
      <c r="D115" s="86">
        <f>SUM(D109:D114)</f>
        <v>0</v>
      </c>
      <c r="E115" s="86">
        <f>SUM(E109:E114)</f>
        <v>840971.85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2483580.7300000004</v>
      </c>
      <c r="D118" s="24" t="s">
        <v>288</v>
      </c>
      <c r="E118" s="95">
        <f>+('DOE25'!L282)+('DOE25'!L301)+('DOE25'!L320)</f>
        <v>0</v>
      </c>
      <c r="F118" s="24" t="s">
        <v>288</v>
      </c>
      <c r="G118" s="24" t="s">
        <v>288</v>
      </c>
    </row>
    <row r="119" spans="1:7" x14ac:dyDescent="0.2">
      <c r="A119" t="s">
        <v>208</v>
      </c>
      <c r="B119" s="32" t="s">
        <v>209</v>
      </c>
      <c r="C119" s="95">
        <f>('DOE25'!L204)+('DOE25'!L222)+('DOE25'!L240)</f>
        <v>1130439.46</v>
      </c>
      <c r="D119" s="24" t="s">
        <v>288</v>
      </c>
      <c r="E119" s="95">
        <f>+('DOE25'!L283)+('DOE25'!L302)+('DOE25'!L321)</f>
        <v>396739.89</v>
      </c>
      <c r="F119" s="24" t="s">
        <v>288</v>
      </c>
      <c r="G119" s="24" t="s">
        <v>288</v>
      </c>
    </row>
    <row r="120" spans="1:7" x14ac:dyDescent="0.2">
      <c r="A120" t="s">
        <v>210</v>
      </c>
      <c r="B120" s="32" t="s">
        <v>211</v>
      </c>
      <c r="C120" s="95">
        <f>('DOE25'!L205)+('DOE25'!L223)+('DOE25'!L241)</f>
        <v>405657.75</v>
      </c>
      <c r="D120" s="24" t="s">
        <v>288</v>
      </c>
      <c r="E120" s="95">
        <f>+('DOE25'!L284)+('DOE25'!L303)+('DOE25'!L322)</f>
        <v>940.5</v>
      </c>
      <c r="F120" s="24" t="s">
        <v>288</v>
      </c>
      <c r="G120" s="24" t="s">
        <v>288</v>
      </c>
    </row>
    <row r="121" spans="1:7" x14ac:dyDescent="0.2">
      <c r="A121" t="s">
        <v>212</v>
      </c>
      <c r="B121" s="32" t="s">
        <v>213</v>
      </c>
      <c r="C121" s="95">
        <f>('DOE25'!L206)+('DOE25'!L224)+('DOE25'!L242)</f>
        <v>1284787.5900000001</v>
      </c>
      <c r="D121" s="24" t="s">
        <v>288</v>
      </c>
      <c r="E121" s="95">
        <f>+('DOE25'!L285)+('DOE25'!L304)+('DOE25'!L323)</f>
        <v>5023.08</v>
      </c>
      <c r="F121" s="24" t="s">
        <v>288</v>
      </c>
      <c r="G121" s="24" t="s">
        <v>288</v>
      </c>
    </row>
    <row r="122" spans="1:7" x14ac:dyDescent="0.2">
      <c r="A122" t="s">
        <v>214</v>
      </c>
      <c r="B122" s="32" t="s">
        <v>215</v>
      </c>
      <c r="C122" s="95">
        <f>('DOE25'!L207)+('DOE25'!L225)+('DOE25'!L243)</f>
        <v>358557.02999999997</v>
      </c>
      <c r="D122" s="24" t="s">
        <v>288</v>
      </c>
      <c r="E122" s="95">
        <f>+('DOE25'!L286)+('DOE25'!L305)+('DOE25'!L324)</f>
        <v>0</v>
      </c>
      <c r="F122" s="24" t="s">
        <v>288</v>
      </c>
      <c r="G122" s="24" t="s">
        <v>288</v>
      </c>
    </row>
    <row r="123" spans="1:7" x14ac:dyDescent="0.2">
      <c r="A123" t="s">
        <v>216</v>
      </c>
      <c r="B123" s="32" t="s">
        <v>217</v>
      </c>
      <c r="C123" s="95">
        <f>('DOE25'!L208)+('DOE25'!L226)+('DOE25'!L244)</f>
        <v>1661766.16</v>
      </c>
      <c r="D123" s="24" t="s">
        <v>288</v>
      </c>
      <c r="E123" s="95">
        <f>+('DOE25'!L287)+('DOE25'!L306)+('DOE25'!L325)</f>
        <v>261258.81</v>
      </c>
      <c r="F123" s="24" t="s">
        <v>288</v>
      </c>
      <c r="G123" s="24" t="s">
        <v>288</v>
      </c>
    </row>
    <row r="124" spans="1:7" x14ac:dyDescent="0.2">
      <c r="A124" t="s">
        <v>218</v>
      </c>
      <c r="B124" s="32" t="s">
        <v>219</v>
      </c>
      <c r="C124" s="95">
        <f>('DOE25'!L209)+('DOE25'!L227)+('DOE25'!L245+'DOE25'!L255)</f>
        <v>817891.24</v>
      </c>
      <c r="D124" s="24" t="s">
        <v>288</v>
      </c>
      <c r="E124" s="95">
        <f>+('DOE25'!L288)+('DOE25'!L307)+('DOE25'!L326)</f>
        <v>272700.94</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555233.11</v>
      </c>
      <c r="E127" s="24" t="s">
        <v>288</v>
      </c>
      <c r="F127" s="24" t="s">
        <v>288</v>
      </c>
      <c r="G127" s="24" t="s">
        <v>288</v>
      </c>
    </row>
    <row r="128" spans="1:7" ht="12.75" thickTop="1" thickBot="1" x14ac:dyDescent="0.25">
      <c r="A128" s="33" t="s">
        <v>226</v>
      </c>
      <c r="C128" s="86">
        <f>SUM(C118:C127)</f>
        <v>8142679.9600000009</v>
      </c>
      <c r="D128" s="86">
        <f>SUM(D118:D127)</f>
        <v>555233.11</v>
      </c>
      <c r="E128" s="86">
        <f>SUM(E118:E127)</f>
        <v>936663.22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106390.91</v>
      </c>
      <c r="D130" s="24" t="s">
        <v>288</v>
      </c>
      <c r="E130" s="129">
        <f>'DOE25'!L337</f>
        <v>51107.91</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144403</v>
      </c>
    </row>
    <row r="135" spans="1:7" x14ac:dyDescent="0.2">
      <c r="A135" t="s">
        <v>233</v>
      </c>
      <c r="B135" s="32" t="s">
        <v>234</v>
      </c>
      <c r="C135" s="95">
        <f>'DOE25'!L264</f>
        <v>134606.34</v>
      </c>
      <c r="D135" s="24" t="s">
        <v>288</v>
      </c>
      <c r="E135" s="129">
        <f>'DOE25'!L346</f>
        <v>33941.31</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11.62</v>
      </c>
      <c r="D138" s="24" t="s">
        <v>288</v>
      </c>
      <c r="E138" s="24" t="s">
        <v>288</v>
      </c>
      <c r="F138" s="24" t="s">
        <v>288</v>
      </c>
      <c r="G138" s="24" t="s">
        <v>288</v>
      </c>
    </row>
    <row r="139" spans="1:7" x14ac:dyDescent="0.2">
      <c r="A139" t="s">
        <v>239</v>
      </c>
      <c r="B139" s="32">
        <v>5252</v>
      </c>
      <c r="C139" s="95">
        <f>'DOE25'!L402</f>
        <v>710637.91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-470649.53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480997.25</v>
      </c>
      <c r="D144" s="141">
        <f>SUM(D130:D143)</f>
        <v>0</v>
      </c>
      <c r="E144" s="141">
        <f>SUM(E130:E143)</f>
        <v>85049.22</v>
      </c>
      <c r="F144" s="141">
        <f>SUM(F130:F143)</f>
        <v>0</v>
      </c>
      <c r="G144" s="141">
        <f>SUM(G130:G143)</f>
        <v>144403</v>
      </c>
    </row>
    <row r="145" spans="1:9" ht="12.75" thickTop="1" thickBot="1" x14ac:dyDescent="0.25">
      <c r="A145" s="33" t="s">
        <v>244</v>
      </c>
      <c r="C145" s="86">
        <f>(C115+C128+C144)</f>
        <v>21907965.350000001</v>
      </c>
      <c r="D145" s="86">
        <f>(D115+D128+D144)</f>
        <v>555233.11</v>
      </c>
      <c r="E145" s="86">
        <f>(E115+E128+E144)</f>
        <v>1862684.2899999998</v>
      </c>
      <c r="F145" s="86">
        <f>(F115+F128+F144)</f>
        <v>0</v>
      </c>
      <c r="G145" s="86">
        <f>(G115+G128+G144)</f>
        <v>144403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Shaker Regional School District</v>
      </c>
    </row>
    <row r="3" spans="1:4" x14ac:dyDescent="0.2">
      <c r="B3" s="188" t="s">
        <v>1666</v>
      </c>
    </row>
    <row r="4" spans="1:4" x14ac:dyDescent="0.2">
      <c r="B4" t="s">
        <v>61</v>
      </c>
      <c r="C4" s="179">
        <f>IF('DOE25'!F666+'DOE25'!F671=0,0,ROUND('DOE25'!F673,0))</f>
        <v>20125</v>
      </c>
    </row>
    <row r="5" spans="1:4" x14ac:dyDescent="0.2">
      <c r="B5" t="s">
        <v>700</v>
      </c>
      <c r="C5" s="179">
        <f>IF('DOE25'!G666+'DOE25'!G671=0,0,ROUND('DOE25'!G673,0))</f>
        <v>16399</v>
      </c>
    </row>
    <row r="6" spans="1:4" x14ac:dyDescent="0.2">
      <c r="B6" t="s">
        <v>62</v>
      </c>
      <c r="C6" s="179">
        <f>IF('DOE25'!H666+'DOE25'!H671=0,0,ROUND('DOE25'!H673,0))</f>
        <v>18476</v>
      </c>
    </row>
    <row r="7" spans="1:4" x14ac:dyDescent="0.2">
      <c r="B7" t="s">
        <v>701</v>
      </c>
      <c r="C7" s="179">
        <f>IF('DOE25'!I666+'DOE25'!I671=0,0,ROUND('DOE25'!I673,0))</f>
        <v>18426</v>
      </c>
    </row>
    <row r="9" spans="1:4" x14ac:dyDescent="0.2">
      <c r="A9" s="187" t="s">
        <v>94</v>
      </c>
      <c r="B9" s="188" t="s">
        <v>1671</v>
      </c>
      <c r="C9" s="181" t="s">
        <v>720</v>
      </c>
      <c r="D9" s="181" t="s">
        <v>721</v>
      </c>
    </row>
    <row r="10" spans="1:4" x14ac:dyDescent="0.2">
      <c r="A10">
        <v>1100</v>
      </c>
      <c r="B10" t="s">
        <v>702</v>
      </c>
      <c r="C10" s="179">
        <f>ROUND('DOE25'!L198+'DOE25'!L216+'DOE25'!L234+'DOE25'!L277+'DOE25'!L296+'DOE25'!L315,0)</f>
        <v>9776261</v>
      </c>
      <c r="D10" s="182">
        <f>ROUND((C10/$C$28)*100,1)</f>
        <v>41.2</v>
      </c>
    </row>
    <row r="11" spans="1:4" x14ac:dyDescent="0.2">
      <c r="A11">
        <v>1200</v>
      </c>
      <c r="B11" t="s">
        <v>703</v>
      </c>
      <c r="C11" s="179">
        <f>ROUND('DOE25'!L199+'DOE25'!L217+'DOE25'!L235+'DOE25'!L278+'DOE25'!L297+'DOE25'!L316,0)</f>
        <v>3654465</v>
      </c>
      <c r="D11" s="182">
        <f>ROUND((C11/$C$28)*100,1)</f>
        <v>15.4</v>
      </c>
    </row>
    <row r="12" spans="1:4" x14ac:dyDescent="0.2">
      <c r="A12">
        <v>1300</v>
      </c>
      <c r="B12" t="s">
        <v>704</v>
      </c>
      <c r="C12" s="179">
        <f>ROUND('DOE25'!L200+'DOE25'!L218+'DOE25'!L236+'DOE25'!L279+'DOE25'!L298+'DOE25'!L317,0)</f>
        <v>195385</v>
      </c>
      <c r="D12" s="182">
        <f>ROUND((C12/$C$28)*100,1)</f>
        <v>0.8</v>
      </c>
    </row>
    <row r="13" spans="1:4" x14ac:dyDescent="0.2">
      <c r="A13">
        <v>1400</v>
      </c>
      <c r="B13" t="s">
        <v>705</v>
      </c>
      <c r="C13" s="179">
        <f>ROUND('DOE25'!L201+'DOE25'!L219+'DOE25'!L237+'DOE25'!L280+'DOE25'!L299+'DOE25'!L318,0)</f>
        <v>499149</v>
      </c>
      <c r="D13" s="182">
        <f>ROUND((C13/$C$28)*100,1)</f>
        <v>2.1</v>
      </c>
    </row>
    <row r="14" spans="1:4" x14ac:dyDescent="0.2">
      <c r="D14" s="182"/>
    </row>
    <row r="15" spans="1:4" x14ac:dyDescent="0.2">
      <c r="A15">
        <v>2100</v>
      </c>
      <c r="B15" t="s">
        <v>706</v>
      </c>
      <c r="C15" s="179">
        <f>ROUND('DOE25'!L203+'DOE25'!L221+'DOE25'!L239+'DOE25'!L282+'DOE25'!L301+'DOE25'!L320,0)</f>
        <v>2483581</v>
      </c>
      <c r="D15" s="182">
        <f t="shared" ref="D15:D27" si="0">ROUND((C15/$C$28)*100,1)</f>
        <v>10.5</v>
      </c>
    </row>
    <row r="16" spans="1:4" x14ac:dyDescent="0.2">
      <c r="A16">
        <v>2200</v>
      </c>
      <c r="B16" t="s">
        <v>707</v>
      </c>
      <c r="C16" s="179">
        <f>ROUND('DOE25'!L204+'DOE25'!L222+'DOE25'!L240+'DOE25'!L283+'DOE25'!L302+'DOE25'!L321,0)</f>
        <v>1527179</v>
      </c>
      <c r="D16" s="182">
        <f t="shared" si="0"/>
        <v>6.4</v>
      </c>
    </row>
    <row r="17" spans="1:4" x14ac:dyDescent="0.2">
      <c r="A17" s="183" t="s">
        <v>723</v>
      </c>
      <c r="B17" t="s">
        <v>738</v>
      </c>
      <c r="C17" s="179">
        <f>ROUND('DOE25'!L205+'DOE25'!L210+'DOE25'!L223+'DOE25'!L228+'DOE25'!L241+'DOE25'!L246+'DOE25'!L284+'DOE25'!L289+'DOE25'!L303+'DOE25'!L308+'DOE25'!L322+'DOE25'!L327,0)</f>
        <v>406598</v>
      </c>
      <c r="D17" s="182">
        <f t="shared" si="0"/>
        <v>1.7</v>
      </c>
    </row>
    <row r="18" spans="1:4" x14ac:dyDescent="0.2">
      <c r="A18">
        <v>2400</v>
      </c>
      <c r="B18" t="s">
        <v>711</v>
      </c>
      <c r="C18" s="179">
        <f>ROUND('DOE25'!L206+'DOE25'!L224+'DOE25'!L242+'DOE25'!L285+'DOE25'!L304+'DOE25'!L323,0)</f>
        <v>1289811</v>
      </c>
      <c r="D18" s="182">
        <f t="shared" si="0"/>
        <v>5.4</v>
      </c>
    </row>
    <row r="19" spans="1:4" x14ac:dyDescent="0.2">
      <c r="A19">
        <v>2500</v>
      </c>
      <c r="B19" t="s">
        <v>708</v>
      </c>
      <c r="C19" s="179">
        <f>ROUND('DOE25'!L207+'DOE25'!L225+'DOE25'!L243+'DOE25'!L286+'DOE25'!L305+'DOE25'!L324,0)</f>
        <v>358557</v>
      </c>
      <c r="D19" s="182">
        <f t="shared" si="0"/>
        <v>1.5</v>
      </c>
    </row>
    <row r="20" spans="1:4" x14ac:dyDescent="0.2">
      <c r="A20">
        <v>2600</v>
      </c>
      <c r="B20" t="s">
        <v>709</v>
      </c>
      <c r="C20" s="179">
        <f>ROUND('DOE25'!L208+'DOE25'!L226+'DOE25'!L244+'DOE25'!L287+'DOE25'!L306+'DOE25'!L325,0)</f>
        <v>1923025</v>
      </c>
      <c r="D20" s="182">
        <f t="shared" si="0"/>
        <v>8.1</v>
      </c>
    </row>
    <row r="21" spans="1:4" x14ac:dyDescent="0.2">
      <c r="A21">
        <v>2700</v>
      </c>
      <c r="B21" t="s">
        <v>710</v>
      </c>
      <c r="C21" s="179">
        <f>ROUND('DOE25'!L209+'DOE25'!L227+'DOE25'!L245+'DOE25'!L288+'DOE25'!L307+'DOE25'!L326,0)</f>
        <v>1090592</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541637.86</v>
      </c>
      <c r="D27" s="182">
        <f t="shared" si="0"/>
        <v>2.2999999999999998</v>
      </c>
    </row>
    <row r="28" spans="1:4" x14ac:dyDescent="0.2">
      <c r="B28" s="187" t="s">
        <v>719</v>
      </c>
      <c r="C28" s="180">
        <f>SUM(C10:C27)</f>
        <v>23746240.859999999</v>
      </c>
      <c r="D28" s="184">
        <f>ROUND(SUM(D10:D27),0)</f>
        <v>100</v>
      </c>
    </row>
    <row r="29" spans="1:4" x14ac:dyDescent="0.2">
      <c r="A29">
        <v>4000</v>
      </c>
      <c r="B29" t="s">
        <v>724</v>
      </c>
      <c r="C29" s="179">
        <f>ROUND('DOE25'!L256+'DOE25'!L337+'DOE25'!L375+'DOE25'!L376+'DOE25'!L377+'DOE25'!L378+'DOE25'!L379+'DOE25'!L380+'DOE25'!L381,0)</f>
        <v>157499</v>
      </c>
    </row>
    <row r="30" spans="1:4" x14ac:dyDescent="0.2">
      <c r="B30" s="187" t="s">
        <v>725</v>
      </c>
      <c r="C30" s="180">
        <f>SUM(C28:C29)</f>
        <v>23903739.859999999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13840006</v>
      </c>
      <c r="D35" s="182">
        <f t="shared" ref="D35:D40" si="1">ROUND((C35/$C$41)*100,1)</f>
        <v>54.8</v>
      </c>
    </row>
    <row r="36" spans="1:4" x14ac:dyDescent="0.2">
      <c r="B36" s="185" t="s">
        <v>739</v>
      </c>
      <c r="C36" s="179">
        <f>SUM('DOE25'!F112:J112)-SUM('DOE25'!G97:G110)+('DOE25'!F175+'DOE25'!F176+'DOE25'!I175+'DOE25'!I176)-C35</f>
        <v>892926.81999999844</v>
      </c>
      <c r="D36" s="182">
        <f t="shared" si="1"/>
        <v>3.5</v>
      </c>
    </row>
    <row r="37" spans="1:4" x14ac:dyDescent="0.2">
      <c r="A37" s="183" t="s">
        <v>835</v>
      </c>
      <c r="B37" s="185" t="s">
        <v>728</v>
      </c>
      <c r="C37" s="179">
        <f>ROUND('DOE25'!F117+'DOE25'!F118,0)</f>
        <v>8202826</v>
      </c>
      <c r="D37" s="182">
        <f t="shared" si="1"/>
        <v>32.5</v>
      </c>
    </row>
    <row r="38" spans="1:4" x14ac:dyDescent="0.2">
      <c r="A38" s="183" t="s">
        <v>734</v>
      </c>
      <c r="B38" s="185" t="s">
        <v>729</v>
      </c>
      <c r="C38" s="179">
        <f>ROUND(SUM('DOE25'!F140:J140)-SUM('DOE25'!F117:F119),0)</f>
        <v>185887</v>
      </c>
      <c r="D38" s="182">
        <f t="shared" si="1"/>
        <v>0.7</v>
      </c>
    </row>
    <row r="39" spans="1:4" x14ac:dyDescent="0.2">
      <c r="A39">
        <v>4000</v>
      </c>
      <c r="B39" s="185" t="s">
        <v>730</v>
      </c>
      <c r="C39" s="179">
        <f>ROUND('DOE25'!F170+'DOE25'!G170+'DOE25'!H170+'DOE25'!I170,0)</f>
        <v>2147290</v>
      </c>
      <c r="D39" s="182">
        <f t="shared" si="1"/>
        <v>8.5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25268935.82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2" sqref="C22:M2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Shaker Regional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19</v>
      </c>
      <c r="B4" s="219">
        <v>1</v>
      </c>
      <c r="C4" s="375" t="s">
        <v>1678</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v>19</v>
      </c>
      <c r="B5" s="219">
        <v>1</v>
      </c>
      <c r="C5" s="375" t="s">
        <v>1676</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v>19</v>
      </c>
      <c r="B7" s="219">
        <v>8</v>
      </c>
      <c r="C7" s="375" t="s">
        <v>1679</v>
      </c>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v>19</v>
      </c>
      <c r="B8" s="219">
        <v>8</v>
      </c>
      <c r="C8" s="375" t="s">
        <v>1677</v>
      </c>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2021-12-14T19:47:58Z</dcterms:modified>
</cp:coreProperties>
</file>