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0" i="17" l="1"/>
  <c r="F524" i="1" l="1"/>
  <c r="F522" i="1"/>
  <c r="I522" i="1"/>
  <c r="G524" i="1"/>
  <c r="G523" i="1"/>
  <c r="F523" i="1"/>
  <c r="G522" i="1"/>
  <c r="F57" i="1" l="1"/>
  <c r="F469" i="1"/>
  <c r="F31" i="13" l="1"/>
  <c r="F16" i="13"/>
  <c r="F15" i="13"/>
  <c r="F14" i="13"/>
  <c r="D9" i="13"/>
  <c r="F6" i="13"/>
  <c r="H527" i="1" l="1"/>
  <c r="H522" i="1"/>
  <c r="C12" i="12"/>
  <c r="C10" i="12"/>
  <c r="C21" i="12"/>
  <c r="C20" i="12"/>
  <c r="C19" i="12"/>
  <c r="B19" i="12"/>
  <c r="B21" i="12"/>
  <c r="B12" i="12"/>
  <c r="B10" i="12"/>
  <c r="C11" i="12"/>
  <c r="B11" i="12"/>
  <c r="C39" i="12"/>
  <c r="B39" i="12"/>
  <c r="C29" i="12"/>
  <c r="C28" i="12"/>
  <c r="D5" i="14"/>
  <c r="D6" i="14"/>
  <c r="D25" i="14"/>
  <c r="E5" i="14"/>
  <c r="E25" i="14"/>
  <c r="E37" i="14"/>
  <c r="D37" i="14"/>
  <c r="E24" i="17"/>
  <c r="E26" i="17"/>
  <c r="G503" i="1"/>
  <c r="G502" i="1"/>
  <c r="J605" i="1" l="1"/>
  <c r="I605" i="1"/>
  <c r="H605" i="1"/>
  <c r="F216" i="1"/>
  <c r="G583" i="1"/>
  <c r="F583" i="1"/>
  <c r="H529" i="1"/>
  <c r="H528" i="1"/>
  <c r="F296" i="1" l="1"/>
  <c r="F286" i="1"/>
  <c r="G315" i="1"/>
  <c r="F315" i="1"/>
  <c r="G296" i="1"/>
  <c r="G277" i="1"/>
  <c r="F277" i="1"/>
  <c r="F234" i="1"/>
  <c r="G198" i="1"/>
  <c r="G199" i="1"/>
  <c r="G216" i="1"/>
  <c r="H234" i="1"/>
  <c r="G234" i="1"/>
  <c r="H216" i="1"/>
  <c r="H198" i="1"/>
  <c r="F198" i="1" l="1"/>
  <c r="J380" i="1"/>
  <c r="H380" i="1"/>
  <c r="H59" i="1"/>
  <c r="H162" i="1"/>
  <c r="H161" i="1"/>
  <c r="H159" i="1"/>
  <c r="H156" i="1"/>
  <c r="H155" i="1"/>
  <c r="H154" i="1"/>
  <c r="H145" i="1"/>
  <c r="G97" i="1"/>
  <c r="F368" i="1"/>
  <c r="I359" i="1"/>
  <c r="I419" i="1"/>
  <c r="H419"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C119" i="2"/>
  <c r="E124"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G655" i="1"/>
  <c r="H655" i="1"/>
  <c r="H656" i="1"/>
  <c r="J656" i="1" s="1"/>
  <c r="G62" i="2"/>
  <c r="E13" i="13" l="1"/>
  <c r="C13" i="13" s="1"/>
  <c r="J652" i="1"/>
  <c r="G553" i="1"/>
  <c r="J572" i="1"/>
  <c r="E131" i="2"/>
  <c r="E112" i="2"/>
  <c r="E111" i="2"/>
  <c r="E125" i="2"/>
  <c r="E123" i="2"/>
  <c r="E121" i="2"/>
  <c r="E120" i="2"/>
  <c r="E119" i="2"/>
  <c r="C13" i="10"/>
  <c r="E110" i="2"/>
  <c r="G339" i="1"/>
  <c r="G353" i="1" s="1"/>
  <c r="K339" i="1"/>
  <c r="K353" i="1" s="1"/>
  <c r="H663" i="1"/>
  <c r="D15" i="13"/>
  <c r="C15" i="13" s="1"/>
  <c r="D6" i="13"/>
  <c r="C6" i="13" s="1"/>
  <c r="C125" i="2"/>
  <c r="C12" i="10"/>
  <c r="C110" i="2"/>
  <c r="J258" i="1"/>
  <c r="J272" i="1" s="1"/>
  <c r="C121" i="2"/>
  <c r="C120" i="2"/>
  <c r="I170" i="1"/>
  <c r="G662" i="1"/>
  <c r="I409" i="1"/>
  <c r="H409" i="1"/>
  <c r="H645" i="1" s="1"/>
  <c r="F409" i="1"/>
  <c r="H644" i="1" s="1"/>
  <c r="G409" i="1"/>
  <c r="H646" i="1" s="1"/>
  <c r="J646" i="1" s="1"/>
  <c r="D50" i="2"/>
  <c r="H477" i="1"/>
  <c r="H62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L572" i="1"/>
  <c r="I663" i="1"/>
  <c r="E115" i="2"/>
  <c r="H649" i="1"/>
  <c r="J649" i="1" s="1"/>
  <c r="E128" i="2"/>
  <c r="F661" i="1"/>
  <c r="F665" i="1" s="1"/>
  <c r="F668" i="1" s="1"/>
  <c r="G24" i="14"/>
  <c r="H24" i="14" s="1"/>
  <c r="I24" i="14" s="1"/>
  <c r="H661" i="1"/>
  <c r="H665" i="1" s="1"/>
  <c r="H668" i="1" s="1"/>
  <c r="H194" i="1"/>
  <c r="G630" i="1" s="1"/>
  <c r="J630" i="1" s="1"/>
  <c r="C141" i="2"/>
  <c r="C144" i="2" s="1"/>
  <c r="C81" i="2"/>
  <c r="F194" i="1"/>
  <c r="G628" i="1" s="1"/>
  <c r="J628"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<sst xmlns="http://schemas.openxmlformats.org/spreadsheetml/2006/main" count="5579" uniqueCount="1677">
  <si>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</si>
  <si>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</si>
  <si>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</si>
  <si>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</si>
  <si>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</si>
  <si>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</si>
  <si>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</si>
  <si>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</si>
  <si>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</si>
  <si>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</si>
  <si>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</si>
  <si>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</si>
  <si>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</si>
  <si>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</si>
  <si>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</si>
  <si>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</si>
  <si>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</si>
  <si>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</si>
  <si>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</si>
  <si>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</si>
  <si>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</si>
  <si>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</si>
  <si>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</si>
  <si>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</si>
  <si>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</si>
  <si>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</si>
  <si>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</si>
  <si>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</si>
  <si>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</si>
  <si>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</si>
  <si>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</si>
  <si>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</si>
  <si>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</si>
  <si>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</si>
  <si>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</si>
  <si>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</si>
  <si>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</si>
  <si>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</si>
  <si>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</si>
  <si>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</si>
  <si>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</si>
  <si>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</si>
  <si>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</si>
  <si>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</si>
  <si>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</si>
  <si>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</si>
  <si>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</si>
  <si>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</si>
  <si>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</si>
  <si>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</si>
  <si>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</si>
  <si>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</si>
  <si>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</si>
  <si>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</si>
  <si>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</si>
  <si>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</si>
  <si>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</si>
  <si>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</si>
  <si>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</si>
  <si>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</si>
  <si>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</si>
  <si>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</si>
  <si>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</si>
  <si>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</si>
  <si>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</si>
  <si>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</si>
  <si>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</si>
  <si>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</si>
  <si>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</si>
  <si>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</si>
  <si>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</si>
  <si>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</si>
  <si>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</si>
  <si>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</si>
  <si>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</si>
  <si>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</si>
  <si>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</si>
  <si>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</si>
  <si>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</si>
  <si>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</si>
  <si>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</si>
  <si>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</si>
  <si>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</si>
  <si>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</si>
  <si>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</si>
  <si>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</si>
  <si>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</si>
  <si>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</si>
  <si>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</si>
  <si>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</si>
  <si>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</si>
  <si>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</si>
  <si>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</si>
  <si>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</si>
  <si>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</si>
  <si>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</si>
  <si>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</si>
  <si>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</si>
  <si>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</si>
  <si>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</si>
  <si>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</si>
  <si>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</si>
  <si>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</si>
  <si>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</si>
  <si>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</si>
  <si>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</si>
  <si>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</si>
  <si>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</si>
  <si>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</si>
  <si>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</si>
  <si>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</si>
  <si>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</si>
  <si>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</si>
  <si>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</si>
  <si>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</si>
  <si>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</si>
  <si>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</si>
  <si>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</si>
  <si>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</si>
  <si>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</si>
  <si>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</si>
  <si>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</si>
  <si>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</si>
  <si>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</si>
  <si>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</si>
  <si>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</si>
  <si>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</si>
  <si>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</si>
  <si>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</si>
  <si>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</si>
  <si>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</si>
  <si>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</si>
  <si>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</si>
  <si>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</si>
  <si>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</si>
  <si>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</si>
  <si>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</si>
  <si>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</si>
  <si>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</si>
  <si>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</si>
  <si>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</si>
  <si>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</si>
  <si>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</si>
  <si>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</si>
  <si>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</si>
  <si>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</si>
  <si>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</si>
  <si>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</si>
  <si>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</si>
  <si>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</si>
  <si>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</si>
  <si>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</si>
  <si>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</si>
  <si>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</si>
  <si>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</si>
  <si>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</si>
  <si>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</si>
  <si>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</si>
  <si>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</si>
  <si>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</si>
  <si>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</si>
  <si>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</si>
  <si>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</si>
  <si>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</si>
  <si>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</si>
  <si>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</si>
  <si>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</si>
  <si>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</si>
  <si>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</si>
  <si>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</si>
  <si>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</si>
  <si>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</si>
  <si>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</si>
  <si>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</si>
  <si>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</si>
  <si>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</si>
  <si>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</si>
  <si>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</si>
  <si>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</si>
  <si>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</si>
  <si>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</si>
  <si>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</si>
  <si>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</si>
  <si>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</si>
  <si>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</si>
  <si>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</si>
  <si>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</si>
  <si>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</si>
  <si>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</si>
  <si>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</si>
  <si>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</si>
  <si>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</si>
  <si>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</si>
  <si>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</si>
  <si>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</si>
  <si>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</si>
  <si>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</si>
  <si>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</si>
  <si>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</si>
  <si>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</si>
  <si>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</si>
  <si>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</si>
  <si>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</si>
  <si>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</si>
  <si>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</si>
  <si>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</si>
  <si>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</si>
  <si>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</si>
  <si>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</si>
  <si>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</si>
  <si>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</si>
  <si>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</si>
  <si>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</si>
  <si>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</si>
  <si>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</si>
  <si>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</si>
  <si>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</si>
  <si>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</si>
  <si>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</si>
  <si>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</si>
  <si>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</si>
  <si>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</si>
  <si>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</si>
  <si>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</si>
  <si>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</si>
  <si>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</si>
  <si>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</si>
  <si>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</si>
  <si>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</si>
  <si>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</si>
  <si>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</si>
  <si>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</si>
  <si>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</si>
  <si>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</si>
  <si>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</si>
  <si>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</si>
  <si>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</si>
  <si>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</si>
  <si>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</si>
  <si>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</si>
  <si>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</si>
  <si>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</si>
  <si>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</si>
  <si>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</si>
  <si>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</si>
  <si>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</si>
  <si>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</si>
  <si>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</si>
  <si>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</si>
  <si>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</si>
  <si>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</si>
  <si>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</si>
  <si>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</si>
  <si>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</si>
  <si>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</si>
  <si>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</si>
  <si>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</si>
  <si>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</si>
  <si>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</si>
  <si>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</si>
  <si>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</si>
  <si>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</si>
  <si>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</si>
  <si>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</si>
  <si>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</si>
  <si>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</si>
  <si>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</si>
  <si>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</si>
  <si>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</si>
  <si>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</si>
  <si>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</si>
  <si>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</si>
  <si>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</si>
  <si>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</si>
  <si>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</si>
  <si>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</si>
  <si>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</si>
  <si>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</si>
  <si>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</si>
  <si>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</si>
  <si>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</si>
  <si>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</si>
  <si>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</si>
  <si>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</si>
  <si>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</si>
  <si>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</si>
  <si>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</si>
  <si>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</si>
  <si>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</si>
  <si>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</si>
  <si>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</si>
  <si>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</si>
  <si>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</si>
  <si>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</si>
  <si>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</si>
  <si>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</si>
  <si>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</si>
  <si>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</si>
  <si>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</si>
  <si>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</si>
  <si>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</si>
  <si>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</si>
  <si>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</si>
  <si>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</si>
  <si>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</si>
  <si>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</si>
  <si>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</si>
  <si>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</si>
  <si>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</si>
  <si>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</si>
  <si>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</si>
  <si>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</si>
  <si>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</si>
  <si>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</si>
  <si>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</si>
  <si>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</si>
  <si>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</si>
  <si>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</si>
  <si>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</si>
  <si>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</si>
  <si>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</si>
  <si>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</si>
  <si>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</si>
  <si>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</si>
  <si>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</si>
  <si>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</si>
  <si>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</si>
  <si>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</si>
  <si>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</si>
  <si>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</si>
  <si>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</si>
  <si>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</si>
  <si>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</si>
  <si>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</si>
  <si>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</si>
  <si>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</si>
  <si>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</si>
  <si>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</si>
  <si>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</si>
  <si>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</si>
  <si>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</si>
  <si>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</si>
  <si>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</si>
  <si>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</si>
  <si>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</si>
  <si>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</si>
  <si>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</si>
  <si>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</si>
  <si>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</si>
  <si>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</si>
  <si>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</si>
  <si>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</si>
  <si>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</si>
  <si>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</si>
  <si>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</si>
  <si>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</si>
  <si>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</si>
  <si>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</si>
  <si>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</si>
  <si>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</si>
  <si>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</si>
  <si>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</si>
  <si>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</si>
  <si>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</si>
  <si>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</si>
  <si>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</si>
  <si>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</si>
  <si>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</si>
  <si>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</si>
  <si>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</si>
  <si>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</si>
  <si>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</si>
  <si>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</si>
  <si>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</si>
  <si>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</si>
  <si>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</si>
  <si>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</si>
  <si>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</si>
  <si>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</si>
  <si>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</si>
  <si>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</si>
  <si>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</si>
  <si>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</si>
  <si>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</si>
  <si>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</si>
  <si>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</si>
  <si>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</si>
  <si>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</si>
  <si>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</si>
  <si>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</si>
  <si>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</si>
  <si>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</si>
  <si>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</si>
  <si>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</si>
  <si>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</si>
  <si>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</si>
  <si>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</si>
  <si>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</si>
  <si>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</si>
  <si>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</si>
  <si>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</si>
  <si>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</si>
  <si>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</si>
  <si>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</si>
  <si>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</si>
  <si>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</si>
  <si>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</si>
  <si>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</si>
  <si>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</si>
  <si>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</si>
  <si>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</si>
  <si>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</si>
  <si>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</si>
  <si>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</si>
  <si>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</si>
  <si>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</si>
  <si>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</si>
  <si>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</si>
  <si>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</si>
  <si>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</si>
  <si>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</si>
  <si>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</si>
  <si>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</si>
  <si>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</si>
  <si>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</si>
  <si>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</si>
  <si>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</si>
  <si>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</si>
  <si>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</si>
  <si>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</si>
  <si>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</si>
  <si>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</si>
  <si>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</si>
  <si>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</si>
  <si>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</si>
  <si>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</si>
  <si>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</si>
  <si>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</si>
  <si>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</si>
  <si>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</si>
  <si>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</si>
  <si>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</si>
  <si>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</si>
  <si>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</si>
  <si>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</si>
  <si>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</si>
  <si>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</si>
  <si>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</si>
  <si>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</si>
  <si>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</si>
  <si>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</si>
  <si>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</si>
  <si>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</si>
  <si>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</si>
  <si>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</si>
  <si>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</si>
  <si>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</si>
  <si>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</si>
  <si>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</si>
  <si>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</si>
  <si>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</si>
  <si>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</si>
  <si>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</si>
  <si>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</si>
  <si>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</si>
  <si>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</si>
  <si>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</si>
  <si>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</si>
  <si>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</si>
  <si>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</si>
  <si>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</si>
  <si>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</si>
  <si>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</si>
  <si>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</si>
  <si>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</si>
  <si>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</si>
  <si>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</si>
  <si>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</si>
  <si>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</si>
  <si>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</si>
  <si>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</si>
  <si>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</si>
  <si>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</si>
  <si>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</si>
  <si>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</si>
  <si>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</si>
  <si>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</si>
  <si>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</si>
  <si>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</si>
  <si>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</si>
  <si>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</si>
  <si>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</si>
  <si>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</si>
  <si>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</si>
  <si>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</si>
  <si>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</si>
  <si>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</si>
  <si>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</si>
  <si>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</si>
  <si>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</si>
  <si>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</si>
  <si>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</si>
  <si>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</si>
  <si>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</si>
  <si>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</si>
  <si>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</si>
  <si>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</si>
  <si>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</si>
  <si>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</si>
  <si>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</si>
  <si>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</si>
  <si>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</si>
  <si>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</si>
  <si>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</si>
  <si>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</si>
  <si>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</si>
  <si>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</si>
  <si>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</si>
  <si>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</si>
  <si>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</si>
  <si>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</si>
  <si>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</si>
  <si>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</si>
  <si>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</si>
  <si>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</si>
  <si>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</si>
  <si>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</si>
  <si>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</si>
  <si>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</si>
  <si>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</si>
  <si>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</si>
  <si>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</si>
  <si>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</si>
  <si>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</si>
  <si>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</si>
  <si>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</si>
  <si>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</si>
  <si>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</si>
  <si>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</si>
  <si>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</si>
  <si>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</si>
  <si>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</si>
  <si>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</si>
  <si>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</si>
  <si>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</si>
  <si>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</si>
  <si>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</si>
  <si>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</si>
  <si>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</si>
  <si>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</si>
  <si>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</si>
  <si>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</si>
  <si>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</si>
  <si>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</si>
  <si>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</si>
  <si>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</si>
  <si>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</si>
  <si>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</si>
  <si>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</si>
  <si>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</si>
  <si>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</si>
  <si>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</si>
  <si>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</si>
  <si>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</si>
  <si>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</si>
  <si>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</si>
  <si>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</si>
  <si>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</si>
  <si>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</si>
  <si>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</si>
  <si>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</si>
  <si>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</si>
  <si>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</si>
  <si>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</si>
  <si>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</si>
  <si>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</si>
  <si>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</si>
  <si>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</si>
  <si>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</si>
  <si>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</si>
  <si>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</si>
  <si>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</si>
  <si>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</si>
  <si>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</si>
  <si>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</si>
  <si>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</si>
  <si>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</si>
  <si>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</si>
  <si>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</si>
  <si>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</si>
  <si>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</si>
  <si>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</si>
  <si>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</si>
  <si>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</si>
  <si>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</si>
  <si>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</si>
  <si>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</si>
  <si>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</si>
  <si>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</si>
  <si>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</si>
  <si>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</si>
  <si>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</si>
  <si>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</si>
  <si>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</si>
  <si>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</si>
  <si>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</si>
  <si>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</si>
  <si>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</si>
  <si>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</si>
  <si>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</si>
  <si>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</si>
  <si>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</si>
  <si>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</si>
  <si>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</si>
  <si>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</si>
  <si>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</si>
  <si>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</si>
  <si>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</si>
  <si>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</si>
  <si>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</si>
  <si>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</si>
  <si>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</si>
  <si>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</si>
  <si>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</si>
  <si>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</si>
  <si>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</si>
  <si>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</si>
  <si>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</si>
  <si>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</si>
  <si>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</si>
  <si>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</si>
  <si>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</si>
  <si>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</si>
  <si>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</si>
  <si>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</si>
  <si>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</si>
  <si>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</si>
  <si>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</si>
  <si>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</si>
  <si>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</si>
  <si>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</si>
  <si>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</si>
  <si>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</si>
  <si>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</si>
  <si>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</si>
  <si>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</si>
  <si>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</si>
  <si>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</si>
  <si>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</si>
  <si>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</si>
  <si>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</si>
  <si>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</si>
  <si>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</si>
  <si>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</si>
  <si>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</si>
  <si>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</si>
  <si>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</si>
  <si>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</si>
  <si>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</si>
  <si>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</si>
  <si>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</si>
  <si>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</si>
  <si>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</si>
  <si>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</si>
  <si>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</si>
  <si>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</si>
  <si>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</si>
  <si>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</si>
  <si>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</si>
  <si>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</si>
  <si>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</si>
  <si>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</si>
  <si>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</si>
  <si>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</si>
  <si>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</si>
  <si>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</si>
  <si>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</si>
  <si>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</si>
  <si>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</si>
  <si>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</si>
  <si>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</si>
  <si>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</si>
  <si>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</si>
  <si>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</si>
  <si>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</si>
  <si>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</si>
  <si>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</si>
  <si>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</si>
  <si>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</si>
  <si>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</si>
  <si>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</si>
  <si>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</si>
  <si>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</si>
  <si>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</si>
  <si>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</si>
  <si>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</si>
  <si>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</si>
  <si>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</si>
  <si>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</si>
  <si>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</si>
  <si>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</si>
  <si>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</si>
  <si>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</si>
  <si>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</si>
  <si>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</si>
  <si>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</si>
  <si>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</si>
  <si>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</si>
  <si>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</si>
  <si>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</si>
  <si>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</si>
  <si>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</si>
  <si>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</si>
  <si>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</si>
  <si>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</si>
  <si>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</si>
  <si>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</si>
  <si>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</si>
  <si>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</si>
  <si>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</si>
  <si>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</si>
  <si>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</si>
  <si>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</si>
  <si>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</si>
  <si>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</si>
  <si>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</si>
  <si>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</si>
  <si>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</si>
  <si>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</si>
  <si>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</si>
  <si>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</si>
  <si>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</si>
  <si>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</si>
  <si>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</si>
  <si>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</si>
  <si>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</si>
  <si>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</si>
  <si>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</si>
  <si>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</si>
  <si>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</si>
  <si>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</si>
  <si>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</si>
  <si>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</si>
  <si>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</si>
  <si>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</si>
  <si>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</si>
  <si>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</si>
  <si>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</si>
  <si>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</si>
  <si>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</si>
  <si>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</si>
  <si>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</si>
  <si>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</si>
  <si>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</si>
  <si>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</si>
  <si>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</si>
  <si>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</si>
  <si>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</si>
  <si>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</si>
  <si>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</si>
  <si>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</si>
  <si>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</si>
  <si>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</si>
  <si>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</si>
  <si>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</si>
  <si>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</si>
  <si>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</si>
  <si>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</si>
  <si>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</si>
  <si>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</si>
  <si>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</si>
  <si>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</si>
  <si>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</si>
  <si>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</si>
  <si>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</si>
  <si>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</si>
  <si>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</si>
  <si>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</si>
  <si>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</si>
  <si>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</si>
  <si>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</si>
  <si>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</si>
  <si>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</si>
  <si>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</si>
  <si>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</si>
  <si>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</si>
  <si>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</si>
  <si>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</si>
  <si>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</si>
  <si>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</si>
  <si>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</si>
  <si>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</si>
  <si>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</si>
  <si>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</si>
  <si>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</si>
  <si>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</si>
  <si>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</si>
  <si>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</si>
  <si>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</si>
  <si>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</si>
  <si>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</si>
  <si>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</si>
  <si>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</si>
  <si>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</si>
  <si>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</si>
  <si>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</si>
  <si>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</si>
  <si>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</si>
  <si>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</si>
  <si>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</si>
  <si>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</si>
  <si>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</si>
  <si>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</si>
  <si>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</si>
  <si>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</si>
  <si>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</si>
  <si>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</si>
  <si>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</si>
  <si>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</si>
  <si>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</si>
  <si>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</si>
  <si>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</si>
  <si>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</si>
  <si>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</si>
  <si>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</si>
  <si>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</si>
  <si>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</si>
  <si>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</si>
  <si>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</si>
  <si>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</si>
  <si>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</si>
  <si>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</si>
  <si>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</si>
  <si>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</si>
  <si>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</si>
  <si>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</si>
  <si>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</si>
  <si>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</si>
  <si>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</si>
  <si>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</si>
  <si>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</si>
  <si>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</si>
  <si>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</si>
  <si>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</si>
  <si>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</si>
  <si>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</si>
  <si>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</si>
  <si>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</si>
  <si>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</si>
  <si>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</si>
  <si>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</si>
  <si>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</si>
  <si>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</si>
  <si>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</si>
  <si>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</si>
  <si>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</si>
  <si>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</si>
  <si>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</si>
  <si>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</si>
  <si>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</si>
  <si>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</si>
  <si>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</si>
  <si>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</si>
  <si>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</si>
  <si>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</si>
  <si>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</si>
  <si>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</si>
  <si>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</si>
  <si>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</si>
  <si>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</si>
  <si>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</si>
  <si>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</si>
  <si>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</si>
  <si>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</si>
  <si>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</si>
  <si>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</si>
  <si>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</si>
  <si>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</si>
  <si>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</si>
  <si>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</si>
  <si>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</si>
  <si>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</si>
  <si>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</si>
  <si>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</si>
  <si>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</si>
  <si>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</si>
  <si>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</si>
  <si>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</si>
  <si>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</si>
  <si>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</si>
  <si>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</si>
  <si>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</si>
  <si>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</si>
  <si>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</si>
  <si>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</si>
  <si>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</si>
  <si>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</si>
  <si>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</si>
  <si>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</si>
  <si>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</si>
  <si>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</si>
  <si>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</si>
  <si>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</si>
  <si>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</si>
  <si>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</si>
  <si>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</si>
  <si>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</si>
  <si>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</si>
  <si>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</si>
  <si>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</si>
  <si>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</si>
  <si>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</si>
  <si>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</si>
  <si>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</si>
  <si>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</si>
  <si>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</si>
  <si>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</si>
  <si>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</si>
  <si>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</si>
  <si>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</si>
  <si>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</si>
  <si>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</si>
  <si>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</si>
  <si>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</si>
  <si>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</si>
  <si>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</si>
  <si>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</si>
  <si>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</si>
  <si>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</si>
  <si>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</si>
  <si>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</si>
  <si>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</si>
  <si>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</si>
  <si>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</si>
  <si>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</si>
  <si>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</si>
  <si>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</si>
  <si>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</si>
  <si>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</si>
  <si>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</si>
  <si>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</si>
  <si>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</si>
  <si>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</si>
  <si>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</si>
  <si>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</si>
  <si>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</si>
  <si>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</si>
  <si>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</si>
  <si>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</si>
  <si>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</si>
  <si>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</si>
  <si>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</si>
  <si>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</si>
  <si>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</si>
  <si>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</si>
  <si>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</si>
  <si>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</si>
  <si>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</si>
  <si>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</si>
  <si>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</si>
  <si>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</si>
  <si>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</si>
  <si>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</si>
  <si>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</si>
  <si>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</si>
  <si>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</si>
  <si>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</si>
  <si>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</si>
  <si>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</si>
  <si>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</si>
  <si>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</si>
  <si>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</si>
  <si>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</si>
  <si>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</si>
  <si>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</si>
  <si>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</si>
  <si>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</si>
  <si>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</si>
  <si>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</si>
  <si>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</si>
  <si>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</si>
  <si>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</si>
  <si>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</si>
  <si>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</si>
  <si>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</si>
  <si>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</si>
  <si>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</si>
  <si>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</si>
  <si>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</si>
  <si>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</si>
  <si>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</si>
  <si>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</si>
  <si>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</si>
  <si>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</si>
  <si>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</si>
  <si>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</si>
  <si>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</si>
  <si>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</si>
  <si>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</si>
  <si>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</si>
  <si>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</si>
  <si>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</si>
  <si>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</si>
  <si>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</si>
  <si>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</si>
  <si>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</si>
  <si>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</si>
  <si>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</si>
  <si>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</si>
  <si>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</si>
  <si>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</si>
  <si>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</si>
  <si>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</si>
  <si>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</si>
  <si>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</si>
  <si>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</si>
  <si>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</si>
  <si>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</si>
  <si>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</si>
  <si>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</si>
  <si>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</si>
  <si>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</si>
  <si>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</si>
  <si>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</si>
  <si>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</si>
  <si>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</si>
  <si>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</si>
  <si>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</si>
  <si>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</si>
  <si>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</si>
  <si>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</si>
  <si>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</si>
  <si>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</si>
  <si>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</si>
  <si>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</si>
  <si>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</si>
  <si>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</si>
  <si>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</si>
  <si>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</si>
  <si>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</si>
  <si>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</si>
  <si>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</si>
  <si>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</si>
  <si>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</si>
  <si>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</si>
  <si>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</si>
  <si>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</si>
  <si>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</si>
  <si>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</si>
  <si>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</si>
  <si>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</si>
  <si>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</si>
  <si>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</si>
  <si>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</si>
  <si>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</si>
  <si>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</si>
  <si>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</si>
  <si>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</si>
  <si>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</si>
  <si>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</si>
  <si>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</si>
  <si>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</si>
  <si>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</si>
  <si>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</si>
  <si>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</si>
  <si>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</si>
  <si>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</si>
  <si>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</si>
  <si>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</si>
  <si>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</si>
  <si>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</si>
  <si>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</si>
  <si>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</si>
  <si>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</si>
  <si>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</si>
  <si>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</si>
  <si>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</si>
  <si>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</si>
  <si>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</si>
  <si>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</si>
  <si>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</si>
  <si>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</si>
  <si>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</si>
  <si>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</si>
  <si>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</si>
  <si>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</si>
  <si>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</si>
  <si>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</si>
  <si>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</si>
  <si>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</si>
  <si>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</si>
  <si>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</si>
  <si>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</si>
  <si>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</si>
  <si>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</si>
  <si>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</si>
  <si>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</si>
  <si>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</si>
  <si>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</si>
  <si>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</si>
  <si>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</si>
  <si>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</si>
  <si>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</si>
  <si>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</si>
  <si>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</si>
  <si>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</si>
  <si>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</si>
  <si>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</si>
  <si>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</si>
  <si>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</si>
  <si>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</si>
  <si>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</si>
  <si>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</si>
  <si>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</si>
  <si>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</si>
  <si>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</si>
  <si>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</si>
  <si>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</si>
  <si>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</si>
  <si>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</si>
  <si>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</si>
  <si>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</si>
  <si>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</si>
  <si>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</si>
  <si>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</si>
  <si>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</si>
  <si>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</si>
  <si>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</si>
  <si>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</si>
  <si>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</si>
  <si>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</si>
  <si>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</si>
  <si>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</si>
  <si>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</si>
  <si>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</si>
  <si>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</si>
  <si>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</si>
  <si>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</si>
  <si>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</si>
  <si>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</si>
  <si>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</si>
  <si>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</si>
  <si>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</si>
  <si>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</si>
  <si>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</si>
  <si>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</si>
  <si>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</si>
  <si>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</si>
  <si>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</si>
  <si>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</si>
  <si>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</si>
  <si>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</si>
  <si>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</si>
  <si>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</si>
  <si>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</si>
  <si>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</si>
  <si>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</si>
  <si>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</si>
  <si>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</si>
  <si>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</si>
  <si>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</si>
  <si>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</si>
  <si>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</si>
  <si>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</si>
  <si>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</si>
  <si>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</si>
  <si>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</si>
  <si>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</si>
  <si>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</si>
  <si>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</si>
  <si>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</si>
  <si>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</si>
  <si>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</si>
  <si>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</si>
  <si>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</si>
  <si>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</si>
  <si>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</si>
  <si>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</si>
  <si>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</si>
  <si>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</si>
  <si>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</si>
  <si>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</si>
  <si>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</si>
  <si>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</si>
  <si>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</si>
  <si>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</si>
  <si>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</si>
  <si>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</si>
  <si>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</si>
  <si>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</si>
  <si>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</si>
  <si>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</si>
  <si>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</si>
  <si>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</si>
  <si>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</si>
  <si>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</si>
  <si>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</si>
  <si>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</si>
  <si>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</si>
  <si>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</si>
  <si>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</si>
  <si>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</si>
  <si>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</si>
  <si>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</si>
  <si>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</si>
  <si>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</si>
  <si>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</si>
  <si>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</si>
  <si>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</si>
  <si>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</si>
  <si>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</si>
  <si>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</si>
  <si>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</si>
  <si>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</si>
  <si>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</si>
  <si>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</si>
  <si>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</si>
  <si>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</si>
  <si>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</si>
  <si>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</si>
  <si>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</si>
  <si>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</si>
  <si>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</si>
  <si>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</si>
  <si>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</si>
  <si>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</si>
  <si>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</si>
  <si>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</si>
  <si>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</si>
  <si>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</si>
  <si>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</si>
  <si>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</si>
  <si>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</si>
  <si>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</si>
  <si>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</si>
  <si>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</si>
  <si>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</si>
  <si>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</si>
  <si>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</si>
  <si>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</si>
  <si>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</si>
  <si>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</si>
  <si>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</si>
  <si>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</si>
  <si>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</si>
  <si>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</si>
  <si>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</si>
  <si>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</si>
  <si>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</si>
  <si>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</si>
  <si>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</si>
  <si>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</si>
  <si>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</si>
  <si>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</si>
  <si>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</si>
  <si>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</si>
  <si>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</si>
  <si>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</si>
  <si>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</si>
  <si>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</si>
  <si>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</si>
  <si>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</si>
  <si>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</si>
  <si>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</si>
  <si>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</si>
  <si>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</si>
  <si>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</si>
  <si>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</si>
  <si>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</si>
  <si>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</si>
  <si>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</si>
  <si>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</si>
  <si>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</si>
  <si>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</si>
  <si>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</si>
  <si>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</si>
  <si>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</si>
  <si>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</si>
  <si>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</si>
  <si>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</si>
  <si>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</si>
  <si>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</si>
  <si>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</si>
  <si>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</si>
  <si>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</si>
  <si>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</si>
  <si>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</si>
  <si>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</si>
  <si>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</si>
  <si>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</si>
  <si>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</si>
  <si>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</si>
  <si>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</si>
  <si>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</si>
  <si>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</si>
  <si>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</si>
  <si>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</si>
  <si>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</si>
  <si>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</si>
  <si>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</si>
  <si>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</si>
  <si>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</si>
  <si>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</si>
  <si>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</si>
  <si>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</si>
  <si>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</si>
  <si>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</si>
  <si>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</si>
  <si>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</si>
  <si>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</si>
  <si>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</si>
  <si>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</si>
  <si>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</si>
  <si>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</si>
  <si>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</si>
  <si>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</si>
  <si>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</si>
  <si>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</si>
  <si>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</si>
  <si>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</si>
  <si>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</si>
  <si>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</si>
  <si>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</si>
  <si>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</si>
  <si>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</si>
  <si>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</si>
  <si>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</si>
  <si>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</si>
  <si>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</si>
  <si>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</si>
  <si>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</si>
  <si>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</si>
  <si>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</si>
  <si>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</si>
  <si>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</si>
  <si>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</si>
  <si>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</si>
  <si>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</si>
  <si>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</si>
  <si>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</si>
  <si>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</si>
  <si>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</si>
  <si>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</si>
  <si>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</si>
  <si>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</si>
  <si>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</si>
  <si>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</si>
  <si>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</si>
  <si>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</si>
  <si>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</si>
  <si>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</si>
  <si>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</si>
  <si>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</si>
  <si>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</si>
  <si>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</si>
  <si>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</si>
  <si>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</si>
  <si>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</si>
  <si>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</si>
  <si>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</si>
  <si>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</si>
  <si>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</si>
  <si>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</si>
  <si>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</si>
  <si>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</si>
  <si>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</si>
  <si>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</si>
  <si>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</si>
  <si>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</si>
  <si>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</si>
  <si>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</si>
  <si>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</si>
  <si>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</si>
  <si>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</si>
  <si>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</si>
  <si>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</si>
  <si>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</si>
  <si>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</si>
  <si>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</si>
  <si>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</si>
  <si>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</si>
  <si>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</si>
  <si>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</si>
  <si>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</si>
  <si>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</si>
  <si>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</si>
  <si>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</si>
  <si>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</si>
  <si>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</si>
  <si>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</si>
  <si>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</si>
  <si>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</si>
  <si>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</si>
  <si>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</si>
  <si>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</si>
  <si>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</si>
  <si>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</si>
  <si>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</si>
  <si>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</si>
  <si>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</si>
  <si>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</si>
  <si>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</si>
  <si>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</si>
  <si>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</si>
  <si>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</si>
  <si>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</si>
  <si>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</si>
  <si>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</si>
  <si>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</si>
  <si>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</si>
  <si>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</si>
  <si>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</si>
  <si>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</si>
  <si>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</si>
  <si>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</si>
  <si>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</si>
  <si>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</si>
  <si>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</si>
  <si>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</si>
  <si>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</si>
  <si>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</si>
  <si>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</si>
  <si>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</si>
  <si>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</si>
  <si>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</si>
  <si>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</si>
  <si>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</si>
  <si>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</si>
  <si>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</si>
  <si>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</si>
  <si>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</si>
  <si>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</si>
  <si>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</si>
  <si>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</si>
  <si>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</si>
  <si>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</si>
  <si>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</si>
  <si>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</si>
  <si>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</si>
  <si>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</si>
  <si>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</si>
  <si>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</si>
  <si>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</si>
  <si>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</si>
  <si>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</si>
  <si>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</si>
  <si>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</si>
  <si>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</si>
  <si>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</si>
  <si>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</si>
  <si>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</si>
  <si>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</si>
  <si>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</si>
  <si>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</si>
  <si>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</si>
  <si>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</si>
  <si>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</si>
  <si>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</si>
  <si>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</si>
  <si>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</si>
  <si>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</si>
  <si>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</si>
  <si>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</si>
  <si>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</si>
  <si>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</si>
  <si>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</si>
  <si>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</si>
  <si>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</si>
  <si>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</si>
  <si>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</si>
  <si>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</si>
  <si>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</si>
  <si>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</si>
  <si>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</si>
  <si>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</si>
  <si>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</si>
  <si>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</si>
  <si>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</si>
  <si>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</si>
  <si>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</si>
  <si>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</si>
  <si>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</si>
  <si>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</si>
  <si>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</si>
  <si>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</si>
  <si>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</si>
  <si>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</si>
  <si>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</si>
  <si>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</si>
  <si>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</si>
  <si>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</si>
  <si>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</si>
  <si>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</si>
  <si>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</si>
  <si>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</si>
  <si>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</si>
  <si>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</si>
  <si>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</si>
  <si>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</si>
  <si>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</si>
  <si>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</si>
  <si>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</si>
  <si>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</si>
  <si>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</si>
  <si>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</si>
  <si>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</si>
  <si>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</si>
  <si>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</si>
  <si>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</si>
  <si>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</si>
  <si>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</si>
  <si>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</si>
  <si>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</si>
  <si>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</si>
  <si>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</si>
  <si>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</si>
  <si>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</si>
  <si>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</si>
  <si>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</si>
  <si>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</si>
  <si>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</si>
  <si>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</si>
  <si>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</si>
  <si>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</si>
  <si>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</si>
  <si>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</si>
  <si>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</si>
  <si>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</si>
  <si>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</si>
  <si>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</si>
  <si>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</si>
  <si>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</si>
  <si>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</si>
  <si>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</si>
  <si>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</si>
  <si>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</si>
  <si>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</si>
  <si>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</si>
  <si>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</si>
  <si>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</si>
  <si>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</si>
  <si>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</si>
  <si>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</si>
  <si>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</si>
  <si>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</si>
  <si>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</si>
  <si>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</si>
  <si>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</si>
  <si>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</si>
  <si>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</si>
  <si>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</si>
  <si>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</si>
  <si>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</si>
  <si>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</si>
  <si>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</si>
  <si>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</si>
  <si>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</si>
  <si>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</si>
  <si>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</si>
  <si>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</si>
  <si>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</si>
  <si>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</si>
  <si>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</si>
  <si>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</si>
  <si>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</si>
  <si>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</si>
  <si>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</si>
  <si>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</si>
  <si>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</si>
  <si>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</si>
  <si>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</si>
  <si>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</si>
  <si>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</si>
  <si>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</si>
  <si>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</si>
  <si>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</si>
  <si>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</si>
  <si>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</si>
  <si>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</si>
  <si>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</si>
  <si>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</si>
  <si>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</si>
  <si>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</si>
  <si>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</si>
  <si>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</si>
  <si>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</si>
  <si>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</si>
  <si>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</si>
  <si>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</si>
  <si>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</si>
  <si>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</si>
  <si>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</si>
  <si>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</si>
  <si>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</si>
  <si>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</si>
  <si>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</si>
  <si>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</si>
  <si>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</si>
  <si>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</si>
  <si>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</si>
  <si>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</si>
  <si>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</si>
  <si>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</si>
  <si>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</si>
  <si>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</si>
  <si>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</si>
  <si>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</si>
  <si>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</si>
  <si>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</si>
  <si>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</si>
  <si>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</si>
  <si>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</si>
  <si>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</si>
  <si>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</si>
  <si>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</si>
  <si>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</si>
  <si>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</si>
  <si>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</si>
  <si>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</si>
  <si>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</si>
  <si>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</si>
  <si>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</si>
  <si>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</si>
  <si>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</si>
  <si>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</si>
  <si>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</si>
  <si>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</si>
  <si>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</si>
  <si>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</si>
  <si>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</si>
  <si>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</si>
  <si>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</si>
  <si>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</si>
  <si>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</si>
  <si>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</si>
  <si>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</si>
  <si>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</si>
  <si>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</si>
  <si>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</si>
  <si>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</si>
  <si>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</si>
  <si>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</si>
  <si>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</si>
  <si>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</si>
  <si>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</si>
  <si>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</si>
  <si>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</si>
  <si>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</si>
  <si>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</si>
  <si>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</si>
  <si>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</si>
  <si>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</si>
  <si>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</si>
  <si>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</si>
  <si>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</si>
  <si>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</si>
  <si>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</si>
  <si>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</si>
  <si>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</si>
  <si>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</si>
  <si>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</si>
  <si>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</si>
  <si>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</si>
  <si>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</si>
  <si>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</si>
  <si>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</si>
  <si>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</si>
  <si>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</si>
  <si>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</si>
  <si>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</si>
  <si>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</si>
  <si>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</si>
  <si>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01/10</t>
  </si>
  <si>
    <t>01/30</t>
  </si>
  <si>
    <t>08/13</t>
  </si>
  <si>
    <t>08/28</t>
  </si>
  <si>
    <t>Somersworth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</si>
</sst>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1676</v>
      </c>
      <c r="B2" s="21">
        <v>491</v>
      </c>
      <c r="C2" s="21">
        <v>491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419671</v>
      </c>
      <c r="G9" s="18">
        <v>0</v>
      </c>
      <c r="H9" s="18">
        <v>0</v>
      </c>
      <c r="I9" s="18">
        <v>2312856.4500000002</v>
      </c>
      <c r="J9" s="67">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0</v>
      </c>
      <c r="G12" s="18">
        <v>-63918.06</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0</v>
      </c>
      <c r="G13" s="18">
        <v>0</v>
      </c>
      <c r="H13" s="18">
        <v>0</v>
      </c>
      <c r="I13" s="18">
        <v>0</v>
      </c>
      <c r="J13" s="67">
        <f>SUM(I443)</f>
        <v>46703.26</v>
      </c>
      <c r="K13" s="24" t="s">
        <v>288</v>
      </c>
      <c r="L13" s="24" t="s">
        <v>288</v>
      </c>
      <c r="M13" s="8"/>
      <c r="N13" s="264"/>
    </row>
    <row r="14" spans="1:14" s="3" customFormat="1" ht="12.2" customHeight="1" x14ac:dyDescent="0.15">
      <c r="A14" s="1" t="s">
        <v>565</v>
      </c>
      <c r="B14" s="2" t="s">
        <v>289</v>
      </c>
      <c r="C14" s="6">
        <v>6</v>
      </c>
      <c r="D14" s="2" t="s">
        <v>428</v>
      </c>
      <c r="E14" s="6">
        <v>150</v>
      </c>
      <c r="F14" s="18">
        <v>379225.28</v>
      </c>
      <c r="G14" s="18">
        <v>163414.84</v>
      </c>
      <c r="H14" s="18">
        <v>580328.53</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798896.28</v>
      </c>
      <c r="G19" s="41">
        <f>SUM(G9:G18)</f>
        <v>99496.78</v>
      </c>
      <c r="H19" s="41">
        <f>SUM(H9:H18)</f>
        <v>580328.53</v>
      </c>
      <c r="I19" s="41">
        <f>SUM(I9:I18)</f>
        <v>2312856.4500000002</v>
      </c>
      <c r="J19" s="41">
        <f>SUM(J9:J18)</f>
        <v>46703.26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59368.06</v>
      </c>
      <c r="G22" s="18">
        <v>0</v>
      </c>
      <c r="H22" s="18">
        <v>438521.8</v>
      </c>
      <c r="I22" s="18">
        <v>2256639.91</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319857.21999999997</v>
      </c>
      <c r="G24" s="18">
        <v>4012.58</v>
      </c>
      <c r="H24" s="18">
        <v>42646.41</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21341.33</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379225.27999999997</v>
      </c>
      <c r="G32" s="41">
        <f>SUM(G22:G31)</f>
        <v>25353.910000000003</v>
      </c>
      <c r="H32" s="41">
        <f>SUM(H22:H31)</f>
        <v>481168.20999999996</v>
      </c>
      <c r="I32" s="41">
        <f>SUM(I22:I31)</f>
        <v>2256639.91</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74142.87</v>
      </c>
      <c r="H48" s="18">
        <v>99160.320000000007</v>
      </c>
      <c r="I48" s="18">
        <v>56216.54</v>
      </c>
      <c r="J48" s="13">
        <f>SUM(I460)</f>
        <v>46703.26</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419671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419671</v>
      </c>
      <c r="G51" s="41">
        <f>SUM(G35:G50)</f>
        <v>74142.87</v>
      </c>
      <c r="H51" s="41">
        <f>SUM(H35:H50)</f>
        <v>99160.320000000007</v>
      </c>
      <c r="I51" s="41">
        <f>SUM(I35:I50)</f>
        <v>56216.54</v>
      </c>
      <c r="J51" s="41">
        <f>SUM(J35:J50)</f>
        <v>46703.26</v>
      </c>
      <c r="K51" s="45" t="s">
        <v>288</v>
      </c>
      <c r="L51" s="45" t="s">
        <v>288</v>
      </c>
      <c r="N51" s="262"/>
    </row>
    <row r="52" spans="1:14" s="3" customFormat="1" ht="12.2" customHeight="1" thickTop="1" x14ac:dyDescent="0.15">
      <c r="A52" s="38" t="s">
        <v>455</v>
      </c>
      <c r="B52" s="39" t="s">
        <v>289</v>
      </c>
      <c r="C52" s="6">
        <v>37</v>
      </c>
      <c r="D52" s="39" t="s">
        <v>653</v>
      </c>
      <c r="E52" s="39"/>
      <c r="F52" s="41">
        <f>F51+F32</f>
        <v>798896.28</v>
      </c>
      <c r="G52" s="41">
        <f>G51+G32</f>
        <v>99496.78</v>
      </c>
      <c r="H52" s="41">
        <f>H51+H32</f>
        <v>580328.53</v>
      </c>
      <c r="I52" s="41">
        <f>I51+I32</f>
        <v>2312856.4500000002</v>
      </c>
      <c r="J52" s="41">
        <f>J51+J32</f>
        <v>46703.26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16961631.34+2123.14-F118+3796.8+419671</f>
        <v>15306614.280000001</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f>11600+500+6900+144.99+299.5+267+8640</f>
        <v>28351.49</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15306614.280000001</v>
      </c>
      <c r="G60" s="41">
        <f>SUM(G57:G59)</f>
        <v>0</v>
      </c>
      <c r="H60" s="41">
        <f>SUM(H57:H59)</f>
        <v>28351.49</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25526.92</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25526.92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0</v>
      </c>
      <c r="G96" s="18">
        <v>0</v>
      </c>
      <c r="H96" s="18">
        <v>0</v>
      </c>
      <c r="I96" s="18">
        <v>15.96</v>
      </c>
      <c r="J96" s="18">
        <v>0</v>
      </c>
      <c r="K96" s="24" t="s">
        <v>288</v>
      </c>
      <c r="L96" s="24" t="s">
        <v>288</v>
      </c>
      <c r="M96" s="8"/>
      <c r="N96" s="264"/>
    </row>
    <row r="97" spans="1:14" s="3" customFormat="1" ht="12.2" customHeight="1" x14ac:dyDescent="0.15">
      <c r="A97" s="1" t="s">
        <v>503</v>
      </c>
      <c r="B97" s="2" t="s">
        <v>315</v>
      </c>
      <c r="C97" s="6">
        <v>12</v>
      </c>
      <c r="D97" s="2" t="s">
        <v>430</v>
      </c>
      <c r="E97" s="6">
        <v>1600</v>
      </c>
      <c r="F97" s="24" t="s">
        <v>288</v>
      </c>
      <c r="G97" s="18">
        <f>1742.6</f>
        <v>1742.6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50042.02</v>
      </c>
      <c r="G110" s="18">
        <v>3427.2</v>
      </c>
      <c r="H110" s="18">
        <v>0</v>
      </c>
      <c r="I110" s="18">
        <v>0</v>
      </c>
      <c r="J110" s="18">
        <v>12628.5</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50042.02</v>
      </c>
      <c r="G111" s="41">
        <f>SUM(G96:G110)</f>
        <v>5169.7999999999993</v>
      </c>
      <c r="H111" s="41">
        <f>SUM(H96:H110)</f>
        <v>0</v>
      </c>
      <c r="I111" s="41">
        <f>SUM(I96:I110)</f>
        <v>15.96</v>
      </c>
      <c r="J111" s="41">
        <f>SUM(J96:J110)</f>
        <v>12628.5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15382183.220000001</v>
      </c>
      <c r="G112" s="41">
        <f>G60+G111</f>
        <v>5169.7999999999993</v>
      </c>
      <c r="H112" s="41">
        <f>H60+H79+H94+H111</f>
        <v>28351.49</v>
      </c>
      <c r="I112" s="41">
        <f>I60+I111</f>
        <v>15.96</v>
      </c>
      <c r="J112" s="41">
        <f>J60+J111</f>
        <v>12628.5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8643148.0800000001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2080608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4108.9399999999996</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10727865.02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1678790.39</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412246.74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69331.67</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2496.96</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7557.04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25916.240000000002</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2162865.7599999998</v>
      </c>
      <c r="G136" s="41">
        <f>SUM(G123:G135)</f>
        <v>33473.279999999999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12890730.779999999</v>
      </c>
      <c r="G140" s="41">
        <f>G121+SUM(G136:G137)</f>
        <v>33473.279999999999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f>710.55+356.05</f>
        <v>1066.5999999999999</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1066.5999999999999</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57234.64+552314.15</f>
        <v>609548.79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46763.36+16460.42+50926.86+167754.2+12745.46+3458.21+145+3957.21+16954.91</f>
        <v>319165.63000000006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3601.67+89775.35+879.3</f>
        <v>94256.320000000007</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454133.43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18484.99+408513.57+23216.96</f>
        <v>450215.52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67442.5</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f>297200+49402.94</f>
        <v>346602.94</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f>2084.85+312212.14</f>
        <v>314296.99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67442.5</v>
      </c>
      <c r="G163" s="41">
        <f>SUM(G150:G162)</f>
        <v>454133.43</v>
      </c>
      <c r="H163" s="41">
        <f>SUM(H150:H162)</f>
        <v>2134086.1900000004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67442.5</v>
      </c>
      <c r="G170" s="41">
        <f>G147+G163+SUM(G164:G169)</f>
        <v>454133.43</v>
      </c>
      <c r="H170" s="41">
        <f>H147+H163+SUM(H164:H169)</f>
        <v>2135152.7900000005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650000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650000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650000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28340356.5</v>
      </c>
      <c r="G194" s="47">
        <f>G112+G140+G170+G193</f>
        <v>492776.51</v>
      </c>
      <c r="H194" s="47">
        <f>H112+H140+H170+H193</f>
        <v>2163504.2800000007</v>
      </c>
      <c r="I194" s="47">
        <f>I112+I140+I170+I193</f>
        <v>650015.96</v>
      </c>
      <c r="J194" s="47">
        <f>J112+J140+J193</f>
        <v>12628.5</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2462898.59+48636.46</f>
        <v>2511535.0499999998</v>
      </c>
      <c r="G198" s="18">
        <f>1287988.93+139314.82</f>
        <v>1427303.75</v>
      </c>
      <c r="H198" s="18">
        <f>61878.27+324.49</f>
        <v>62202.759999999995</v>
      </c>
      <c r="I198" s="18">
        <v>55382.400000000001</v>
      </c>
      <c r="J198" s="18">
        <v>3443.47</v>
      </c>
      <c r="K198" s="18">
        <v>0</v>
      </c>
      <c r="L198" s="19">
        <f>SUM(F198:K198)</f>
        <v>4059867.4299999997</v>
      </c>
      <c r="M198" s="8"/>
      <c r="N198" s="264"/>
    </row>
    <row r="199" spans="1:14" s="3" customFormat="1" ht="12.2" customHeight="1" x14ac:dyDescent="0.15">
      <c r="A199" s="1" t="s">
        <v>439</v>
      </c>
      <c r="B199" s="2" t="s">
        <v>341</v>
      </c>
      <c r="C199" s="2" t="s">
        <v>291</v>
      </c>
      <c r="D199" s="2" t="s">
        <v>431</v>
      </c>
      <c r="E199" s="6">
        <v>1200</v>
      </c>
      <c r="F199" s="18">
        <v>1226992.94</v>
      </c>
      <c r="G199" s="18">
        <f>734556.41</f>
        <v>734556.41</v>
      </c>
      <c r="H199" s="18">
        <v>532016.06000000006</v>
      </c>
      <c r="I199" s="18">
        <v>4707.1499999999996</v>
      </c>
      <c r="J199" s="18">
        <v>0</v>
      </c>
      <c r="K199" s="18">
        <v>0</v>
      </c>
      <c r="L199" s="19">
        <f>SUM(F199:K199)</f>
        <v>2498272.56</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398680.05</v>
      </c>
      <c r="G203" s="18">
        <v>196527.96</v>
      </c>
      <c r="H203" s="18">
        <v>197999.39</v>
      </c>
      <c r="I203" s="18">
        <v>3691.37</v>
      </c>
      <c r="J203" s="18">
        <v>489.8</v>
      </c>
      <c r="K203" s="18">
        <v>4581.72</v>
      </c>
      <c r="L203" s="19">
        <f t="shared" ref="L203:L209" si="0">SUM(F203:K203)</f>
        <v>801970.29</v>
      </c>
      <c r="M203" s="8"/>
      <c r="N203" s="264"/>
    </row>
    <row r="204" spans="1:14" s="3" customFormat="1" ht="12.2" customHeight="1" x14ac:dyDescent="0.15">
      <c r="A204" s="1" t="s">
        <v>443</v>
      </c>
      <c r="B204" s="2" t="s">
        <v>341</v>
      </c>
      <c r="C204" s="2" t="s">
        <v>295</v>
      </c>
      <c r="D204" s="2" t="s">
        <v>431</v>
      </c>
      <c r="E204" s="6">
        <v>2200</v>
      </c>
      <c r="F204" s="18">
        <v>60515</v>
      </c>
      <c r="G204" s="18">
        <v>39418.629999999997</v>
      </c>
      <c r="H204" s="18">
        <v>21035.200000000001</v>
      </c>
      <c r="I204" s="18">
        <v>6011.02</v>
      </c>
      <c r="J204" s="18">
        <v>0</v>
      </c>
      <c r="K204" s="18">
        <v>0</v>
      </c>
      <c r="L204" s="19">
        <f t="shared" si="0"/>
        <v>126979.85</v>
      </c>
      <c r="M204" s="8"/>
      <c r="N204" s="264"/>
    </row>
    <row r="205" spans="1:14" s="3" customFormat="1" ht="12.2" customHeight="1" x14ac:dyDescent="0.15">
      <c r="A205" s="1" t="s">
        <v>444</v>
      </c>
      <c r="B205" s="2" t="s">
        <v>341</v>
      </c>
      <c r="C205" s="2" t="s">
        <v>296</v>
      </c>
      <c r="D205" s="2" t="s">
        <v>431</v>
      </c>
      <c r="E205" s="6">
        <v>2300</v>
      </c>
      <c r="F205" s="18">
        <v>673.64</v>
      </c>
      <c r="G205" s="18">
        <v>84.16</v>
      </c>
      <c r="H205" s="18">
        <v>492806.24</v>
      </c>
      <c r="I205" s="18">
        <v>1312.89</v>
      </c>
      <c r="J205" s="18">
        <v>0</v>
      </c>
      <c r="K205" s="18">
        <v>2552.58</v>
      </c>
      <c r="L205" s="19">
        <f t="shared" si="0"/>
        <v>497429.51</v>
      </c>
      <c r="M205" s="8"/>
      <c r="N205" s="264"/>
    </row>
    <row r="206" spans="1:14" s="3" customFormat="1" ht="12.2" customHeight="1" x14ac:dyDescent="0.15">
      <c r="A206" s="1" t="s">
        <v>445</v>
      </c>
      <c r="B206" s="2" t="s">
        <v>341</v>
      </c>
      <c r="C206" s="2" t="s">
        <v>297</v>
      </c>
      <c r="D206" s="2" t="s">
        <v>431</v>
      </c>
      <c r="E206" s="6">
        <v>2400</v>
      </c>
      <c r="F206" s="18">
        <v>473682.38</v>
      </c>
      <c r="G206" s="18">
        <v>228870.68</v>
      </c>
      <c r="H206" s="18">
        <v>5076.87</v>
      </c>
      <c r="I206" s="18">
        <v>2810.7</v>
      </c>
      <c r="J206" s="18">
        <v>0</v>
      </c>
      <c r="K206" s="18">
        <v>2905</v>
      </c>
      <c r="L206" s="19">
        <f t="shared" si="0"/>
        <v>713345.63</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339951.17</v>
      </c>
      <c r="G208" s="18">
        <v>147287.17000000001</v>
      </c>
      <c r="H208" s="18">
        <v>564589.77</v>
      </c>
      <c r="I208" s="18">
        <v>175479.43</v>
      </c>
      <c r="J208" s="18">
        <v>1791.83</v>
      </c>
      <c r="K208" s="18">
        <v>0</v>
      </c>
      <c r="L208" s="19">
        <f t="shared" si="0"/>
        <v>1229099.3699999999</v>
      </c>
      <c r="M208" s="8"/>
      <c r="N208" s="264"/>
    </row>
    <row r="209" spans="1:14" s="3" customFormat="1" ht="12.2" customHeight="1" x14ac:dyDescent="0.15">
      <c r="A209" s="1" t="s">
        <v>448</v>
      </c>
      <c r="B209" s="2" t="s">
        <v>341</v>
      </c>
      <c r="C209" s="2" t="s">
        <v>300</v>
      </c>
      <c r="D209" s="2" t="s">
        <v>431</v>
      </c>
      <c r="E209" s="6">
        <v>2700</v>
      </c>
      <c r="F209" s="18">
        <v>0</v>
      </c>
      <c r="G209" s="18">
        <v>0</v>
      </c>
      <c r="H209" s="18">
        <v>452646.54</v>
      </c>
      <c r="I209" s="18">
        <v>538.1</v>
      </c>
      <c r="J209" s="18">
        <v>0</v>
      </c>
      <c r="K209" s="18">
        <v>0</v>
      </c>
      <c r="L209" s="19">
        <f t="shared" si="0"/>
        <v>453184.63999999996</v>
      </c>
      <c r="M209" s="8"/>
      <c r="N209" s="264"/>
    </row>
    <row r="210" spans="1:14" s="3" customFormat="1" ht="12.2" customHeight="1" x14ac:dyDescent="0.15">
      <c r="A210" s="1" t="s">
        <v>449</v>
      </c>
      <c r="B210" s="2" t="s">
        <v>341</v>
      </c>
      <c r="C210" s="2" t="s">
        <v>343</v>
      </c>
      <c r="D210" s="2" t="s">
        <v>431</v>
      </c>
      <c r="E210" s="6">
        <v>2800</v>
      </c>
      <c r="F210" s="18">
        <v>0</v>
      </c>
      <c r="G210" s="18">
        <v>0</v>
      </c>
      <c r="H210" s="18">
        <v>96343.15</v>
      </c>
      <c r="I210" s="18">
        <v>37673.65</v>
      </c>
      <c r="J210" s="18">
        <v>72083.53</v>
      </c>
      <c r="K210" s="18">
        <v>0</v>
      </c>
      <c r="L210" s="19">
        <f>SUM(F210:K210)</f>
        <v>206100.33</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5012030.2299999986</v>
      </c>
      <c r="G212" s="41">
        <f t="shared" si="1"/>
        <v>2774048.7600000002</v>
      </c>
      <c r="H212" s="41">
        <f t="shared" si="1"/>
        <v>2424715.98</v>
      </c>
      <c r="I212" s="41">
        <f t="shared" si="1"/>
        <v>287606.71000000002</v>
      </c>
      <c r="J212" s="41">
        <f t="shared" si="1"/>
        <v>77808.63</v>
      </c>
      <c r="K212" s="41">
        <f t="shared" si="1"/>
        <v>10039.299999999999</v>
      </c>
      <c r="L212" s="41">
        <f t="shared" si="1"/>
        <v>10586249.609999999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1379133.41+26427.67-0.01</f>
        <v>1405561.0699999998</v>
      </c>
      <c r="G216" s="18">
        <f>637584.37+75699.71</f>
        <v>713284.08</v>
      </c>
      <c r="H216" s="18">
        <f>43128.45+176.32</f>
        <v>43304.77</v>
      </c>
      <c r="I216" s="18">
        <v>32563.07</v>
      </c>
      <c r="J216" s="18">
        <v>2296.8200000000002</v>
      </c>
      <c r="K216" s="18">
        <v>0</v>
      </c>
      <c r="L216" s="19">
        <f>SUM(F216:K216)</f>
        <v>2197009.8099999996</v>
      </c>
      <c r="M216" s="8"/>
      <c r="N216" s="264"/>
    </row>
    <row r="217" spans="1:14" s="3" customFormat="1" ht="12.2" customHeight="1" x14ac:dyDescent="0.15">
      <c r="A217" s="1" t="s">
        <v>439</v>
      </c>
      <c r="B217" s="2" t="s">
        <v>346</v>
      </c>
      <c r="C217" s="2" t="s">
        <v>291</v>
      </c>
      <c r="D217" s="2" t="s">
        <v>431</v>
      </c>
      <c r="E217" s="6">
        <v>1200</v>
      </c>
      <c r="F217" s="18">
        <v>556976.5</v>
      </c>
      <c r="G217" s="18">
        <v>390570.66</v>
      </c>
      <c r="H217" s="18">
        <v>339772.74</v>
      </c>
      <c r="I217" s="18">
        <v>511.09</v>
      </c>
      <c r="J217" s="18">
        <v>0</v>
      </c>
      <c r="K217" s="18">
        <v>0</v>
      </c>
      <c r="L217" s="19">
        <f>SUM(F217:K217)</f>
        <v>1287830.99</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25822</v>
      </c>
      <c r="G219" s="18">
        <v>5757.22</v>
      </c>
      <c r="H219" s="18">
        <v>966.5</v>
      </c>
      <c r="I219" s="18">
        <v>0</v>
      </c>
      <c r="J219" s="18">
        <v>792.5</v>
      </c>
      <c r="K219" s="18">
        <v>0</v>
      </c>
      <c r="L219" s="19">
        <f>SUM(F219:K219)</f>
        <v>33338.22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348491.43</v>
      </c>
      <c r="G221" s="18">
        <v>201010.79</v>
      </c>
      <c r="H221" s="18">
        <v>78486.149999999994</v>
      </c>
      <c r="I221" s="18">
        <v>2432.38</v>
      </c>
      <c r="J221" s="18">
        <v>0</v>
      </c>
      <c r="K221" s="18">
        <v>2876.58</v>
      </c>
      <c r="L221" s="19">
        <f t="shared" ref="L221:L227" si="2">SUM(F221:K221)</f>
        <v>633297.32999999996</v>
      </c>
      <c r="M221" s="8"/>
      <c r="N221" s="264"/>
    </row>
    <row r="222" spans="1:14" s="3" customFormat="1" ht="12.2" customHeight="1" x14ac:dyDescent="0.15">
      <c r="A222" s="1" t="s">
        <v>443</v>
      </c>
      <c r="B222" s="2" t="s">
        <v>346</v>
      </c>
      <c r="C222" s="2" t="s">
        <v>295</v>
      </c>
      <c r="D222" s="2" t="s">
        <v>431</v>
      </c>
      <c r="E222" s="6">
        <v>2200</v>
      </c>
      <c r="F222" s="18">
        <v>47663</v>
      </c>
      <c r="G222" s="18">
        <v>36151.83</v>
      </c>
      <c r="H222" s="18">
        <v>10099.35</v>
      </c>
      <c r="I222" s="18">
        <v>2412.5500000000002</v>
      </c>
      <c r="J222" s="18">
        <v>256.62</v>
      </c>
      <c r="K222" s="18">
        <v>0</v>
      </c>
      <c r="L222" s="19">
        <f t="shared" si="2"/>
        <v>96583.35</v>
      </c>
      <c r="M222" s="8"/>
      <c r="N222" s="264"/>
    </row>
    <row r="223" spans="1:14" s="3" customFormat="1" ht="12.2" customHeight="1" x14ac:dyDescent="0.15">
      <c r="A223" s="1" t="s">
        <v>444</v>
      </c>
      <c r="B223" s="2" t="s">
        <v>346</v>
      </c>
      <c r="C223" s="2" t="s">
        <v>296</v>
      </c>
      <c r="D223" s="2" t="s">
        <v>431</v>
      </c>
      <c r="E223" s="6">
        <v>2300</v>
      </c>
      <c r="F223" s="18">
        <v>366.03</v>
      </c>
      <c r="G223" s="18">
        <v>45.73</v>
      </c>
      <c r="H223" s="18">
        <v>267776.88</v>
      </c>
      <c r="I223" s="18">
        <v>713.39</v>
      </c>
      <c r="J223" s="18">
        <v>0</v>
      </c>
      <c r="K223" s="18">
        <v>1387</v>
      </c>
      <c r="L223" s="19">
        <f t="shared" si="2"/>
        <v>270289.03000000003</v>
      </c>
      <c r="M223" s="8"/>
      <c r="N223" s="264"/>
    </row>
    <row r="224" spans="1:14" s="3" customFormat="1" ht="12.2" customHeight="1" x14ac:dyDescent="0.15">
      <c r="A224" s="1" t="s">
        <v>445</v>
      </c>
      <c r="B224" s="2" t="s">
        <v>346</v>
      </c>
      <c r="C224" s="2" t="s">
        <v>297</v>
      </c>
      <c r="D224" s="2" t="s">
        <v>431</v>
      </c>
      <c r="E224" s="6">
        <v>2400</v>
      </c>
      <c r="F224" s="18">
        <v>266845.59000000003</v>
      </c>
      <c r="G224" s="18">
        <v>114537.39</v>
      </c>
      <c r="H224" s="18">
        <v>2453.3000000000002</v>
      </c>
      <c r="I224" s="18">
        <v>14510.34</v>
      </c>
      <c r="J224" s="18">
        <v>0</v>
      </c>
      <c r="K224" s="18">
        <v>1218.05</v>
      </c>
      <c r="L224" s="19">
        <f t="shared" si="2"/>
        <v>399564.67000000004</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173851.98</v>
      </c>
      <c r="G226" s="18">
        <v>81938.559999999998</v>
      </c>
      <c r="H226" s="18">
        <v>265764.68</v>
      </c>
      <c r="I226" s="18">
        <v>51444.37</v>
      </c>
      <c r="J226" s="18">
        <v>3813.45</v>
      </c>
      <c r="K226" s="18">
        <v>0</v>
      </c>
      <c r="L226" s="19">
        <f t="shared" si="2"/>
        <v>576813.03999999992</v>
      </c>
      <c r="M226" s="8"/>
      <c r="N226" s="264"/>
    </row>
    <row r="227" spans="1:14" s="3" customFormat="1" ht="12.2" customHeight="1" x14ac:dyDescent="0.15">
      <c r="A227" s="1" t="s">
        <v>448</v>
      </c>
      <c r="B227" s="2" t="s">
        <v>346</v>
      </c>
      <c r="C227" s="2" t="s">
        <v>300</v>
      </c>
      <c r="D227" s="2" t="s">
        <v>431</v>
      </c>
      <c r="E227" s="6">
        <v>2700</v>
      </c>
      <c r="F227" s="18">
        <v>0</v>
      </c>
      <c r="G227" s="18">
        <v>0</v>
      </c>
      <c r="H227" s="18">
        <v>245889.02</v>
      </c>
      <c r="I227" s="18">
        <v>292.39</v>
      </c>
      <c r="J227" s="18">
        <v>0</v>
      </c>
      <c r="K227" s="18">
        <v>0</v>
      </c>
      <c r="L227" s="19">
        <f t="shared" si="2"/>
        <v>246181.41</v>
      </c>
      <c r="M227" s="8"/>
      <c r="N227" s="264"/>
    </row>
    <row r="228" spans="1:14" s="3" customFormat="1" ht="12.2" customHeight="1" x14ac:dyDescent="0.15">
      <c r="A228" s="1" t="s">
        <v>449</v>
      </c>
      <c r="B228" s="2" t="s">
        <v>346</v>
      </c>
      <c r="C228" s="2" t="s">
        <v>343</v>
      </c>
      <c r="D228" s="2" t="s">
        <v>431</v>
      </c>
      <c r="E228" s="6">
        <v>2800</v>
      </c>
      <c r="F228" s="18">
        <v>0</v>
      </c>
      <c r="G228" s="18">
        <v>0</v>
      </c>
      <c r="H228" s="18">
        <v>52350.13</v>
      </c>
      <c r="I228" s="18">
        <v>20470.79</v>
      </c>
      <c r="J228" s="18">
        <v>39168.14</v>
      </c>
      <c r="K228" s="18">
        <v>0</v>
      </c>
      <c r="L228" s="19">
        <f>SUM(F228:K228)</f>
        <v>111989.06</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2825577.5999999996</v>
      </c>
      <c r="G230" s="41">
        <f>SUM(G216:G229)</f>
        <v>1543296.26</v>
      </c>
      <c r="H230" s="41">
        <f>SUM(H216:H229)</f>
        <v>1306863.52</v>
      </c>
      <c r="I230" s="41">
        <f>SUM(I216:I229)</f>
        <v>125350.37</v>
      </c>
      <c r="J230" s="41">
        <f>SUM(J216:J229)</f>
        <v>46327.53</v>
      </c>
      <c r="K230" s="41">
        <f t="shared" si="3"/>
        <v>5481.63</v>
      </c>
      <c r="L230" s="41">
        <f t="shared" si="3"/>
        <v>5852896.9100000001</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1347656.21+30964.95-0.01</f>
        <v>1378621.15</v>
      </c>
      <c r="G234" s="18">
        <f>648795.97+88696.34</f>
        <v>737492.30999999994</v>
      </c>
      <c r="H234" s="18">
        <f>71068.4+206.59</f>
        <v>71274.989999999991</v>
      </c>
      <c r="I234" s="18">
        <v>47777.61</v>
      </c>
      <c r="J234" s="18">
        <v>1119.31</v>
      </c>
      <c r="K234" s="18">
        <v>665</v>
      </c>
      <c r="L234" s="19">
        <f>SUM(F234:K234)</f>
        <v>2236950.37</v>
      </c>
      <c r="M234" s="8"/>
      <c r="N234" s="264"/>
    </row>
    <row r="235" spans="1:14" s="3" customFormat="1" ht="12.2" customHeight="1" x14ac:dyDescent="0.15">
      <c r="A235" s="1" t="s">
        <v>439</v>
      </c>
      <c r="B235" s="2" t="s">
        <v>350</v>
      </c>
      <c r="C235" s="2" t="s">
        <v>291</v>
      </c>
      <c r="D235" s="2" t="s">
        <v>431</v>
      </c>
      <c r="E235" s="6">
        <v>1200</v>
      </c>
      <c r="F235" s="18">
        <v>768769.16</v>
      </c>
      <c r="G235" s="18">
        <v>446899.72</v>
      </c>
      <c r="H235" s="18">
        <v>850410.24</v>
      </c>
      <c r="I235" s="18">
        <v>3553.44</v>
      </c>
      <c r="J235" s="18">
        <v>2660.5</v>
      </c>
      <c r="K235" s="18">
        <v>0</v>
      </c>
      <c r="L235" s="19">
        <f>SUM(F235:K235)</f>
        <v>2072293.0599999998</v>
      </c>
      <c r="M235" s="8"/>
      <c r="N235" s="264"/>
    </row>
    <row r="236" spans="1:14" s="3" customFormat="1" ht="12.2" customHeight="1" x14ac:dyDescent="0.15">
      <c r="A236" s="1" t="s">
        <v>440</v>
      </c>
      <c r="B236" s="2" t="s">
        <v>350</v>
      </c>
      <c r="C236" s="2" t="s">
        <v>292</v>
      </c>
      <c r="D236" s="2" t="s">
        <v>431</v>
      </c>
      <c r="E236" s="6">
        <v>1300</v>
      </c>
      <c r="F236" s="18">
        <v>463291.15</v>
      </c>
      <c r="G236" s="18">
        <v>239943.91</v>
      </c>
      <c r="H236" s="18">
        <v>33647.43</v>
      </c>
      <c r="I236" s="18">
        <v>42607.49</v>
      </c>
      <c r="J236" s="18">
        <v>6188.22</v>
      </c>
      <c r="K236" s="18">
        <v>0</v>
      </c>
      <c r="L236" s="19">
        <f>SUM(F236:K236)</f>
        <v>785678.20000000007</v>
      </c>
      <c r="M236" s="8"/>
      <c r="N236" s="264"/>
    </row>
    <row r="237" spans="1:14" s="3" customFormat="1" ht="12.2" customHeight="1" x14ac:dyDescent="0.15">
      <c r="A237" s="1" t="s">
        <v>441</v>
      </c>
      <c r="B237" s="2" t="s">
        <v>350</v>
      </c>
      <c r="C237" s="2" t="s">
        <v>293</v>
      </c>
      <c r="D237" s="2" t="s">
        <v>431</v>
      </c>
      <c r="E237" s="6">
        <v>1400</v>
      </c>
      <c r="F237" s="18">
        <v>117854.79</v>
      </c>
      <c r="G237" s="18">
        <v>21314.42</v>
      </c>
      <c r="H237" s="18">
        <v>5118</v>
      </c>
      <c r="I237" s="18">
        <v>780</v>
      </c>
      <c r="J237" s="18">
        <v>10501.16</v>
      </c>
      <c r="K237" s="18">
        <v>4245</v>
      </c>
      <c r="L237" s="19">
        <f>SUM(F237:K237)</f>
        <v>159813.37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206807.05</v>
      </c>
      <c r="G239" s="18">
        <v>135919.46</v>
      </c>
      <c r="H239" s="18">
        <v>93186.77</v>
      </c>
      <c r="I239" s="18">
        <v>1931.6</v>
      </c>
      <c r="J239" s="18">
        <v>0</v>
      </c>
      <c r="K239" s="18">
        <v>3275</v>
      </c>
      <c r="L239" s="19">
        <f t="shared" ref="L239:L245" si="4">SUM(F239:K239)</f>
        <v>441119.88</v>
      </c>
      <c r="M239" s="8"/>
      <c r="N239" s="264"/>
    </row>
    <row r="240" spans="1:14" s="3" customFormat="1" ht="12.2" customHeight="1" x14ac:dyDescent="0.15">
      <c r="A240" s="1" t="s">
        <v>443</v>
      </c>
      <c r="B240" s="2" t="s">
        <v>350</v>
      </c>
      <c r="C240" s="2" t="s">
        <v>295</v>
      </c>
      <c r="D240" s="2" t="s">
        <v>431</v>
      </c>
      <c r="E240" s="6">
        <v>2200</v>
      </c>
      <c r="F240" s="18">
        <v>69310.59</v>
      </c>
      <c r="G240" s="18">
        <v>54772.82</v>
      </c>
      <c r="H240" s="18">
        <v>26798.18</v>
      </c>
      <c r="I240" s="18">
        <v>9746.75</v>
      </c>
      <c r="J240" s="18">
        <v>1970.19</v>
      </c>
      <c r="K240" s="18">
        <v>0</v>
      </c>
      <c r="L240" s="19">
        <f t="shared" si="4"/>
        <v>162598.53</v>
      </c>
      <c r="M240" s="8"/>
      <c r="N240" s="264"/>
    </row>
    <row r="241" spans="1:14" s="3" customFormat="1" ht="12.2" customHeight="1" x14ac:dyDescent="0.15">
      <c r="A241" s="1" t="s">
        <v>444</v>
      </c>
      <c r="B241" s="2" t="s">
        <v>350</v>
      </c>
      <c r="C241" s="2" t="s">
        <v>296</v>
      </c>
      <c r="D241" s="2" t="s">
        <v>431</v>
      </c>
      <c r="E241" s="6">
        <v>2300</v>
      </c>
      <c r="F241" s="18">
        <v>428.88</v>
      </c>
      <c r="G241" s="18">
        <v>53.58</v>
      </c>
      <c r="H241" s="18">
        <v>313750.62</v>
      </c>
      <c r="I241" s="18">
        <v>835.87</v>
      </c>
      <c r="J241" s="18">
        <v>0</v>
      </c>
      <c r="K241" s="18">
        <v>1625.13</v>
      </c>
      <c r="L241" s="19">
        <f t="shared" si="4"/>
        <v>316694.08</v>
      </c>
      <c r="M241" s="8"/>
      <c r="N241" s="264"/>
    </row>
    <row r="242" spans="1:14" s="3" customFormat="1" ht="12.2" customHeight="1" x14ac:dyDescent="0.15">
      <c r="A242" s="1" t="s">
        <v>445</v>
      </c>
      <c r="B242" s="2" t="s">
        <v>350</v>
      </c>
      <c r="C242" s="2" t="s">
        <v>297</v>
      </c>
      <c r="D242" s="2" t="s">
        <v>431</v>
      </c>
      <c r="E242" s="6">
        <v>2400</v>
      </c>
      <c r="F242" s="18">
        <v>423179.8</v>
      </c>
      <c r="G242" s="18">
        <v>188505.2</v>
      </c>
      <c r="H242" s="18">
        <v>12297.7</v>
      </c>
      <c r="I242" s="18">
        <v>4492.88</v>
      </c>
      <c r="J242" s="18">
        <v>50.87</v>
      </c>
      <c r="K242" s="18">
        <v>6110</v>
      </c>
      <c r="L242" s="19">
        <f t="shared" si="4"/>
        <v>634636.44999999995</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261058.09</v>
      </c>
      <c r="G244" s="18">
        <v>117897.14</v>
      </c>
      <c r="H244" s="18">
        <v>662539.49</v>
      </c>
      <c r="I244" s="18">
        <v>229085.81</v>
      </c>
      <c r="J244" s="18">
        <v>533.38</v>
      </c>
      <c r="K244" s="18">
        <v>0</v>
      </c>
      <c r="L244" s="19">
        <f t="shared" si="4"/>
        <v>1271113.9099999999</v>
      </c>
      <c r="M244" s="8"/>
      <c r="N244" s="264"/>
    </row>
    <row r="245" spans="1:14" s="3" customFormat="1" ht="12.2" customHeight="1" x14ac:dyDescent="0.15">
      <c r="A245" s="1" t="s">
        <v>448</v>
      </c>
      <c r="B245" s="2" t="s">
        <v>350</v>
      </c>
      <c r="C245" s="2" t="s">
        <v>300</v>
      </c>
      <c r="D245" s="2" t="s">
        <v>431</v>
      </c>
      <c r="E245" s="6">
        <v>2700</v>
      </c>
      <c r="F245" s="18">
        <v>0</v>
      </c>
      <c r="G245" s="18">
        <v>0</v>
      </c>
      <c r="H245" s="18">
        <v>323641.45</v>
      </c>
      <c r="I245" s="18">
        <v>342.59</v>
      </c>
      <c r="J245" s="18">
        <v>0</v>
      </c>
      <c r="K245" s="18">
        <v>0</v>
      </c>
      <c r="L245" s="19">
        <f t="shared" si="4"/>
        <v>323984.04000000004</v>
      </c>
      <c r="M245" s="8"/>
      <c r="N245" s="264"/>
    </row>
    <row r="246" spans="1:14" s="3" customFormat="1" ht="12.2" customHeight="1" x14ac:dyDescent="0.15">
      <c r="A246" s="1" t="s">
        <v>449</v>
      </c>
      <c r="B246" s="2" t="s">
        <v>350</v>
      </c>
      <c r="C246" s="2" t="s">
        <v>343</v>
      </c>
      <c r="D246" s="2" t="s">
        <v>431</v>
      </c>
      <c r="E246" s="6">
        <v>2800</v>
      </c>
      <c r="F246" s="18">
        <v>0</v>
      </c>
      <c r="G246" s="18">
        <v>0</v>
      </c>
      <c r="H246" s="18">
        <v>61337.95</v>
      </c>
      <c r="I246" s="18">
        <v>23985.35</v>
      </c>
      <c r="J246" s="18">
        <v>45892.79</v>
      </c>
      <c r="K246" s="18">
        <v>0</v>
      </c>
      <c r="L246" s="19">
        <f>SUM(F246:K246)</f>
        <v>131216.09</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3689320.6599999992</v>
      </c>
      <c r="G248" s="41">
        <f t="shared" si="5"/>
        <v>1942798.5599999996</v>
      </c>
      <c r="H248" s="41">
        <f t="shared" si="5"/>
        <v>2454002.8200000003</v>
      </c>
      <c r="I248" s="41">
        <f t="shared" si="5"/>
        <v>365139.39</v>
      </c>
      <c r="J248" s="41">
        <f t="shared" si="5"/>
        <v>68916.42</v>
      </c>
      <c r="K248" s="41">
        <f t="shared" si="5"/>
        <v>15920.130000000001</v>
      </c>
      <c r="L248" s="41">
        <f t="shared" si="5"/>
        <v>8536097.9800000004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1120988.43</v>
      </c>
      <c r="I256" s="18">
        <v>0</v>
      </c>
      <c r="J256" s="18">
        <v>0</v>
      </c>
      <c r="K256" s="18">
        <v>0</v>
      </c>
      <c r="L256" s="19">
        <f t="shared" si="6"/>
        <v>1120988.43</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1120988.43</v>
      </c>
      <c r="I257" s="41">
        <f t="shared" si="7"/>
        <v>0</v>
      </c>
      <c r="J257" s="41">
        <f t="shared" si="7"/>
        <v>0</v>
      </c>
      <c r="K257" s="41">
        <f t="shared" si="7"/>
        <v>0</v>
      </c>
      <c r="L257" s="41">
        <f>SUM(F257:K257)</f>
        <v>1120988.43</v>
      </c>
      <c r="M257" s="8"/>
      <c r="N257" s="264"/>
    </row>
    <row r="258" spans="1:14" s="3" customFormat="1" ht="12.2" customHeight="1" thickTop="1" x14ac:dyDescent="0.15">
      <c r="A258" s="38" t="s">
        <v>462</v>
      </c>
      <c r="B258" s="40">
        <v>10</v>
      </c>
      <c r="C258" s="40">
        <v>8</v>
      </c>
      <c r="D258" s="39" t="s">
        <v>431</v>
      </c>
      <c r="E258" s="40"/>
      <c r="F258" s="41">
        <f t="shared" ref="F258:L258" si="8">F212+F230+F248+F257</f>
        <v>11526928.489999998</v>
      </c>
      <c r="G258" s="41">
        <f t="shared" si="8"/>
        <v>6260143.5800000001</v>
      </c>
      <c r="H258" s="41">
        <f t="shared" si="8"/>
        <v>7306570.75</v>
      </c>
      <c r="I258" s="41">
        <f t="shared" si="8"/>
        <v>778096.47</v>
      </c>
      <c r="J258" s="41">
        <f t="shared" si="8"/>
        <v>193052.58000000002</v>
      </c>
      <c r="K258" s="41">
        <f t="shared" si="8"/>
        <v>31441.06</v>
      </c>
      <c r="L258" s="41">
        <f t="shared" si="8"/>
        <v>26096232.93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1186621.77</v>
      </c>
      <c r="L261" s="19">
        <f>SUM(F261:K261)</f>
        <v>1186621.77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637830.80000000005</v>
      </c>
      <c r="L262" s="19">
        <f>SUM(F262:K262)</f>
        <v>637830.80000000005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1824452.57</v>
      </c>
      <c r="L271" s="41">
        <f t="shared" si="9"/>
        <v>1824452.57</v>
      </c>
      <c r="M271" s="8"/>
      <c r="N271" s="264"/>
    </row>
    <row r="272" spans="1:14" s="34" customFormat="1" ht="12.2" customHeight="1" thickTop="1" x14ac:dyDescent="0.2">
      <c r="A272" s="43" t="s">
        <v>464</v>
      </c>
      <c r="B272" s="40">
        <v>10</v>
      </c>
      <c r="C272" s="40">
        <v>18</v>
      </c>
      <c r="D272" s="39" t="s">
        <v>431</v>
      </c>
      <c r="E272" s="40"/>
      <c r="F272" s="42">
        <f t="shared" ref="F272:L272" si="11">F258+F271</f>
        <v>11526928.489999998</v>
      </c>
      <c r="G272" s="42">
        <f t="shared" si="11"/>
        <v>6260143.5800000001</v>
      </c>
      <c r="H272" s="42">
        <f t="shared" si="11"/>
        <v>7306570.75</v>
      </c>
      <c r="I272" s="42">
        <f t="shared" si="11"/>
        <v>778096.47</v>
      </c>
      <c r="J272" s="42">
        <f t="shared" si="11"/>
        <v>193052.58000000002</v>
      </c>
      <c r="K272" s="42">
        <f t="shared" si="11"/>
        <v>1855893.6300000001</v>
      </c>
      <c r="L272" s="42">
        <f t="shared" si="11"/>
        <v>27920685.5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184586.93+151.72</f>
        <v>184738.65</v>
      </c>
      <c r="G277" s="18">
        <f>118528.62+11.61</f>
        <v>118540.23</v>
      </c>
      <c r="H277" s="18">
        <v>9534.99</v>
      </c>
      <c r="I277" s="18">
        <v>36982.629999999997</v>
      </c>
      <c r="J277" s="18">
        <v>62697.78</v>
      </c>
      <c r="K277" s="18">
        <v>0</v>
      </c>
      <c r="L277" s="19">
        <f>SUM(F277:K277)</f>
        <v>412494.28</v>
      </c>
      <c r="M277" s="8"/>
      <c r="N277" s="264"/>
    </row>
    <row r="278" spans="1:14" s="3" customFormat="1" ht="12.2" customHeight="1" x14ac:dyDescent="0.15">
      <c r="A278" s="1" t="s">
        <v>439</v>
      </c>
      <c r="B278" s="2" t="s">
        <v>357</v>
      </c>
      <c r="C278" s="2" t="s">
        <v>291</v>
      </c>
      <c r="D278" s="2" t="s">
        <v>431</v>
      </c>
      <c r="E278" s="6">
        <v>1200</v>
      </c>
      <c r="F278" s="18">
        <v>174108.47</v>
      </c>
      <c r="G278" s="18">
        <v>32361.15</v>
      </c>
      <c r="H278" s="18">
        <v>3918.78</v>
      </c>
      <c r="I278" s="18">
        <v>3235.04</v>
      </c>
      <c r="J278" s="18">
        <v>0</v>
      </c>
      <c r="K278" s="18">
        <v>0</v>
      </c>
      <c r="L278" s="19">
        <f>SUM(F278:K278)</f>
        <v>213623.44</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80529.100000000006</v>
      </c>
      <c r="G280" s="18">
        <v>22614.13</v>
      </c>
      <c r="H280" s="18">
        <v>122.26</v>
      </c>
      <c r="I280" s="18">
        <v>19644.650000000001</v>
      </c>
      <c r="J280" s="18">
        <v>23332.04</v>
      </c>
      <c r="K280" s="18">
        <v>0</v>
      </c>
      <c r="L280" s="19">
        <f>SUM(F280:K280)</f>
        <v>146242.18000000002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23748.07</v>
      </c>
      <c r="G282" s="18">
        <v>11668.15</v>
      </c>
      <c r="H282" s="18">
        <v>185465.8</v>
      </c>
      <c r="I282" s="18">
        <v>-56.53</v>
      </c>
      <c r="J282" s="18">
        <v>1198.07</v>
      </c>
      <c r="K282" s="18">
        <v>0</v>
      </c>
      <c r="L282" s="19">
        <f t="shared" ref="L282:L288" si="12">SUM(F282:K282)</f>
        <v>222023.56</v>
      </c>
      <c r="M282" s="8"/>
      <c r="N282" s="264"/>
    </row>
    <row r="283" spans="1:14" s="3" customFormat="1" ht="12.2" customHeight="1" x14ac:dyDescent="0.15">
      <c r="A283" s="1" t="s">
        <v>443</v>
      </c>
      <c r="B283" s="2" t="s">
        <v>357</v>
      </c>
      <c r="C283" s="2" t="s">
        <v>295</v>
      </c>
      <c r="D283" s="2" t="s">
        <v>431</v>
      </c>
      <c r="E283" s="6">
        <v>2200</v>
      </c>
      <c r="F283" s="18">
        <v>24793.21</v>
      </c>
      <c r="G283" s="18">
        <v>6024.11</v>
      </c>
      <c r="H283" s="18">
        <v>53113.58</v>
      </c>
      <c r="I283" s="18">
        <v>1151.3599999999999</v>
      </c>
      <c r="J283" s="18">
        <v>410.54</v>
      </c>
      <c r="K283" s="18">
        <v>0</v>
      </c>
      <c r="L283" s="19">
        <f t="shared" si="12"/>
        <v>85492.799999999988</v>
      </c>
      <c r="M283" s="8"/>
      <c r="N283" s="264"/>
    </row>
    <row r="284" spans="1:14" s="3" customFormat="1" ht="12.2" customHeight="1" x14ac:dyDescent="0.15">
      <c r="A284" s="1" t="s">
        <v>444</v>
      </c>
      <c r="B284" s="2" t="s">
        <v>357</v>
      </c>
      <c r="C284" s="2" t="s">
        <v>296</v>
      </c>
      <c r="D284" s="2" t="s">
        <v>431</v>
      </c>
      <c r="E284" s="6">
        <v>2300</v>
      </c>
      <c r="F284" s="18">
        <v>271.77999999999997</v>
      </c>
      <c r="G284" s="18">
        <v>48.69</v>
      </c>
      <c r="H284" s="18">
        <v>67.48</v>
      </c>
      <c r="I284" s="18">
        <v>0</v>
      </c>
      <c r="J284" s="18">
        <v>0</v>
      </c>
      <c r="K284" s="18">
        <v>0</v>
      </c>
      <c r="L284" s="19">
        <f t="shared" si="12"/>
        <v>387.95</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f>34479.71+10925.38</f>
        <v>45405.09</v>
      </c>
      <c r="G286" s="18">
        <v>2637.78</v>
      </c>
      <c r="H286" s="18">
        <v>349.75</v>
      </c>
      <c r="I286" s="18">
        <v>203.72</v>
      </c>
      <c r="J286" s="18">
        <v>0</v>
      </c>
      <c r="K286" s="18">
        <v>11895.44</v>
      </c>
      <c r="L286" s="19">
        <f t="shared" si="12"/>
        <v>60491.78</v>
      </c>
      <c r="M286" s="8"/>
      <c r="N286" s="264"/>
    </row>
    <row r="287" spans="1:14" s="3" customFormat="1" ht="12.2" customHeight="1" x14ac:dyDescent="0.15">
      <c r="A287" s="1" t="s">
        <v>447</v>
      </c>
      <c r="B287" s="2" t="s">
        <v>357</v>
      </c>
      <c r="C287" s="2" t="s">
        <v>299</v>
      </c>
      <c r="D287" s="2" t="s">
        <v>431</v>
      </c>
      <c r="E287" s="6">
        <v>2600</v>
      </c>
      <c r="F287" s="18">
        <v>0</v>
      </c>
      <c r="G287" s="18">
        <v>0</v>
      </c>
      <c r="H287" s="18">
        <v>87555.6</v>
      </c>
      <c r="I287" s="18">
        <v>132359.43</v>
      </c>
      <c r="J287" s="18">
        <v>0</v>
      </c>
      <c r="K287" s="18">
        <v>0</v>
      </c>
      <c r="L287" s="19">
        <f t="shared" si="12"/>
        <v>219915.03</v>
      </c>
      <c r="M287" s="8"/>
      <c r="N287" s="264"/>
    </row>
    <row r="288" spans="1:14" s="3" customFormat="1" ht="12.2" customHeight="1" x14ac:dyDescent="0.15">
      <c r="A288" s="1" t="s">
        <v>448</v>
      </c>
      <c r="B288" s="2" t="s">
        <v>357</v>
      </c>
      <c r="C288" s="2" t="s">
        <v>300</v>
      </c>
      <c r="D288" s="2" t="s">
        <v>431</v>
      </c>
      <c r="E288" s="6">
        <v>2700</v>
      </c>
      <c r="F288" s="18">
        <v>0</v>
      </c>
      <c r="G288" s="18">
        <v>0</v>
      </c>
      <c r="H288" s="18">
        <v>1016.09</v>
      </c>
      <c r="I288" s="18">
        <v>0</v>
      </c>
      <c r="J288" s="18">
        <v>0</v>
      </c>
      <c r="K288" s="18">
        <v>0</v>
      </c>
      <c r="L288" s="19">
        <f t="shared" si="12"/>
        <v>1016.09</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533594.37</v>
      </c>
      <c r="G291" s="42">
        <f t="shared" si="13"/>
        <v>193894.24</v>
      </c>
      <c r="H291" s="42">
        <f t="shared" si="13"/>
        <v>341144.33</v>
      </c>
      <c r="I291" s="42">
        <f t="shared" si="13"/>
        <v>193520.3</v>
      </c>
      <c r="J291" s="42">
        <f t="shared" si="13"/>
        <v>87638.430000000008</v>
      </c>
      <c r="K291" s="42">
        <f t="shared" si="13"/>
        <v>11895.44</v>
      </c>
      <c r="L291" s="41">
        <f t="shared" si="13"/>
        <v>1361687.11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100299.28+82.44-0.01</f>
        <v>100381.71</v>
      </c>
      <c r="G296" s="18">
        <f>64405.08+6.31</f>
        <v>64411.39</v>
      </c>
      <c r="H296" s="18">
        <v>486.31</v>
      </c>
      <c r="I296" s="18">
        <v>19394.810000000001</v>
      </c>
      <c r="J296" s="18">
        <v>34068.19</v>
      </c>
      <c r="K296" s="18">
        <v>0</v>
      </c>
      <c r="L296" s="19">
        <f>SUM(F296:K296)</f>
        <v>218742.41</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43757.22</v>
      </c>
      <c r="G299" s="18">
        <v>12287.87</v>
      </c>
      <c r="H299" s="18">
        <v>66.44</v>
      </c>
      <c r="I299" s="18">
        <v>10674.34</v>
      </c>
      <c r="J299" s="18">
        <v>12677.96</v>
      </c>
      <c r="K299" s="18">
        <v>0</v>
      </c>
      <c r="L299" s="19">
        <f>SUM(F299:K299)</f>
        <v>79463.830000000016</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-30.71</v>
      </c>
      <c r="J301" s="18">
        <v>651</v>
      </c>
      <c r="K301" s="18">
        <v>0</v>
      </c>
      <c r="L301" s="19">
        <f t="shared" ref="L301:L307" si="14">SUM(F301:K301)</f>
        <v>620.29</v>
      </c>
      <c r="M301" s="8"/>
      <c r="N301" s="264"/>
    </row>
    <row r="302" spans="1:14" s="3" customFormat="1" ht="12.2" customHeight="1" x14ac:dyDescent="0.15">
      <c r="A302" s="1" t="s">
        <v>443</v>
      </c>
      <c r="B302" s="2" t="s">
        <v>358</v>
      </c>
      <c r="C302" s="2" t="s">
        <v>295</v>
      </c>
      <c r="D302" s="2" t="s">
        <v>431</v>
      </c>
      <c r="E302" s="6">
        <v>2200</v>
      </c>
      <c r="F302" s="18">
        <v>13471.92</v>
      </c>
      <c r="G302" s="18">
        <v>3273.33</v>
      </c>
      <c r="H302" s="18">
        <v>20185.48</v>
      </c>
      <c r="I302" s="18">
        <v>625.62</v>
      </c>
      <c r="J302" s="18">
        <v>223.08</v>
      </c>
      <c r="K302" s="18">
        <v>0</v>
      </c>
      <c r="L302" s="19">
        <f t="shared" si="14"/>
        <v>37779.43</v>
      </c>
      <c r="M302" s="8"/>
      <c r="N302" s="264"/>
    </row>
    <row r="303" spans="1:14" s="3" customFormat="1" ht="12.2" customHeight="1" x14ac:dyDescent="0.15">
      <c r="A303" s="1" t="s">
        <v>444</v>
      </c>
      <c r="B303" s="2" t="s">
        <v>358</v>
      </c>
      <c r="C303" s="2" t="s">
        <v>296</v>
      </c>
      <c r="D303" s="2" t="s">
        <v>431</v>
      </c>
      <c r="E303" s="6">
        <v>2300</v>
      </c>
      <c r="F303" s="18">
        <v>147.68</v>
      </c>
      <c r="G303" s="18">
        <v>26.46</v>
      </c>
      <c r="H303" s="18">
        <v>36.659999999999997</v>
      </c>
      <c r="I303" s="18">
        <v>0</v>
      </c>
      <c r="J303" s="18">
        <v>0</v>
      </c>
      <c r="K303" s="18">
        <v>0</v>
      </c>
      <c r="L303" s="19">
        <f t="shared" si="14"/>
        <v>210.8</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18735.29</v>
      </c>
      <c r="G305" s="18">
        <v>1433.3</v>
      </c>
      <c r="H305" s="18">
        <v>190.05</v>
      </c>
      <c r="I305" s="18">
        <v>110.7</v>
      </c>
      <c r="J305" s="18">
        <v>0</v>
      </c>
      <c r="K305" s="18">
        <v>6391.97</v>
      </c>
      <c r="L305" s="19">
        <f t="shared" si="14"/>
        <v>26861.31</v>
      </c>
      <c r="M305" s="8"/>
      <c r="N305" s="264"/>
    </row>
    <row r="306" spans="1:14" s="3" customFormat="1" ht="12.2" customHeight="1" x14ac:dyDescent="0.15">
      <c r="A306" s="1" t="s">
        <v>447</v>
      </c>
      <c r="B306" s="2" t="s">
        <v>358</v>
      </c>
      <c r="C306" s="2" t="s">
        <v>299</v>
      </c>
      <c r="D306" s="2" t="s">
        <v>431</v>
      </c>
      <c r="E306" s="6">
        <v>2600</v>
      </c>
      <c r="F306" s="18">
        <v>0</v>
      </c>
      <c r="G306" s="18">
        <v>0</v>
      </c>
      <c r="H306" s="18">
        <v>47575.22</v>
      </c>
      <c r="I306" s="18">
        <v>71920.34</v>
      </c>
      <c r="J306" s="18">
        <v>0</v>
      </c>
      <c r="K306" s="18">
        <v>0</v>
      </c>
      <c r="L306" s="19">
        <f t="shared" si="14"/>
        <v>119495.56</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552.12</v>
      </c>
      <c r="J307" s="18">
        <v>0</v>
      </c>
      <c r="K307" s="18">
        <v>0</v>
      </c>
      <c r="L307" s="19">
        <f t="shared" si="14"/>
        <v>552.12</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176493.82</v>
      </c>
      <c r="G310" s="42">
        <f t="shared" si="15"/>
        <v>81432.350000000006</v>
      </c>
      <c r="H310" s="42">
        <f t="shared" si="15"/>
        <v>68540.160000000003</v>
      </c>
      <c r="I310" s="42">
        <f t="shared" si="15"/>
        <v>103247.22</v>
      </c>
      <c r="J310" s="42">
        <f t="shared" si="15"/>
        <v>47620.23</v>
      </c>
      <c r="K310" s="42">
        <f t="shared" si="15"/>
        <v>6391.97</v>
      </c>
      <c r="L310" s="41">
        <f t="shared" si="15"/>
        <v>483725.74999999994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2290.33+96.59</f>
        <v>2386.92</v>
      </c>
      <c r="G315" s="18">
        <f>539.02+7.39</f>
        <v>546.41</v>
      </c>
      <c r="H315" s="18">
        <v>175.23</v>
      </c>
      <c r="I315" s="18">
        <v>9008.6200000000008</v>
      </c>
      <c r="J315" s="18">
        <v>46798.49</v>
      </c>
      <c r="K315" s="18">
        <v>0</v>
      </c>
      <c r="L315" s="19">
        <f>SUM(F315:K315)</f>
        <v>58915.67</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29645.69</v>
      </c>
      <c r="J317" s="18">
        <v>51507.99</v>
      </c>
      <c r="K317" s="18">
        <v>5803.7</v>
      </c>
      <c r="L317" s="19">
        <f>SUM(F317:K317)</f>
        <v>86957.37999999999</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-35.99</v>
      </c>
      <c r="J320" s="18">
        <v>762.76</v>
      </c>
      <c r="K320" s="18">
        <v>0</v>
      </c>
      <c r="L320" s="19">
        <f t="shared" ref="L320:L326" si="16">SUM(F320:K320)</f>
        <v>726.77</v>
      </c>
      <c r="M320" s="8"/>
      <c r="N320" s="264"/>
    </row>
    <row r="321" spans="1:14" s="3" customFormat="1" ht="12.2" customHeight="1" x14ac:dyDescent="0.15">
      <c r="A321" s="1" t="s">
        <v>443</v>
      </c>
      <c r="B321" s="2" t="s">
        <v>359</v>
      </c>
      <c r="C321" s="2" t="s">
        <v>295</v>
      </c>
      <c r="D321" s="2" t="s">
        <v>431</v>
      </c>
      <c r="E321" s="6">
        <v>2200</v>
      </c>
      <c r="F321" s="18">
        <v>15784.87</v>
      </c>
      <c r="G321" s="18">
        <v>3835.32</v>
      </c>
      <c r="H321" s="18">
        <v>21841.57</v>
      </c>
      <c r="I321" s="18">
        <v>299.82</v>
      </c>
      <c r="J321" s="18">
        <v>261.38</v>
      </c>
      <c r="K321" s="18">
        <v>1150</v>
      </c>
      <c r="L321" s="19">
        <f t="shared" si="16"/>
        <v>43172.959999999999</v>
      </c>
      <c r="M321" s="8"/>
      <c r="N321" s="264"/>
    </row>
    <row r="322" spans="1:14" s="3" customFormat="1" ht="12.2" customHeight="1" x14ac:dyDescent="0.15">
      <c r="A322" s="1" t="s">
        <v>444</v>
      </c>
      <c r="B322" s="2" t="s">
        <v>359</v>
      </c>
      <c r="C322" s="2" t="s">
        <v>296</v>
      </c>
      <c r="D322" s="2" t="s">
        <v>431</v>
      </c>
      <c r="E322" s="6">
        <v>2300</v>
      </c>
      <c r="F322" s="18">
        <v>173.03</v>
      </c>
      <c r="G322" s="18">
        <v>31</v>
      </c>
      <c r="H322" s="18">
        <v>42.96</v>
      </c>
      <c r="I322" s="18">
        <v>0</v>
      </c>
      <c r="J322" s="18">
        <v>0</v>
      </c>
      <c r="K322" s="18">
        <v>0</v>
      </c>
      <c r="L322" s="19">
        <f t="shared" si="16"/>
        <v>246.99</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3148.94</v>
      </c>
      <c r="I324" s="18">
        <v>0</v>
      </c>
      <c r="J324" s="18">
        <v>0</v>
      </c>
      <c r="K324" s="18">
        <v>1219.46</v>
      </c>
      <c r="L324" s="19">
        <f t="shared" si="16"/>
        <v>4368.3999999999996</v>
      </c>
      <c r="M324" s="8"/>
      <c r="N324" s="264"/>
    </row>
    <row r="325" spans="1:14" s="3" customFormat="1" ht="12.2" customHeight="1" x14ac:dyDescent="0.15">
      <c r="A325" s="1" t="s">
        <v>447</v>
      </c>
      <c r="B325" s="2" t="s">
        <v>359</v>
      </c>
      <c r="C325" s="2" t="s">
        <v>299</v>
      </c>
      <c r="D325" s="2" t="s">
        <v>431</v>
      </c>
      <c r="E325" s="6">
        <v>2600</v>
      </c>
      <c r="F325" s="18">
        <v>0</v>
      </c>
      <c r="G325" s="18">
        <v>0</v>
      </c>
      <c r="H325" s="18">
        <v>55743.26</v>
      </c>
      <c r="I325" s="18">
        <v>84268.11</v>
      </c>
      <c r="J325" s="18">
        <v>0</v>
      </c>
      <c r="K325" s="18">
        <v>0</v>
      </c>
      <c r="L325" s="19">
        <f t="shared" si="16"/>
        <v>140011.37</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18344.82</v>
      </c>
      <c r="G329" s="42">
        <f t="shared" si="17"/>
        <v>4412.7300000000005</v>
      </c>
      <c r="H329" s="42">
        <f t="shared" si="17"/>
        <v>80951.959999999992</v>
      </c>
      <c r="I329" s="42">
        <f t="shared" si="17"/>
        <v>123186.25</v>
      </c>
      <c r="J329" s="42">
        <f t="shared" si="17"/>
        <v>99330.62</v>
      </c>
      <c r="K329" s="42">
        <f t="shared" si="17"/>
        <v>8173.16</v>
      </c>
      <c r="L329" s="41">
        <f t="shared" si="17"/>
        <v>334399.53999999992</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7508.96</v>
      </c>
      <c r="I333" s="18">
        <v>0</v>
      </c>
      <c r="J333" s="18">
        <v>0</v>
      </c>
      <c r="K333" s="18">
        <v>0</v>
      </c>
      <c r="L333" s="19">
        <f t="shared" ref="L333:L338" si="18">SUM(F333:K333)</f>
        <v>7508.96</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7508.96</v>
      </c>
      <c r="I338" s="41">
        <f t="shared" si="19"/>
        <v>0</v>
      </c>
      <c r="J338" s="41">
        <f t="shared" si="19"/>
        <v>0</v>
      </c>
      <c r="K338" s="41">
        <f t="shared" si="19"/>
        <v>0</v>
      </c>
      <c r="L338" s="41">
        <f t="shared" si="18"/>
        <v>7508.96</v>
      </c>
      <c r="M338" s="8"/>
      <c r="N338" s="264"/>
    </row>
    <row r="339" spans="1:43" s="3" customFormat="1" ht="12.2" customHeight="1" thickTop="1" x14ac:dyDescent="0.15">
      <c r="A339" s="38" t="s">
        <v>468</v>
      </c>
      <c r="B339" s="40">
        <v>14</v>
      </c>
      <c r="C339" s="40">
        <v>7</v>
      </c>
      <c r="D339" s="39" t="s">
        <v>431</v>
      </c>
      <c r="E339" s="40"/>
      <c r="F339" s="41">
        <f t="shared" ref="F339:L339" si="20">F291+F310+F329+F338</f>
        <v>728433.00999999989</v>
      </c>
      <c r="G339" s="41">
        <f t="shared" si="20"/>
        <v>279739.31999999995</v>
      </c>
      <c r="H339" s="41">
        <f t="shared" si="20"/>
        <v>498145.41</v>
      </c>
      <c r="I339" s="41">
        <f t="shared" si="20"/>
        <v>419953.77</v>
      </c>
      <c r="J339" s="41">
        <f t="shared" si="20"/>
        <v>234589.28</v>
      </c>
      <c r="K339" s="41">
        <f t="shared" si="20"/>
        <v>26460.57</v>
      </c>
      <c r="L339" s="41">
        <f t="shared" si="20"/>
        <v>2187321.36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728433.00999999989</v>
      </c>
      <c r="G353" s="41">
        <f>G339</f>
        <v>279739.31999999995</v>
      </c>
      <c r="H353" s="41">
        <f>H339</f>
        <v>498145.41</v>
      </c>
      <c r="I353" s="41">
        <f>I339</f>
        <v>419953.77</v>
      </c>
      <c r="J353" s="41">
        <f>J339</f>
        <v>234589.28</v>
      </c>
      <c r="K353" s="47">
        <f>K339+K352</f>
        <v>26460.57</v>
      </c>
      <c r="L353" s="41">
        <f>L339+L352</f>
        <v>2187321.36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459164</v>
      </c>
      <c r="I359" s="18">
        <f>6458.62+19457.62-472.6</f>
        <v>25443.64</v>
      </c>
      <c r="J359" s="18">
        <v>2335</v>
      </c>
      <c r="K359" s="18">
        <v>0</v>
      </c>
      <c r="L359" s="13">
        <f>SUM(F359:K359)</f>
        <v>486942.64</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459164</v>
      </c>
      <c r="I363" s="47">
        <f t="shared" si="22"/>
        <v>25443.64</v>
      </c>
      <c r="J363" s="47">
        <f t="shared" si="22"/>
        <v>2335</v>
      </c>
      <c r="K363" s="47">
        <f t="shared" si="22"/>
        <v>0</v>
      </c>
      <c r="L363" s="47">
        <f t="shared" si="22"/>
        <v>486942.64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6458.62+19457.62-472.6</f>
        <v>25443.64</v>
      </c>
      <c r="G368" s="18">
        <v>0</v>
      </c>
      <c r="H368" s="18">
        <v>0</v>
      </c>
      <c r="I368" s="56">
        <f>SUM(F368:H368)</f>
        <v>25443.64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0</v>
      </c>
      <c r="G369" s="63">
        <v>0</v>
      </c>
      <c r="H369" s="63">
        <v>0</v>
      </c>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25443.64</v>
      </c>
      <c r="G370" s="47">
        <f>SUM(G368:G369)</f>
        <v>0</v>
      </c>
      <c r="H370" s="47">
        <f>SUM(H368:H369)</f>
        <v>0</v>
      </c>
      <c r="I370" s="47">
        <f>SUM(I368:I369)</f>
        <v>25443.64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f>15464.83+3344.09-3072.85+451641.12+7762.45+17709</f>
        <v>492848.64000000001</v>
      </c>
      <c r="I380" s="18">
        <v>0</v>
      </c>
      <c r="J380" s="18">
        <f>3320.4</f>
        <v>3320.4</v>
      </c>
      <c r="K380" s="18">
        <v>0</v>
      </c>
      <c r="L380" s="13">
        <f t="shared" si="23"/>
        <v>496169.04000000004</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25003.94</v>
      </c>
      <c r="L382" s="13">
        <f t="shared" si="23"/>
        <v>25003.94</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492848.64000000001</v>
      </c>
      <c r="I383" s="41">
        <f t="shared" si="24"/>
        <v>0</v>
      </c>
      <c r="J383" s="47">
        <f t="shared" si="24"/>
        <v>3320.4</v>
      </c>
      <c r="K383" s="47">
        <f t="shared" si="24"/>
        <v>25003.94</v>
      </c>
      <c r="L383" s="47">
        <f t="shared" si="24"/>
        <v>521172.98000000004</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0</v>
      </c>
      <c r="H401" s="18">
        <v>0</v>
      </c>
      <c r="I401" s="18">
        <v>12628.5</v>
      </c>
      <c r="J401" s="24" t="s">
        <v>288</v>
      </c>
      <c r="K401" s="24" t="s">
        <v>288</v>
      </c>
      <c r="L401" s="56">
        <f t="shared" si="26"/>
        <v>12628.5</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12628.5</v>
      </c>
      <c r="J402" s="45" t="s">
        <v>288</v>
      </c>
      <c r="K402" s="45" t="s">
        <v>288</v>
      </c>
      <c r="L402" s="47">
        <f>SUM(L396:L401)</f>
        <v>12628.5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12628.5</v>
      </c>
      <c r="J409" s="24" t="s">
        <v>288</v>
      </c>
      <c r="K409" s="24" t="s">
        <v>288</v>
      </c>
      <c r="L409" s="47">
        <f>L394+L402+L408</f>
        <v>12628.5</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f>146+1248+1394+1562+548+788+292+2148+1624</f>
        <v>9750</v>
      </c>
      <c r="I419" s="18">
        <f>5978.23+2290.16</f>
        <v>8268.39</v>
      </c>
      <c r="J419" s="18">
        <v>0</v>
      </c>
      <c r="K419" s="18">
        <v>0</v>
      </c>
      <c r="L419" s="56">
        <f t="shared" si="27"/>
        <v>18018.39</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9750</v>
      </c>
      <c r="I420" s="139">
        <f t="shared" si="28"/>
        <v>8268.39</v>
      </c>
      <c r="J420" s="139">
        <f t="shared" si="28"/>
        <v>0</v>
      </c>
      <c r="K420" s="139">
        <f t="shared" si="28"/>
        <v>0</v>
      </c>
      <c r="L420" s="47">
        <f t="shared" si="28"/>
        <v>18018.39</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9750</v>
      </c>
      <c r="I435" s="47">
        <f t="shared" si="32"/>
        <v>8268.39</v>
      </c>
      <c r="J435" s="47">
        <f t="shared" si="32"/>
        <v>0</v>
      </c>
      <c r="K435" s="47">
        <f t="shared" si="32"/>
        <v>0</v>
      </c>
      <c r="L435" s="47">
        <f t="shared" si="32"/>
        <v>18018.39</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0</v>
      </c>
      <c r="H443" s="18">
        <v>46703.26</v>
      </c>
      <c r="I443" s="56">
        <f t="shared" si="33"/>
        <v>46703.26</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0</v>
      </c>
      <c r="H447" s="13">
        <f>SUM(H440:H446)</f>
        <v>46703.26</v>
      </c>
      <c r="I447" s="13">
        <f>SUM(I440:I446)</f>
        <v>46703.26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v>0</v>
      </c>
      <c r="H460" s="18">
        <v>46703.26</v>
      </c>
      <c r="I460" s="56">
        <f t="shared" si="34"/>
        <v>46703.26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46703.26</v>
      </c>
      <c r="I461" s="83">
        <f>SUM(I455:I460)</f>
        <v>46703.26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0</v>
      </c>
      <c r="H462" s="42">
        <f>H453+H461</f>
        <v>46703.26</v>
      </c>
      <c r="I462" s="42">
        <f>I453+I461</f>
        <v>46703.26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0</v>
      </c>
      <c r="G466" s="18">
        <v>68309</v>
      </c>
      <c r="H466" s="18">
        <v>122977.4</v>
      </c>
      <c r="I466" s="18">
        <v>-72626.44</v>
      </c>
      <c r="J466" s="18">
        <v>52093.15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27914765.56+2123.14+3796.8+419671</f>
        <v>28340356.5</v>
      </c>
      <c r="G469" s="18">
        <v>492776.51</v>
      </c>
      <c r="H469" s="18">
        <v>2163504.2799999998</v>
      </c>
      <c r="I469" s="18">
        <v>650015.96</v>
      </c>
      <c r="J469" s="18">
        <v>12628.5</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3"/>
    </row>
    <row r="471" spans="1:14" s="52" customFormat="1" ht="12.2" customHeight="1" x14ac:dyDescent="0.2">
      <c r="A471" s="92" t="s">
        <v>425</v>
      </c>
      <c r="B471" s="75">
        <v>19</v>
      </c>
      <c r="C471" s="80">
        <v>4</v>
      </c>
      <c r="D471" s="2" t="s">
        <v>432</v>
      </c>
      <c r="E471" s="80"/>
      <c r="F471" s="53">
        <f>SUM(F469:F470)</f>
        <v>28340356.5</v>
      </c>
      <c r="G471" s="53">
        <f>SUM(G469:G470)</f>
        <v>492776.51</v>
      </c>
      <c r="H471" s="53">
        <f>SUM(H469:H470)</f>
        <v>2163504.2799999998</v>
      </c>
      <c r="I471" s="53">
        <f>SUM(I469:I470)</f>
        <v>650015.96</v>
      </c>
      <c r="J471" s="53">
        <f>SUM(J469:J470)</f>
        <v>12628.5</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27920685.5</v>
      </c>
      <c r="G473" s="18">
        <v>486942.64</v>
      </c>
      <c r="H473" s="18">
        <v>2187321.36</v>
      </c>
      <c r="I473" s="18">
        <v>521172.98</v>
      </c>
      <c r="J473" s="18">
        <v>18018.39</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3"/>
    </row>
    <row r="475" spans="1:14" s="52" customFormat="1" ht="12.2" customHeight="1" x14ac:dyDescent="0.2">
      <c r="A475" s="92" t="s">
        <v>426</v>
      </c>
      <c r="B475" s="75">
        <v>19</v>
      </c>
      <c r="C475" s="80">
        <v>7</v>
      </c>
      <c r="D475" s="2" t="s">
        <v>432</v>
      </c>
      <c r="E475" s="80"/>
      <c r="F475" s="53">
        <f>SUM(F473:F474)</f>
        <v>27920685.5</v>
      </c>
      <c r="G475" s="53">
        <f>SUM(G473:G474)</f>
        <v>486942.64</v>
      </c>
      <c r="H475" s="53">
        <f>SUM(H473:H474)</f>
        <v>2187321.36</v>
      </c>
      <c r="I475" s="53">
        <f>SUM(I473:I474)</f>
        <v>521172.98</v>
      </c>
      <c r="J475" s="53">
        <f>SUM(J473:J474)</f>
        <v>18018.39</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419671</v>
      </c>
      <c r="G477" s="53">
        <f>(G466+G471)- G475</f>
        <v>74142.87</v>
      </c>
      <c r="H477" s="53">
        <f>(H466+H471)- H475</f>
        <v>99160.319999999832</v>
      </c>
      <c r="I477" s="53">
        <f>(I466+I471)- I475</f>
        <v>56216.540000000037</v>
      </c>
      <c r="J477" s="53">
        <f>(J466+J471)- J475</f>
        <v>46703.26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v>15</v>
      </c>
      <c r="I491" s="154"/>
      <c r="J491" s="154">
        <v>15</v>
      </c>
      <c r="K491" s="24" t="s">
        <v>288</v>
      </c>
      <c r="L491" s="24" t="s">
        <v>288</v>
      </c>
      <c r="N491" s="263"/>
    </row>
    <row r="492" spans="1:14" s="52" customFormat="1" ht="12.2" customHeight="1" x14ac:dyDescent="0.2">
      <c r="A492" s="22" t="s">
        <v>615</v>
      </c>
      <c r="B492" s="75">
        <v>20</v>
      </c>
      <c r="C492" s="115">
        <v>2</v>
      </c>
      <c r="D492" s="2" t="s">
        <v>432</v>
      </c>
      <c r="E492" s="115"/>
      <c r="F492" s="155" t="s">
        <v>1672</v>
      </c>
      <c r="G492" s="155" t="s">
        <v>1674</v>
      </c>
      <c r="H492" s="154">
        <v>216</v>
      </c>
      <c r="I492" s="154"/>
      <c r="J492" s="154">
        <v>221</v>
      </c>
      <c r="K492" s="24" t="s">
        <v>288</v>
      </c>
      <c r="L492" s="24" t="s">
        <v>288</v>
      </c>
      <c r="N492" s="263"/>
    </row>
    <row r="493" spans="1:14" s="52" customFormat="1" ht="12.2" customHeight="1" x14ac:dyDescent="0.2">
      <c r="A493" s="22" t="s">
        <v>616</v>
      </c>
      <c r="B493" s="75">
        <v>20</v>
      </c>
      <c r="C493" s="115">
        <v>3</v>
      </c>
      <c r="D493" s="2" t="s">
        <v>432</v>
      </c>
      <c r="E493" s="115"/>
      <c r="F493" s="155" t="s">
        <v>1673</v>
      </c>
      <c r="G493" s="155" t="s">
        <v>1675</v>
      </c>
      <c r="H493" s="154">
        <v>831</v>
      </c>
      <c r="I493" s="154"/>
      <c r="J493" s="154">
        <v>236</v>
      </c>
      <c r="K493" s="24" t="s">
        <v>288</v>
      </c>
      <c r="L493" s="24" t="s">
        <v>288</v>
      </c>
      <c r="N493" s="263"/>
    </row>
    <row r="494" spans="1:14" s="52" customFormat="1" ht="12.2" customHeight="1" x14ac:dyDescent="0.2">
      <c r="A494" s="22" t="s">
        <v>617</v>
      </c>
      <c r="B494" s="75">
        <v>20</v>
      </c>
      <c r="C494" s="115">
        <v>4</v>
      </c>
      <c r="D494" s="2" t="s">
        <v>432</v>
      </c>
      <c r="E494" s="115"/>
      <c r="F494" s="18">
        <v>18953000</v>
      </c>
      <c r="G494" s="18">
        <v>1181700</v>
      </c>
      <c r="H494" s="18">
        <v>1453925</v>
      </c>
      <c r="I494" s="18">
        <v>1640000</v>
      </c>
      <c r="J494" s="18">
        <v>550500</v>
      </c>
      <c r="K494" s="24" t="s">
        <v>288</v>
      </c>
      <c r="L494" s="24" t="s">
        <v>288</v>
      </c>
      <c r="N494" s="263"/>
    </row>
    <row r="495" spans="1:14" s="52" customFormat="1" ht="12.2" customHeight="1" x14ac:dyDescent="0.2">
      <c r="A495" s="22" t="s">
        <v>618</v>
      </c>
      <c r="B495" s="75">
        <v>20</v>
      </c>
      <c r="C495" s="115">
        <v>5</v>
      </c>
      <c r="D495" s="2" t="s">
        <v>432</v>
      </c>
      <c r="E495" s="115"/>
      <c r="F495" s="18">
        <v>3.73</v>
      </c>
      <c r="G495" s="18">
        <v>3.14</v>
      </c>
      <c r="H495" s="18">
        <v>2.16</v>
      </c>
      <c r="I495" s="18"/>
      <c r="J495" s="18">
        <v>1.31</v>
      </c>
      <c r="K495" s="24" t="s">
        <v>288</v>
      </c>
      <c r="L495" s="24" t="s">
        <v>288</v>
      </c>
      <c r="N495" s="263"/>
    </row>
    <row r="496" spans="1:14" s="52" customFormat="1" ht="12.2" customHeight="1" x14ac:dyDescent="0.2">
      <c r="A496" s="22" t="s">
        <v>619</v>
      </c>
      <c r="B496" s="75">
        <v>20</v>
      </c>
      <c r="C496" s="115">
        <v>6</v>
      </c>
      <c r="D496" s="2" t="s">
        <v>432</v>
      </c>
      <c r="E496" s="115"/>
      <c r="F496" s="18">
        <v>14464083.52</v>
      </c>
      <c r="G496" s="18">
        <v>683750</v>
      </c>
      <c r="H496" s="18">
        <v>1447210</v>
      </c>
      <c r="I496" s="18">
        <v>1385000</v>
      </c>
      <c r="J496" s="18">
        <v>550500</v>
      </c>
      <c r="K496" s="53">
        <f>SUM(F496:J496)</f>
        <v>18530543.52</v>
      </c>
      <c r="L496" s="24" t="s">
        <v>288</v>
      </c>
      <c r="N496" s="263"/>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904771.77</v>
      </c>
      <c r="G498" s="18">
        <v>81850</v>
      </c>
      <c r="H498" s="18">
        <v>100000</v>
      </c>
      <c r="I498" s="18">
        <v>100000</v>
      </c>
      <c r="J498" s="18">
        <v>35500</v>
      </c>
      <c r="K498" s="53">
        <f t="shared" si="35"/>
        <v>1222121.77</v>
      </c>
      <c r="L498" s="24" t="s">
        <v>288</v>
      </c>
      <c r="N498" s="263"/>
    </row>
    <row r="499" spans="1:14" s="52" customFormat="1" ht="12.2" customHeight="1" x14ac:dyDescent="0.2">
      <c r="A499" s="200" t="s">
        <v>622</v>
      </c>
      <c r="B499" s="201">
        <v>20</v>
      </c>
      <c r="C499" s="202">
        <v>9</v>
      </c>
      <c r="D499" s="203" t="s">
        <v>432</v>
      </c>
      <c r="E499" s="202"/>
      <c r="F499" s="204">
        <v>6534167.3300000001</v>
      </c>
      <c r="G499" s="204">
        <v>327750</v>
      </c>
      <c r="H499" s="204">
        <v>1055000</v>
      </c>
      <c r="I499" s="204">
        <v>1285000</v>
      </c>
      <c r="J499" s="204">
        <v>515000</v>
      </c>
      <c r="K499" s="205">
        <f t="shared" si="35"/>
        <v>9716917.3300000001</v>
      </c>
      <c r="L499" s="206" t="s">
        <v>288</v>
      </c>
      <c r="N499" s="263"/>
    </row>
    <row r="500" spans="1:14" s="52" customFormat="1" ht="12.2" customHeight="1" thickBot="1" x14ac:dyDescent="0.25">
      <c r="A500" s="22" t="s">
        <v>623</v>
      </c>
      <c r="B500" s="75">
        <v>20</v>
      </c>
      <c r="C500" s="115">
        <v>10</v>
      </c>
      <c r="D500" s="2" t="s">
        <v>432</v>
      </c>
      <c r="E500" s="115"/>
      <c r="F500" s="18">
        <v>6078024.6699999999</v>
      </c>
      <c r="G500" s="18">
        <v>63738.21</v>
      </c>
      <c r="H500" s="18">
        <v>201210.96</v>
      </c>
      <c r="I500" s="18">
        <v>364032.62</v>
      </c>
      <c r="J500" s="18">
        <v>138050</v>
      </c>
      <c r="K500" s="53">
        <f t="shared" si="35"/>
        <v>6845056.46</v>
      </c>
      <c r="L500" s="24" t="s">
        <v>288</v>
      </c>
      <c r="N500" s="263"/>
    </row>
    <row r="501" spans="1:14" s="52" customFormat="1" ht="12.2" customHeight="1" thickTop="1" x14ac:dyDescent="0.2">
      <c r="A501" s="139" t="s">
        <v>624</v>
      </c>
      <c r="B501" s="44">
        <v>20</v>
      </c>
      <c r="C501" s="195">
        <v>11</v>
      </c>
      <c r="D501" s="39" t="s">
        <v>432</v>
      </c>
      <c r="E501" s="195"/>
      <c r="F501" s="42">
        <f>SUM(F499:F500)</f>
        <v>12612192</v>
      </c>
      <c r="G501" s="42">
        <f>SUM(G499:G500)</f>
        <v>391488.21</v>
      </c>
      <c r="H501" s="42">
        <f>SUM(H499:H500)</f>
        <v>1256210.96</v>
      </c>
      <c r="I501" s="42">
        <f>SUM(I499:I500)</f>
        <v>1649032.62</v>
      </c>
      <c r="J501" s="42">
        <f>SUM(J499:J500)</f>
        <v>653050</v>
      </c>
      <c r="K501" s="42">
        <f t="shared" si="35"/>
        <v>16561973.790000003</v>
      </c>
      <c r="L501" s="45" t="s">
        <v>288</v>
      </c>
      <c r="N501" s="263"/>
    </row>
    <row r="502" spans="1:14" s="52" customFormat="1" ht="12.2" customHeight="1" x14ac:dyDescent="0.2">
      <c r="A502" s="200" t="s">
        <v>651</v>
      </c>
      <c r="B502" s="201">
        <v>20</v>
      </c>
      <c r="C502" s="202">
        <v>12</v>
      </c>
      <c r="D502" s="203" t="s">
        <v>432</v>
      </c>
      <c r="E502" s="202"/>
      <c r="F502" s="204">
        <v>871417.79</v>
      </c>
      <c r="G502" s="204">
        <f>41250+30600+10000</f>
        <v>81850</v>
      </c>
      <c r="H502" s="204">
        <v>100000</v>
      </c>
      <c r="I502" s="204">
        <v>100000</v>
      </c>
      <c r="J502" s="204">
        <v>40000</v>
      </c>
      <c r="K502" s="205">
        <f t="shared" si="35"/>
        <v>1193267.79</v>
      </c>
      <c r="L502" s="206" t="s">
        <v>288</v>
      </c>
      <c r="N502" s="263"/>
    </row>
    <row r="503" spans="1:14" s="52" customFormat="1" ht="12.2" customHeight="1" thickBot="1" x14ac:dyDescent="0.25">
      <c r="A503" s="22" t="s">
        <v>625</v>
      </c>
      <c r="B503" s="75">
        <v>20</v>
      </c>
      <c r="C503" s="115">
        <v>13</v>
      </c>
      <c r="D503" s="2" t="s">
        <v>432</v>
      </c>
      <c r="E503" s="115"/>
      <c r="F503" s="18">
        <v>533580.21</v>
      </c>
      <c r="G503" s="18">
        <f>15096.19+11123.1+1785</f>
        <v>28004.29</v>
      </c>
      <c r="H503" s="18">
        <v>38219.760000000002</v>
      </c>
      <c r="I503" s="18">
        <v>57191.26</v>
      </c>
      <c r="J503" s="18">
        <v>21715</v>
      </c>
      <c r="K503" s="53">
        <f t="shared" si="35"/>
        <v>678710.52</v>
      </c>
      <c r="L503" s="24" t="s">
        <v>288</v>
      </c>
      <c r="N503" s="263"/>
    </row>
    <row r="504" spans="1:14" s="52" customFormat="1" ht="12.2" customHeight="1" thickTop="1" x14ac:dyDescent="0.2">
      <c r="A504" s="139" t="s">
        <v>626</v>
      </c>
      <c r="B504" s="44">
        <v>20</v>
      </c>
      <c r="C504" s="195">
        <v>14</v>
      </c>
      <c r="D504" s="39" t="s">
        <v>432</v>
      </c>
      <c r="E504" s="195"/>
      <c r="F504" s="42">
        <f>SUM(F502:F503)</f>
        <v>1404998</v>
      </c>
      <c r="G504" s="42">
        <f>SUM(G502:G503)</f>
        <v>109854.29000000001</v>
      </c>
      <c r="H504" s="42">
        <f>SUM(H502:H503)</f>
        <v>138219.76</v>
      </c>
      <c r="I504" s="42">
        <f>SUM(I502:I503)</f>
        <v>157191.26</v>
      </c>
      <c r="J504" s="42">
        <f>SUM(J502:J503)</f>
        <v>61715</v>
      </c>
      <c r="K504" s="42">
        <f t="shared" si="35"/>
        <v>1871978.31</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0</v>
      </c>
      <c r="G508" s="144">
        <v>0</v>
      </c>
      <c r="H508" s="144">
        <v>0</v>
      </c>
      <c r="I508" s="144">
        <v>0</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1126901+174108.47+100092-1</f>
        <v>1401100.47</v>
      </c>
      <c r="G522" s="18">
        <f>674937+32361.15+59566</f>
        <v>766864.15</v>
      </c>
      <c r="H522" s="18">
        <f>531913+3918.78</f>
        <v>535831.78</v>
      </c>
      <c r="I522" s="18">
        <f>4264+3235.04+193</f>
        <v>7692.04</v>
      </c>
      <c r="J522" s="18">
        <v>0</v>
      </c>
      <c r="K522" s="18">
        <v>0</v>
      </c>
      <c r="L522" s="88">
        <f>SUM(F522:K522)</f>
        <v>2711488.4400000004</v>
      </c>
      <c r="N522" s="263"/>
    </row>
    <row r="523" spans="1:14" s="52" customFormat="1" ht="12.2" customHeight="1" x14ac:dyDescent="0.2">
      <c r="A523" s="22" t="s">
        <v>634</v>
      </c>
      <c r="B523" s="105">
        <v>21</v>
      </c>
      <c r="C523" s="115">
        <v>2</v>
      </c>
      <c r="D523" s="2" t="s">
        <v>432</v>
      </c>
      <c r="E523" s="115"/>
      <c r="F523" s="18">
        <f>503432+53545</f>
        <v>556977</v>
      </c>
      <c r="G523" s="18">
        <f>362154+31848</f>
        <v>394002</v>
      </c>
      <c r="H523" s="18">
        <v>335920</v>
      </c>
      <c r="I523" s="18">
        <v>375</v>
      </c>
      <c r="J523" s="18">
        <v>0</v>
      </c>
      <c r="K523" s="18">
        <v>0</v>
      </c>
      <c r="L523" s="88">
        <f>SUM(F523:K523)</f>
        <v>1287274</v>
      </c>
      <c r="N523" s="263"/>
    </row>
    <row r="524" spans="1:14" s="52" customFormat="1" ht="12.2" customHeight="1" thickBot="1" x14ac:dyDescent="0.25">
      <c r="A524" s="22" t="s">
        <v>635</v>
      </c>
      <c r="B524" s="105">
        <v>21</v>
      </c>
      <c r="C524" s="115">
        <v>3</v>
      </c>
      <c r="D524" s="2" t="s">
        <v>432</v>
      </c>
      <c r="E524" s="115"/>
      <c r="F524" s="18">
        <f>768769-1</f>
        <v>768768</v>
      </c>
      <c r="G524" s="18">
        <f>443473+50</f>
        <v>443523</v>
      </c>
      <c r="H524" s="18">
        <v>850345</v>
      </c>
      <c r="I524" s="18">
        <v>3939</v>
      </c>
      <c r="J524" s="18">
        <v>2661</v>
      </c>
      <c r="K524" s="18">
        <v>0</v>
      </c>
      <c r="L524" s="88">
        <f>SUM(F524:K524)</f>
        <v>2069236</v>
      </c>
      <c r="N524" s="263"/>
    </row>
    <row r="525" spans="1:14" s="52" customFormat="1" ht="12.2" customHeight="1" thickTop="1" x14ac:dyDescent="0.2">
      <c r="A525" s="139" t="s">
        <v>63</v>
      </c>
      <c r="B525" s="107">
        <v>21</v>
      </c>
      <c r="C525" s="195">
        <v>4</v>
      </c>
      <c r="D525" s="196" t="s">
        <v>432</v>
      </c>
      <c r="E525" s="195"/>
      <c r="F525" s="108">
        <f>SUM(F522:F524)</f>
        <v>2726845.4699999997</v>
      </c>
      <c r="G525" s="108">
        <f t="shared" ref="G525:L525" si="36">SUM(G522:G524)</f>
        <v>1604389.15</v>
      </c>
      <c r="H525" s="108">
        <f t="shared" si="36"/>
        <v>1722096.78</v>
      </c>
      <c r="I525" s="108">
        <f t="shared" si="36"/>
        <v>12006.04</v>
      </c>
      <c r="J525" s="108">
        <f t="shared" si="36"/>
        <v>2661</v>
      </c>
      <c r="K525" s="108">
        <f t="shared" si="36"/>
        <v>0</v>
      </c>
      <c r="L525" s="89">
        <f t="shared" si="36"/>
        <v>6067998.4400000004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139477.15700000001</v>
      </c>
      <c r="G527" s="18">
        <v>59395.845999999998</v>
      </c>
      <c r="H527" s="18">
        <f>142+164344+185465.8</f>
        <v>349951.8</v>
      </c>
      <c r="I527" s="18">
        <v>270.62799999999993</v>
      </c>
      <c r="J527" s="18">
        <v>0</v>
      </c>
      <c r="K527" s="18">
        <v>4581.72</v>
      </c>
      <c r="L527" s="88">
        <f>SUM(F527:K527)</f>
        <v>553677.15099999995</v>
      </c>
      <c r="M527" s="8"/>
      <c r="N527" s="264"/>
    </row>
    <row r="528" spans="1:14" s="3" customFormat="1" ht="12.2" customHeight="1" x14ac:dyDescent="0.15">
      <c r="A528" s="22" t="s">
        <v>634</v>
      </c>
      <c r="B528" s="105">
        <v>21</v>
      </c>
      <c r="C528" s="115">
        <v>6</v>
      </c>
      <c r="D528" s="2" t="s">
        <v>432</v>
      </c>
      <c r="E528" s="115"/>
      <c r="F528" s="18">
        <v>102481.579</v>
      </c>
      <c r="G528" s="18">
        <v>66773.232000000004</v>
      </c>
      <c r="H528" s="18">
        <f>77+60053</f>
        <v>60130</v>
      </c>
      <c r="I528" s="18">
        <v>341.63200000000001</v>
      </c>
      <c r="J528" s="18">
        <v>0</v>
      </c>
      <c r="K528" s="18">
        <v>2489.58</v>
      </c>
      <c r="L528" s="88">
        <f>SUM(F528:K528)</f>
        <v>232216.02299999999</v>
      </c>
      <c r="M528" s="8"/>
      <c r="N528" s="264"/>
    </row>
    <row r="529" spans="1:14" s="3" customFormat="1" ht="12.2" customHeight="1" thickBot="1" x14ac:dyDescent="0.2">
      <c r="A529" s="22" t="s">
        <v>635</v>
      </c>
      <c r="B529" s="118">
        <v>21</v>
      </c>
      <c r="C529" s="118">
        <v>7</v>
      </c>
      <c r="D529" s="2" t="s">
        <v>432</v>
      </c>
      <c r="E529" s="118"/>
      <c r="F529" s="18">
        <v>5239.6559999999999</v>
      </c>
      <c r="G529" s="18">
        <v>3724.692</v>
      </c>
      <c r="H529" s="18">
        <f>90+70364</f>
        <v>70454</v>
      </c>
      <c r="I529" s="18">
        <v>79.838999999999999</v>
      </c>
      <c r="J529" s="18">
        <v>0</v>
      </c>
      <c r="K529" s="18">
        <v>2917</v>
      </c>
      <c r="L529" s="88">
        <f>SUM(F529:K529)</f>
        <v>82415.187000000005</v>
      </c>
      <c r="M529" s="8"/>
      <c r="N529" s="264"/>
    </row>
    <row r="530" spans="1:14" s="3" customFormat="1" ht="12.2" customHeight="1" thickTop="1" x14ac:dyDescent="0.15">
      <c r="A530" s="139" t="s">
        <v>65</v>
      </c>
      <c r="B530" s="107">
        <v>21</v>
      </c>
      <c r="C530" s="107">
        <v>8</v>
      </c>
      <c r="D530" s="158" t="s">
        <v>432</v>
      </c>
      <c r="E530" s="107"/>
      <c r="F530" s="89">
        <f>SUM(F527:F529)</f>
        <v>247198.39199999999</v>
      </c>
      <c r="G530" s="89">
        <f t="shared" ref="G530:L530" si="37">SUM(G527:G529)</f>
        <v>129893.77</v>
      </c>
      <c r="H530" s="89">
        <f t="shared" si="37"/>
        <v>480535.8</v>
      </c>
      <c r="I530" s="89">
        <f t="shared" si="37"/>
        <v>692.09899999999993</v>
      </c>
      <c r="J530" s="89">
        <f t="shared" si="37"/>
        <v>0</v>
      </c>
      <c r="K530" s="89">
        <f t="shared" si="37"/>
        <v>9988.2999999999993</v>
      </c>
      <c r="L530" s="89">
        <f t="shared" si="37"/>
        <v>868308.36099999992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73061</v>
      </c>
      <c r="G532" s="18">
        <v>38988</v>
      </c>
      <c r="H532" s="18">
        <v>0</v>
      </c>
      <c r="I532" s="18">
        <v>0</v>
      </c>
      <c r="J532" s="18">
        <v>0</v>
      </c>
      <c r="K532" s="18">
        <v>0</v>
      </c>
      <c r="L532" s="88">
        <f>SUM(F532:K532)</f>
        <v>112049</v>
      </c>
      <c r="M532" s="8"/>
      <c r="N532" s="264"/>
    </row>
    <row r="533" spans="1:14" s="3" customFormat="1" ht="12.2" customHeight="1" x14ac:dyDescent="0.15">
      <c r="A533" s="22" t="s">
        <v>634</v>
      </c>
      <c r="B533" s="105">
        <v>21</v>
      </c>
      <c r="C533" s="105">
        <v>10</v>
      </c>
      <c r="D533" s="2" t="s">
        <v>432</v>
      </c>
      <c r="E533" s="105"/>
      <c r="F533" s="18">
        <v>39699</v>
      </c>
      <c r="G533" s="18">
        <v>21185</v>
      </c>
      <c r="H533" s="18">
        <v>0</v>
      </c>
      <c r="I533" s="18">
        <v>0</v>
      </c>
      <c r="J533" s="18">
        <v>0</v>
      </c>
      <c r="K533" s="18">
        <v>0</v>
      </c>
      <c r="L533" s="88">
        <f>SUM(F533:K533)</f>
        <v>60884</v>
      </c>
      <c r="M533" s="8"/>
      <c r="N533" s="264"/>
    </row>
    <row r="534" spans="1:14" s="3" customFormat="1" ht="12.2" customHeight="1" thickBot="1" x14ac:dyDescent="0.2">
      <c r="A534" s="22" t="s">
        <v>635</v>
      </c>
      <c r="B534" s="105">
        <v>21</v>
      </c>
      <c r="C534" s="105">
        <v>11</v>
      </c>
      <c r="D534" s="2" t="s">
        <v>432</v>
      </c>
      <c r="E534" s="105"/>
      <c r="F534" s="18">
        <v>46515</v>
      </c>
      <c r="G534" s="18">
        <v>24822</v>
      </c>
      <c r="H534" s="18">
        <v>0</v>
      </c>
      <c r="I534" s="18">
        <v>0</v>
      </c>
      <c r="J534" s="18">
        <v>0</v>
      </c>
      <c r="K534" s="18">
        <v>0</v>
      </c>
      <c r="L534" s="88">
        <f>SUM(F534:K534)</f>
        <v>71337</v>
      </c>
      <c r="M534" s="8"/>
      <c r="N534" s="264"/>
    </row>
    <row r="535" spans="1:14" s="3" customFormat="1" ht="12.2" customHeight="1" thickTop="1" x14ac:dyDescent="0.15">
      <c r="A535" s="139" t="s">
        <v>67</v>
      </c>
      <c r="B535" s="107">
        <v>21</v>
      </c>
      <c r="C535" s="107">
        <v>12</v>
      </c>
      <c r="D535" s="158" t="s">
        <v>432</v>
      </c>
      <c r="E535" s="107"/>
      <c r="F535" s="89">
        <f>SUM(F532:F534)</f>
        <v>159275</v>
      </c>
      <c r="G535" s="89">
        <f t="shared" ref="G535:L535" si="38">SUM(G532:G534)</f>
        <v>84995</v>
      </c>
      <c r="H535" s="89">
        <f t="shared" si="38"/>
        <v>0</v>
      </c>
      <c r="I535" s="89">
        <f t="shared" si="38"/>
        <v>0</v>
      </c>
      <c r="J535" s="89">
        <f t="shared" si="38"/>
        <v>0</v>
      </c>
      <c r="K535" s="89">
        <f t="shared" si="38"/>
        <v>0</v>
      </c>
      <c r="L535" s="89">
        <f t="shared" si="38"/>
        <v>244270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1682.45</v>
      </c>
      <c r="I537" s="18">
        <v>0</v>
      </c>
      <c r="J537" s="18">
        <v>0</v>
      </c>
      <c r="K537" s="18">
        <v>0</v>
      </c>
      <c r="L537" s="88">
        <f>SUM(F537:K537)</f>
        <v>1682.45</v>
      </c>
      <c r="M537" s="8"/>
      <c r="N537" s="264"/>
    </row>
    <row r="538" spans="1:14" s="3" customFormat="1" ht="12.2" customHeight="1" x14ac:dyDescent="0.15">
      <c r="A538" s="22" t="s">
        <v>634</v>
      </c>
      <c r="B538" s="105">
        <v>21</v>
      </c>
      <c r="C538" s="105">
        <v>14</v>
      </c>
      <c r="D538" s="2" t="s">
        <v>432</v>
      </c>
      <c r="E538" s="105"/>
      <c r="F538" s="18">
        <v>0</v>
      </c>
      <c r="G538" s="18">
        <v>0</v>
      </c>
      <c r="H538" s="18">
        <v>914.2</v>
      </c>
      <c r="I538" s="18">
        <v>0</v>
      </c>
      <c r="J538" s="18">
        <v>0</v>
      </c>
      <c r="K538" s="18">
        <v>0</v>
      </c>
      <c r="L538" s="88">
        <f>SUM(F538:K538)</f>
        <v>914.2</v>
      </c>
      <c r="M538" s="8"/>
      <c r="N538" s="264"/>
    </row>
    <row r="539" spans="1:14" s="3" customFormat="1" ht="12.2" customHeight="1" thickBot="1" x14ac:dyDescent="0.2">
      <c r="A539" s="22" t="s">
        <v>635</v>
      </c>
      <c r="B539" s="105">
        <v>21</v>
      </c>
      <c r="C539" s="105">
        <v>15</v>
      </c>
      <c r="D539" s="2" t="s">
        <v>432</v>
      </c>
      <c r="E539" s="105"/>
      <c r="F539" s="18">
        <v>0</v>
      </c>
      <c r="G539" s="18">
        <v>0</v>
      </c>
      <c r="H539" s="18">
        <v>1071.154</v>
      </c>
      <c r="I539" s="18">
        <v>0</v>
      </c>
      <c r="J539" s="18">
        <v>0</v>
      </c>
      <c r="K539" s="18">
        <v>0</v>
      </c>
      <c r="L539" s="88">
        <f>SUM(F539:K539)</f>
        <v>1071.154</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3667.8040000000001</v>
      </c>
      <c r="I540" s="89">
        <f t="shared" si="39"/>
        <v>0</v>
      </c>
      <c r="J540" s="89">
        <f t="shared" si="39"/>
        <v>0</v>
      </c>
      <c r="K540" s="89">
        <f t="shared" si="39"/>
        <v>0</v>
      </c>
      <c r="L540" s="89">
        <f t="shared" si="39"/>
        <v>3667.8040000000001</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256434.43</v>
      </c>
      <c r="I542" s="18">
        <v>0</v>
      </c>
      <c r="J542" s="18">
        <v>0</v>
      </c>
      <c r="K542" s="18">
        <v>0</v>
      </c>
      <c r="L542" s="88">
        <f>SUM(F542:K542)</f>
        <v>256434.43</v>
      </c>
      <c r="M542" s="8"/>
      <c r="N542" s="264"/>
    </row>
    <row r="543" spans="1:14" s="3" customFormat="1" ht="12.2" customHeight="1" x14ac:dyDescent="0.15">
      <c r="A543" s="22" t="s">
        <v>634</v>
      </c>
      <c r="B543" s="105">
        <v>21</v>
      </c>
      <c r="C543" s="105">
        <v>18</v>
      </c>
      <c r="D543" s="2" t="s">
        <v>432</v>
      </c>
      <c r="E543" s="105"/>
      <c r="F543" s="18">
        <v>0</v>
      </c>
      <c r="G543" s="18">
        <v>0</v>
      </c>
      <c r="H543" s="18">
        <v>139339.17000000001</v>
      </c>
      <c r="I543" s="18">
        <v>0</v>
      </c>
      <c r="J543" s="18">
        <v>0</v>
      </c>
      <c r="K543" s="18">
        <v>0</v>
      </c>
      <c r="L543" s="88">
        <f>SUM(F543:K543)</f>
        <v>139339.17000000001</v>
      </c>
      <c r="M543" s="8"/>
      <c r="N543" s="264"/>
    </row>
    <row r="544" spans="1:14" s="3" customFormat="1" ht="12.2" customHeight="1" thickBot="1" x14ac:dyDescent="0.2">
      <c r="A544" s="22" t="s">
        <v>635</v>
      </c>
      <c r="B544" s="105">
        <v>21</v>
      </c>
      <c r="C544" s="105">
        <v>19</v>
      </c>
      <c r="D544" s="2" t="s">
        <v>432</v>
      </c>
      <c r="E544" s="105"/>
      <c r="F544" s="18">
        <v>0</v>
      </c>
      <c r="G544" s="18">
        <v>0</v>
      </c>
      <c r="H544" s="18">
        <v>163261.85</v>
      </c>
      <c r="I544" s="18">
        <v>0</v>
      </c>
      <c r="J544" s="18">
        <v>0</v>
      </c>
      <c r="K544" s="18">
        <v>0</v>
      </c>
      <c r="L544" s="88">
        <f>SUM(F544:K544)</f>
        <v>163261.85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559035.44999999995</v>
      </c>
      <c r="I545" s="193">
        <f t="shared" si="40"/>
        <v>0</v>
      </c>
      <c r="J545" s="193">
        <f t="shared" si="40"/>
        <v>0</v>
      </c>
      <c r="K545" s="193">
        <f t="shared" si="40"/>
        <v>0</v>
      </c>
      <c r="L545" s="193">
        <f t="shared" si="40"/>
        <v>559035.44999999995</v>
      </c>
      <c r="M545" s="8"/>
      <c r="N545" s="264"/>
    </row>
    <row r="546" spans="1:14" s="3" customFormat="1" ht="12.2" customHeight="1" thickTop="1" x14ac:dyDescent="0.15">
      <c r="A546" s="98" t="s">
        <v>72</v>
      </c>
      <c r="B546" s="107">
        <v>21</v>
      </c>
      <c r="C546" s="107">
        <v>21</v>
      </c>
      <c r="D546" s="158" t="s">
        <v>432</v>
      </c>
      <c r="E546" s="107"/>
      <c r="F546" s="89">
        <f>F525+F530+F535+F540+F545</f>
        <v>3133318.8619999997</v>
      </c>
      <c r="G546" s="89">
        <f t="shared" ref="G546:L546" si="41">G525+G530+G535+G540+G545</f>
        <v>1819277.92</v>
      </c>
      <c r="H546" s="89">
        <f t="shared" si="41"/>
        <v>2765335.8339999998</v>
      </c>
      <c r="I546" s="89">
        <f t="shared" si="41"/>
        <v>12698.139000000001</v>
      </c>
      <c r="J546" s="89">
        <f t="shared" si="41"/>
        <v>2661</v>
      </c>
      <c r="K546" s="89">
        <f t="shared" si="41"/>
        <v>9988.2999999999993</v>
      </c>
      <c r="L546" s="89">
        <f t="shared" si="41"/>
        <v>7743280.0549999997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2711488.4400000004</v>
      </c>
      <c r="G550" s="87">
        <f>L527</f>
        <v>553677.15099999995</v>
      </c>
      <c r="H550" s="87">
        <f>L532</f>
        <v>112049</v>
      </c>
      <c r="I550" s="87">
        <f>L537</f>
        <v>1682.45</v>
      </c>
      <c r="J550" s="87">
        <f>L542</f>
        <v>256434.43</v>
      </c>
      <c r="K550" s="87">
        <f>SUM(F550:J550)</f>
        <v>3635331.4710000008</v>
      </c>
      <c r="L550" s="24" t="s">
        <v>288</v>
      </c>
      <c r="M550" s="8"/>
      <c r="N550" s="264"/>
    </row>
    <row r="551" spans="1:14" s="3" customFormat="1" ht="12.2" customHeight="1" x14ac:dyDescent="0.15">
      <c r="A551" s="22" t="s">
        <v>634</v>
      </c>
      <c r="B551" s="75">
        <v>21</v>
      </c>
      <c r="C551" s="75">
        <v>23</v>
      </c>
      <c r="D551" s="2" t="s">
        <v>432</v>
      </c>
      <c r="E551" s="75"/>
      <c r="F551" s="87">
        <f>L523</f>
        <v>1287274</v>
      </c>
      <c r="G551" s="87">
        <f>L528</f>
        <v>232216.02299999999</v>
      </c>
      <c r="H551" s="87">
        <f>L533</f>
        <v>60884</v>
      </c>
      <c r="I551" s="87">
        <f>L538</f>
        <v>914.2</v>
      </c>
      <c r="J551" s="87">
        <f>L543</f>
        <v>139339.17000000001</v>
      </c>
      <c r="K551" s="87">
        <f>SUM(F551:J551)</f>
        <v>1720627.3929999999</v>
      </c>
      <c r="L551" s="24" t="s">
        <v>288</v>
      </c>
      <c r="M551" s="8"/>
      <c r="N551" s="264"/>
    </row>
    <row r="552" spans="1:14" s="3" customFormat="1" ht="12.2" customHeight="1" thickBot="1" x14ac:dyDescent="0.2">
      <c r="A552" s="22" t="s">
        <v>635</v>
      </c>
      <c r="B552" s="75">
        <v>21</v>
      </c>
      <c r="C552" s="75">
        <v>24</v>
      </c>
      <c r="D552" s="2" t="s">
        <v>432</v>
      </c>
      <c r="E552" s="75"/>
      <c r="F552" s="87">
        <f>L524</f>
        <v>2069236</v>
      </c>
      <c r="G552" s="87">
        <f>L529</f>
        <v>82415.187000000005</v>
      </c>
      <c r="H552" s="87">
        <f>L534</f>
        <v>71337</v>
      </c>
      <c r="I552" s="87">
        <f>L539</f>
        <v>1071.154</v>
      </c>
      <c r="J552" s="87">
        <f>L544</f>
        <v>163261.85</v>
      </c>
      <c r="K552" s="87">
        <f>SUM(F552:J552)</f>
        <v>2387321.1910000001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6067998.4400000004</v>
      </c>
      <c r="G553" s="89">
        <f t="shared" si="42"/>
        <v>868308.36099999992</v>
      </c>
      <c r="H553" s="89">
        <f t="shared" si="42"/>
        <v>244270</v>
      </c>
      <c r="I553" s="89">
        <f t="shared" si="42"/>
        <v>3667.8040000000001</v>
      </c>
      <c r="J553" s="89">
        <f t="shared" si="42"/>
        <v>559035.44999999995</v>
      </c>
      <c r="K553" s="89">
        <f t="shared" si="42"/>
        <v>7743280.0550000016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1126901</v>
      </c>
      <c r="G558" s="18">
        <v>674937</v>
      </c>
      <c r="H558" s="18">
        <v>531913</v>
      </c>
      <c r="I558" s="18">
        <v>4264</v>
      </c>
      <c r="J558" s="18">
        <v>0</v>
      </c>
      <c r="K558" s="18">
        <v>0</v>
      </c>
      <c r="L558" s="88">
        <f>SUM(F558:K558)</f>
        <v>2338015</v>
      </c>
      <c r="M558" s="8"/>
      <c r="N558" s="264"/>
    </row>
    <row r="559" spans="1:14" s="3" customFormat="1" ht="12.2" customHeight="1" x14ac:dyDescent="0.15">
      <c r="A559" s="22" t="s">
        <v>634</v>
      </c>
      <c r="B559" s="105">
        <v>22</v>
      </c>
      <c r="C559" s="115">
        <v>2</v>
      </c>
      <c r="D559" s="2" t="s">
        <v>432</v>
      </c>
      <c r="E559" s="115"/>
      <c r="F559" s="18">
        <v>503432</v>
      </c>
      <c r="G559" s="18">
        <v>362154</v>
      </c>
      <c r="H559" s="18">
        <v>335920</v>
      </c>
      <c r="I559" s="18">
        <v>375</v>
      </c>
      <c r="J559" s="18">
        <v>0</v>
      </c>
      <c r="K559" s="18">
        <v>0</v>
      </c>
      <c r="L559" s="88">
        <f>SUM(F559:K559)</f>
        <v>1201881</v>
      </c>
      <c r="M559" s="8"/>
      <c r="N559" s="264"/>
    </row>
    <row r="560" spans="1:14" s="3" customFormat="1" ht="12.2" customHeight="1" thickBot="1" x14ac:dyDescent="0.2">
      <c r="A560" s="22" t="s">
        <v>635</v>
      </c>
      <c r="B560" s="105">
        <v>22</v>
      </c>
      <c r="C560" s="115">
        <v>3</v>
      </c>
      <c r="D560" s="2" t="s">
        <v>432</v>
      </c>
      <c r="E560" s="115"/>
      <c r="F560" s="18">
        <v>768769</v>
      </c>
      <c r="G560" s="18">
        <v>443473</v>
      </c>
      <c r="H560" s="18">
        <v>850345</v>
      </c>
      <c r="I560" s="18">
        <v>3939</v>
      </c>
      <c r="J560" s="18">
        <v>2661</v>
      </c>
      <c r="K560" s="18">
        <v>0</v>
      </c>
      <c r="L560" s="88">
        <f>SUM(F560:K560)</f>
        <v>2069187</v>
      </c>
      <c r="M560" s="8"/>
      <c r="N560" s="264"/>
    </row>
    <row r="561" spans="1:14" s="3" customFormat="1" ht="12.2" customHeight="1" thickTop="1" x14ac:dyDescent="0.15">
      <c r="A561" s="139" t="s">
        <v>63</v>
      </c>
      <c r="B561" s="107">
        <v>22</v>
      </c>
      <c r="C561" s="195">
        <v>4</v>
      </c>
      <c r="D561" s="196" t="s">
        <v>432</v>
      </c>
      <c r="E561" s="195"/>
      <c r="F561" s="108">
        <f t="shared" ref="F561:L561" si="43">SUM(F558:F560)</f>
        <v>2399102</v>
      </c>
      <c r="G561" s="108">
        <f t="shared" si="43"/>
        <v>1480564</v>
      </c>
      <c r="H561" s="108">
        <f t="shared" si="43"/>
        <v>1718178</v>
      </c>
      <c r="I561" s="108">
        <f t="shared" si="43"/>
        <v>8578</v>
      </c>
      <c r="J561" s="108">
        <f t="shared" si="43"/>
        <v>2661</v>
      </c>
      <c r="K561" s="108">
        <f t="shared" si="43"/>
        <v>0</v>
      </c>
      <c r="L561" s="89">
        <f t="shared" si="43"/>
        <v>5609083</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100092</v>
      </c>
      <c r="G563" s="18">
        <v>59566</v>
      </c>
      <c r="H563" s="18">
        <v>0</v>
      </c>
      <c r="I563" s="18">
        <v>193</v>
      </c>
      <c r="J563" s="18">
        <v>0</v>
      </c>
      <c r="K563" s="18">
        <v>0</v>
      </c>
      <c r="L563" s="88">
        <f>SUM(F563:K563)</f>
        <v>159851</v>
      </c>
      <c r="M563" s="8"/>
      <c r="N563" s="264"/>
    </row>
    <row r="564" spans="1:14" s="3" customFormat="1" ht="12.2" customHeight="1" x14ac:dyDescent="0.15">
      <c r="A564" s="22" t="s">
        <v>634</v>
      </c>
      <c r="B564" s="105">
        <v>22</v>
      </c>
      <c r="C564" s="115">
        <v>6</v>
      </c>
      <c r="D564" s="2" t="s">
        <v>432</v>
      </c>
      <c r="E564" s="115"/>
      <c r="F564" s="18">
        <v>53545</v>
      </c>
      <c r="G564" s="18">
        <v>31848</v>
      </c>
      <c r="H564" s="18">
        <v>0</v>
      </c>
      <c r="I564" s="18">
        <v>0</v>
      </c>
      <c r="J564" s="18">
        <v>0</v>
      </c>
      <c r="K564" s="18">
        <v>0</v>
      </c>
      <c r="L564" s="88">
        <f>SUM(F564:K564)</f>
        <v>85393</v>
      </c>
      <c r="M564" s="8"/>
      <c r="N564" s="264"/>
    </row>
    <row r="565" spans="1:14" s="3" customFormat="1" ht="12.2" customHeight="1" thickBot="1" x14ac:dyDescent="0.2">
      <c r="A565" s="22" t="s">
        <v>635</v>
      </c>
      <c r="B565" s="105">
        <v>22</v>
      </c>
      <c r="C565" s="118">
        <v>7</v>
      </c>
      <c r="D565" s="2" t="s">
        <v>432</v>
      </c>
      <c r="E565" s="118"/>
      <c r="F565" s="18">
        <v>0</v>
      </c>
      <c r="G565" s="18">
        <v>50</v>
      </c>
      <c r="H565" s="18">
        <v>0</v>
      </c>
      <c r="I565" s="18">
        <v>0</v>
      </c>
      <c r="J565" s="18">
        <v>0</v>
      </c>
      <c r="K565" s="18">
        <v>0</v>
      </c>
      <c r="L565" s="88">
        <f>SUM(F565:K565)</f>
        <v>50</v>
      </c>
      <c r="M565" s="8"/>
      <c r="N565" s="264"/>
    </row>
    <row r="566" spans="1:14" s="3" customFormat="1" ht="12.2" customHeight="1" thickTop="1" x14ac:dyDescent="0.15">
      <c r="A566" s="139" t="s">
        <v>65</v>
      </c>
      <c r="B566" s="107">
        <v>22</v>
      </c>
      <c r="C566" s="107">
        <v>8</v>
      </c>
      <c r="D566" s="196" t="s">
        <v>432</v>
      </c>
      <c r="E566" s="107"/>
      <c r="F566" s="89">
        <f t="shared" ref="F566:L566" si="44">SUM(F563:F565)</f>
        <v>153637</v>
      </c>
      <c r="G566" s="89">
        <f t="shared" si="44"/>
        <v>91464</v>
      </c>
      <c r="H566" s="89">
        <f t="shared" si="44"/>
        <v>0</v>
      </c>
      <c r="I566" s="89">
        <f t="shared" si="44"/>
        <v>193</v>
      </c>
      <c r="J566" s="89">
        <f t="shared" si="44"/>
        <v>0</v>
      </c>
      <c r="K566" s="89">
        <f t="shared" si="44"/>
        <v>0</v>
      </c>
      <c r="L566" s="89">
        <f t="shared" si="44"/>
        <v>245294</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2552739</v>
      </c>
      <c r="G572" s="89">
        <f t="shared" ref="G572:L572" si="46">G561+G566+G571</f>
        <v>1572028</v>
      </c>
      <c r="H572" s="89">
        <f t="shared" si="46"/>
        <v>1718178</v>
      </c>
      <c r="I572" s="89">
        <f t="shared" si="46"/>
        <v>8771</v>
      </c>
      <c r="J572" s="89">
        <f t="shared" si="46"/>
        <v>2661</v>
      </c>
      <c r="K572" s="89">
        <f t="shared" si="46"/>
        <v>0</v>
      </c>
      <c r="L572" s="89">
        <f t="shared" si="46"/>
        <v>5854377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17641</v>
      </c>
      <c r="I576" s="87">
        <f>SUM(F576:H576)</f>
        <v>17641</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330251.14+121936.58</f>
        <v>452187.72000000003</v>
      </c>
      <c r="G583" s="18">
        <f>306099.09</f>
        <v>306099.09000000003</v>
      </c>
      <c r="H583" s="18">
        <v>752314.35</v>
      </c>
      <c r="I583" s="87">
        <f t="shared" si="47"/>
        <v>1510601.1600000001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22693.67</v>
      </c>
      <c r="I585" s="87">
        <f t="shared" si="47"/>
        <v>22693.67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196414.68840090092</v>
      </c>
      <c r="I592" s="18">
        <v>106726.14819819819</v>
      </c>
      <c r="J592" s="18">
        <v>125049.6134009009</v>
      </c>
      <c r="K592" s="104">
        <f t="shared" ref="K592:K598" si="48">SUM(H592:J592)</f>
        <v>428190.45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256434.42939189187</v>
      </c>
      <c r="I593" s="18">
        <v>139339.1662162162</v>
      </c>
      <c r="J593" s="18">
        <v>163261.85439189189</v>
      </c>
      <c r="K593" s="104">
        <f t="shared" si="48"/>
        <v>559035.44999999995</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25249.25</v>
      </c>
      <c r="K594" s="104">
        <f t="shared" si="48"/>
        <v>25249.25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116.1</v>
      </c>
      <c r="J595" s="18">
        <v>10423.32</v>
      </c>
      <c r="K595" s="104">
        <f t="shared" si="48"/>
        <v>10539.42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335.52</v>
      </c>
      <c r="I596" s="18">
        <v>0</v>
      </c>
      <c r="J596" s="18">
        <v>0</v>
      </c>
      <c r="K596" s="104">
        <f t="shared" si="48"/>
        <v>335.52</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453184.63779279281</v>
      </c>
      <c r="I599" s="108">
        <f>SUM(I592:I598)</f>
        <v>246181.41441441441</v>
      </c>
      <c r="J599" s="108">
        <f>SUM(J592:J598)</f>
        <v>323984.03779279278</v>
      </c>
      <c r="K599" s="108">
        <f>SUM(K592:K598)</f>
        <v>1023350.09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368.3+72083.53+5356.8+62697.78+23332.04+410.54+1198.07</f>
        <v>165447.06000000003</v>
      </c>
      <c r="I605" s="18">
        <f>200.12+39168.14+6959.27+34068.19+12677.96+223.08+651</f>
        <v>93947.76</v>
      </c>
      <c r="J605" s="18">
        <f>234.48+45892.79+22789.15+46798.49+261.38+51507.99+762.76</f>
        <v>168247.04000000001</v>
      </c>
      <c r="K605" s="104">
        <f>SUM(H605:J605)</f>
        <v>427641.86</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165447.06000000003</v>
      </c>
      <c r="I606" s="108">
        <f>SUM(I603:I605)</f>
        <v>93947.76</v>
      </c>
      <c r="J606" s="108">
        <f>SUM(J603:J605)</f>
        <v>168247.04000000001</v>
      </c>
      <c r="K606" s="108">
        <f>SUM(K603:K605)</f>
        <v>427641.86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16539.007950092193</v>
      </c>
      <c r="G612" s="18">
        <v>3573.8225190354724</v>
      </c>
      <c r="H612" s="18">
        <v>122.26479321314952</v>
      </c>
      <c r="I612" s="18">
        <v>4242.9661243826013</v>
      </c>
      <c r="J612" s="18">
        <v>0</v>
      </c>
      <c r="K612" s="18">
        <v>0</v>
      </c>
      <c r="L612" s="88">
        <f>SUM(F612:K612)</f>
        <v>24478.061386723417</v>
      </c>
      <c r="M612" s="8"/>
      <c r="N612" s="264"/>
    </row>
    <row r="613" spans="1:14" s="3" customFormat="1" ht="12.2" customHeight="1" x14ac:dyDescent="0.15">
      <c r="A613" s="22" t="s">
        <v>634</v>
      </c>
      <c r="B613" s="75">
        <v>23</v>
      </c>
      <c r="C613" s="75">
        <v>14</v>
      </c>
      <c r="D613" s="2" t="s">
        <v>432</v>
      </c>
      <c r="E613" s="75"/>
      <c r="F613" s="18">
        <v>8986.8259237816819</v>
      </c>
      <c r="G613" s="18">
        <v>1941.9133818654284</v>
      </c>
      <c r="H613" s="18">
        <v>66.435206786850472</v>
      </c>
      <c r="I613" s="18">
        <v>2305.5069612029847</v>
      </c>
      <c r="J613" s="18">
        <v>0</v>
      </c>
      <c r="K613" s="18">
        <v>0</v>
      </c>
      <c r="L613" s="88">
        <f>SUM(F613:K613)</f>
        <v>13300.681473636945</v>
      </c>
      <c r="M613" s="8"/>
      <c r="N613" s="264"/>
    </row>
    <row r="614" spans="1:14" s="3" customFormat="1" ht="12.2" customHeight="1" thickBot="1" x14ac:dyDescent="0.2">
      <c r="A614" s="22" t="s">
        <v>645</v>
      </c>
      <c r="B614" s="75">
        <v>23</v>
      </c>
      <c r="C614" s="75">
        <v>15</v>
      </c>
      <c r="D614" s="2" t="s">
        <v>432</v>
      </c>
      <c r="E614" s="75"/>
      <c r="F614" s="18">
        <v>876.12612612612611</v>
      </c>
      <c r="G614" s="18">
        <v>222.97409909909911</v>
      </c>
      <c r="H614" s="18">
        <v>0</v>
      </c>
      <c r="I614" s="18">
        <v>420.63691441441438</v>
      </c>
      <c r="J614" s="18">
        <v>0</v>
      </c>
      <c r="K614" s="18">
        <v>0</v>
      </c>
      <c r="L614" s="88">
        <f>SUM(F614:K614)</f>
        <v>1519.7371396396395</v>
      </c>
      <c r="M614" s="8"/>
      <c r="N614" s="264"/>
    </row>
    <row r="615" spans="1:14" s="3" customFormat="1" ht="12.2" customHeight="1" thickTop="1" x14ac:dyDescent="0.15">
      <c r="A615" s="98" t="s">
        <v>340</v>
      </c>
      <c r="B615" s="107">
        <v>23</v>
      </c>
      <c r="C615" s="107">
        <v>16</v>
      </c>
      <c r="D615" s="39" t="s">
        <v>432</v>
      </c>
      <c r="E615" s="107"/>
      <c r="F615" s="108">
        <f t="shared" ref="F615:L615" si="49">SUM(F612:F614)</f>
        <v>26401.96</v>
      </c>
      <c r="G615" s="108">
        <f t="shared" si="49"/>
        <v>5738.71</v>
      </c>
      <c r="H615" s="108">
        <f t="shared" si="49"/>
        <v>188.7</v>
      </c>
      <c r="I615" s="108">
        <f t="shared" si="49"/>
        <v>6969.1100000000006</v>
      </c>
      <c r="J615" s="108">
        <f t="shared" si="49"/>
        <v>0</v>
      </c>
      <c r="K615" s="108">
        <f t="shared" si="49"/>
        <v>0</v>
      </c>
      <c r="L615" s="89">
        <f t="shared" si="49"/>
        <v>39298.480000000003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798896.28</v>
      </c>
      <c r="H618" s="109">
        <f>SUM(F52)</f>
        <v>798896.28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99496.78</v>
      </c>
      <c r="H619" s="109">
        <f>SUM(G52)</f>
        <v>99496.78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580328.53</v>
      </c>
      <c r="H620" s="109">
        <f>SUM(H52)</f>
        <v>580328.53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2312856.4500000002</v>
      </c>
      <c r="H621" s="109">
        <f>SUM(I52)</f>
        <v>2312856.4500000002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46703.26</v>
      </c>
      <c r="H622" s="109">
        <f>SUM(J52)</f>
        <v>46703.26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419671</v>
      </c>
      <c r="H623" s="109">
        <f>F477</f>
        <v>419671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74142.87</v>
      </c>
      <c r="H624" s="109">
        <f>G477</f>
        <v>74142.87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99160.320000000007</v>
      </c>
      <c r="H625" s="109">
        <f>H477</f>
        <v>99160.319999999832</v>
      </c>
      <c r="I625" s="121" t="s">
        <v>103</v>
      </c>
      <c r="J625" s="109">
        <f t="shared" si="50"/>
        <v>1.7462298274040222E-10</v>
      </c>
      <c r="K625" s="109"/>
      <c r="L625" s="109"/>
      <c r="M625" s="8"/>
    </row>
    <row r="626" spans="1:13" s="3" customFormat="1" ht="12.2" customHeight="1" x14ac:dyDescent="0.15">
      <c r="A626" s="97"/>
      <c r="B626" s="105"/>
      <c r="C626" s="105"/>
      <c r="D626" s="105"/>
      <c r="E626" s="105"/>
      <c r="F626" s="120" t="s">
        <v>868</v>
      </c>
      <c r="G626" s="109">
        <f>I51</f>
        <v>56216.54</v>
      </c>
      <c r="H626" s="109">
        <f>I477</f>
        <v>56216.540000000037</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46703.26</v>
      </c>
      <c r="H627" s="109">
        <f>J477</f>
        <v>46703.26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28340356.5</v>
      </c>
      <c r="H628" s="104">
        <f>SUM(F469)</f>
        <v>28340356.5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492776.51</v>
      </c>
      <c r="H629" s="104">
        <f>SUM(G469)</f>
        <v>492776.51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2163504.2800000007</v>
      </c>
      <c r="H630" s="104">
        <f>SUM(H469)</f>
        <v>2163504.2799999998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650015.96</v>
      </c>
      <c r="H631" s="104">
        <f>SUM(I469)</f>
        <v>650015.96</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12628.5</v>
      </c>
      <c r="H632" s="104">
        <f>SUM(J469)</f>
        <v>12628.5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27920685.5</v>
      </c>
      <c r="H633" s="104">
        <f>SUM(F473)</f>
        <v>27920685.5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2187321.36</v>
      </c>
      <c r="H634" s="104">
        <f>SUM(H473)</f>
        <v>2187321.36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25443.64</v>
      </c>
      <c r="H635" s="104">
        <f>I370</f>
        <v>25443.64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486942.64</v>
      </c>
      <c r="H636" s="104">
        <f>SUM(G473)</f>
        <v>486942.64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521172.98000000004</v>
      </c>
      <c r="H637" s="104">
        <f>SUM(I473)</f>
        <v>521172.98</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12628.5</v>
      </c>
      <c r="H638" s="164">
        <f>SUM(J469)</f>
        <v>12628.5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18018.39</v>
      </c>
      <c r="H639" s="164">
        <f>SUM(J473)</f>
        <v>18018.39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46703.26</v>
      </c>
      <c r="H642" s="104">
        <f>SUM(H462)</f>
        <v>46703.26</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46703.26</v>
      </c>
      <c r="H643" s="104">
        <f>SUM(I462)</f>
        <v>46703.26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12628.5</v>
      </c>
      <c r="H647" s="104">
        <f>L409</f>
        <v>12628.5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1023350.09</v>
      </c>
      <c r="H648" s="104">
        <f>L209+L227+L245</f>
        <v>1023350.09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427641.86</v>
      </c>
      <c r="H649" s="104">
        <f>(J258+J339)-(J256+J337)</f>
        <v>427641.86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453184.63999999996</v>
      </c>
      <c r="H650" s="104">
        <f>H599</f>
        <v>453184.63779279281</v>
      </c>
      <c r="I650" s="140" t="s">
        <v>388</v>
      </c>
      <c r="J650" s="109">
        <f t="shared" si="50"/>
        <v>2.2072071442380548E-3</v>
      </c>
      <c r="K650" s="85"/>
      <c r="L650" s="88"/>
      <c r="M650" s="8"/>
    </row>
    <row r="651" spans="1:13" s="3" customFormat="1" ht="12.2" customHeight="1" x14ac:dyDescent="0.15">
      <c r="A651" s="22"/>
      <c r="B651" s="105"/>
      <c r="C651" s="105"/>
      <c r="D651" s="105"/>
      <c r="E651" s="105"/>
      <c r="F651" s="120" t="s">
        <v>392</v>
      </c>
      <c r="G651" s="109">
        <f>L227</f>
        <v>246181.41</v>
      </c>
      <c r="H651" s="104">
        <f>I599</f>
        <v>246181.41441441441</v>
      </c>
      <c r="I651" s="140" t="s">
        <v>389</v>
      </c>
      <c r="J651" s="109">
        <f t="shared" si="50"/>
        <v>-4.4144144048914313E-3</v>
      </c>
      <c r="K651" s="85"/>
      <c r="L651" s="88"/>
      <c r="M651" s="8"/>
    </row>
    <row r="652" spans="1:13" s="3" customFormat="1" ht="12.2" customHeight="1" x14ac:dyDescent="0.15">
      <c r="A652" s="22"/>
      <c r="B652" s="105"/>
      <c r="C652" s="105"/>
      <c r="D652" s="105"/>
      <c r="E652" s="105"/>
      <c r="F652" s="120" t="s">
        <v>393</v>
      </c>
      <c r="G652" s="109">
        <f>L245</f>
        <v>323984.04000000004</v>
      </c>
      <c r="H652" s="104">
        <f>J599</f>
        <v>323984.03779279278</v>
      </c>
      <c r="I652" s="140" t="s">
        <v>390</v>
      </c>
      <c r="J652" s="109">
        <f t="shared" si="50"/>
        <v>2.2072072606533766E-3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12434879.359999999</v>
      </c>
      <c r="G661" s="19">
        <f>(L230+L310+L360)</f>
        <v>6336622.6600000001</v>
      </c>
      <c r="H661" s="19">
        <f>(L248+L329+L361)</f>
        <v>8870497.5199999996</v>
      </c>
      <c r="I661" s="19">
        <f>SUM(F661:H661)</f>
        <v>27641999.539999999</v>
      </c>
      <c r="J661" s="13"/>
      <c r="K661" s="13"/>
      <c r="L661" s="13"/>
      <c r="M661" s="9"/>
    </row>
    <row r="662" spans="1:13" s="3" customFormat="1" ht="12.2" customHeight="1" x14ac:dyDescent="0.2">
      <c r="A662" s="1" t="s">
        <v>127</v>
      </c>
      <c r="F662" s="19">
        <f>(L359/IF(SUM(L359:L361)=0,1,SUM(L359:L361))*(SUM(G97:G110)))</f>
        <v>5169.7999999999993</v>
      </c>
      <c r="G662" s="19">
        <f>(L360/IF(SUM(L359:L361)=0,1,SUM(L359:L361))*(SUM(G97:G110)))</f>
        <v>0</v>
      </c>
      <c r="H662" s="19">
        <f>(L361/IF(SUM(L359:L361)=0,1,SUM(L359:L361))*(SUM(G97:G110)))</f>
        <v>0</v>
      </c>
      <c r="I662" s="19">
        <f>SUM(F662:H662)</f>
        <v>5169.7999999999993</v>
      </c>
      <c r="J662"/>
      <c r="K662" s="13"/>
      <c r="L662" s="13"/>
      <c r="M662" s="8"/>
    </row>
    <row r="663" spans="1:13" s="3" customFormat="1" ht="12.2" customHeight="1" x14ac:dyDescent="0.2">
      <c r="A663" s="1" t="s">
        <v>128</v>
      </c>
      <c r="F663" s="19">
        <f>(L209+L288)-(J209+J288)</f>
        <v>454200.73</v>
      </c>
      <c r="G663" s="19">
        <f>(L227+L307)-(J227+J307)</f>
        <v>246733.53</v>
      </c>
      <c r="H663" s="19">
        <f>(L245+L326)-(J245+J326)</f>
        <v>323984.04000000004</v>
      </c>
      <c r="I663" s="19">
        <f>SUM(F663:H663)</f>
        <v>1024918.3</v>
      </c>
      <c r="J663"/>
      <c r="K663" s="13"/>
      <c r="L663" s="13"/>
      <c r="M663" s="9"/>
    </row>
    <row r="664" spans="1:13" s="3" customFormat="1" ht="12.2" customHeight="1" x14ac:dyDescent="0.15">
      <c r="A664" s="198" t="s">
        <v>129</v>
      </c>
      <c r="B664" s="169"/>
      <c r="C664" s="169"/>
      <c r="D664" s="169"/>
      <c r="E664" s="169"/>
      <c r="F664" s="199">
        <f>SUM(F576:F588)+SUM(H603:H605)+SUM(L612)</f>
        <v>642112.84138672345</v>
      </c>
      <c r="G664" s="199">
        <f>SUM(G576:G588)+SUM(I603:I605)+L613</f>
        <v>413347.53147363698</v>
      </c>
      <c r="H664" s="199">
        <f>SUM(H576:H588)+SUM(J603:J605)+L614</f>
        <v>962415.79713963973</v>
      </c>
      <c r="I664" s="19">
        <f>SUM(F664:H664)</f>
        <v>2017876.1700000002</v>
      </c>
      <c r="J664" s="13"/>
      <c r="K664" s="13"/>
      <c r="L664" s="13"/>
      <c r="M664" s="9"/>
    </row>
    <row r="665" spans="1:13" s="3" customFormat="1" ht="12.2" customHeight="1" x14ac:dyDescent="0.15">
      <c r="A665" s="1" t="s">
        <v>130</v>
      </c>
      <c r="F665" s="19">
        <f>F661-SUM(F662:F664)</f>
        <v>11333395.988613276</v>
      </c>
      <c r="G665" s="19">
        <f>G661-SUM(G662:G664)</f>
        <v>5676541.5985263633</v>
      </c>
      <c r="H665" s="19">
        <f>H661-SUM(H662:H664)</f>
        <v>7584097.6828603595</v>
      </c>
      <c r="I665" s="19">
        <f>I661-SUM(I662:I664)</f>
        <v>24594035.27</v>
      </c>
      <c r="J665" s="13"/>
      <c r="K665" s="13"/>
      <c r="L665" s="13"/>
      <c r="M665" s="8"/>
    </row>
    <row r="666" spans="1:13" s="3" customFormat="1" ht="12.2" customHeight="1" x14ac:dyDescent="0.25">
      <c r="A666" s="1" t="s">
        <v>131</v>
      </c>
      <c r="F666" s="359">
        <v>605.04</v>
      </c>
      <c r="G666" s="359">
        <v>331.4</v>
      </c>
      <c r="H666" s="359">
        <v>398.29</v>
      </c>
      <c r="I666" s="19">
        <f>SUM(F666:H666)</f>
        <v>1334.73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18731.650000000001</v>
      </c>
      <c r="G668" s="19">
        <f>ROUND(G665/G666,2)</f>
        <v>17128.97</v>
      </c>
      <c r="H668" s="19">
        <f>ROUND(H665/H666,2)</f>
        <v>19041.650000000001</v>
      </c>
      <c r="I668" s="19">
        <f>ROUND(I665/I666,2)</f>
        <v>18426.22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2.5499999999999998</v>
      </c>
      <c r="I671" s="19">
        <f>SUM(F671:H671)</f>
        <v>2.5499999999999998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18731.650000000001</v>
      </c>
      <c r="G673" s="19">
        <f>ROUND((G665+G670)/(G666+G671),2)</f>
        <v>17128.97</v>
      </c>
      <c r="H673" s="19">
        <f>ROUND((H665+H670)/(H666+H671),2)</f>
        <v>18920.509999999998</v>
      </c>
      <c r="I673" s="19">
        <f>ROUND((I665+I670)/(I666+I671),2)</f>
        <v>18391.09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C24" sqref="C2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314296.99</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346602.94</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548339.21</v>
      </c>
      <c r="F22" s="346"/>
    </row>
    <row r="23" spans="2:8" x14ac:dyDescent="0.25">
      <c r="B23" s="346"/>
      <c r="C23" s="346"/>
      <c r="D23" s="346"/>
      <c r="E23" s="346"/>
      <c r="F23" s="346"/>
    </row>
    <row r="24" spans="2:8" ht="26.25" customHeight="1" x14ac:dyDescent="0.25">
      <c r="B24" s="346"/>
      <c r="C24" s="348" t="s">
        <v>1661</v>
      </c>
      <c r="D24" s="346"/>
      <c r="E24" s="341">
        <f>600+8538.57+6360.6+1880.51+2084.85</f>
        <v>19464.53</v>
      </c>
      <c r="F24" s="346"/>
    </row>
    <row r="25" spans="2:8" ht="18" x14ac:dyDescent="0.25">
      <c r="B25" s="346"/>
      <c r="C25" s="349"/>
      <c r="D25" s="346"/>
      <c r="E25" s="346"/>
      <c r="F25" s="346"/>
    </row>
    <row r="26" spans="2:8" ht="27.75" customHeight="1" x14ac:dyDescent="0.25">
      <c r="B26" s="346"/>
      <c r="C26" s="348" t="s">
        <v>1662</v>
      </c>
      <c r="D26" s="346"/>
      <c r="E26" s="341">
        <f>289746.36+49452.72+189675.6</f>
        <v>528874.67999999993</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f>5167.35+36190.06+71203.31</f>
        <v>112560.72</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Somersworth School District</v>
      </c>
      <c r="C5" s="363"/>
      <c r="D5" s="363"/>
      <c r="E5" s="363"/>
      <c r="F5" s="363"/>
    </row>
    <row r="8" spans="1:9" ht="18" x14ac:dyDescent="0.25">
      <c r="A8" s="317" t="s">
        <v>1576</v>
      </c>
      <c r="F8" s="324" t="s">
        <v>1594</v>
      </c>
    </row>
    <row r="9" spans="1:9" ht="15" x14ac:dyDescent="0.2">
      <c r="A9" s="315" t="s">
        <v>1577</v>
      </c>
      <c r="B9" s="318">
        <f>'DOE25'!G97</f>
        <v>1742.6</v>
      </c>
      <c r="F9" s="315" t="s">
        <v>1590</v>
      </c>
    </row>
    <row r="10" spans="1:9" ht="15" x14ac:dyDescent="0.2">
      <c r="A10" s="315" t="s">
        <v>1578</v>
      </c>
      <c r="B10" s="318">
        <f>'DOE25'!G112-'DOE25'!G97</f>
        <v>3427.1999999999994</v>
      </c>
      <c r="F10" s="315" t="s">
        <v>1591</v>
      </c>
    </row>
    <row r="11" spans="1:9" ht="15" x14ac:dyDescent="0.2">
      <c r="A11" s="315" t="s">
        <v>1579</v>
      </c>
      <c r="B11" s="318">
        <f>'DOE25'!G140</f>
        <v>33473.279999999999</v>
      </c>
      <c r="F11" s="315" t="s">
        <v>1592</v>
      </c>
    </row>
    <row r="12" spans="1:9" ht="15" x14ac:dyDescent="0.2">
      <c r="A12" s="315" t="s">
        <v>1580</v>
      </c>
      <c r="B12" s="318">
        <f>'DOE25'!G170</f>
        <v>454133.43</v>
      </c>
      <c r="F12" s="315" t="s">
        <v>1593</v>
      </c>
    </row>
    <row r="13" spans="1:9" ht="15" x14ac:dyDescent="0.2">
      <c r="A13" s="315" t="s">
        <v>1581</v>
      </c>
      <c r="B13" s="318">
        <f>'DOE25'!G193-'DOE25'!G180</f>
        <v>0</v>
      </c>
      <c r="F13" s="315" t="s">
        <v>1603</v>
      </c>
    </row>
    <row r="14" spans="1:9" ht="18" x14ac:dyDescent="0.25">
      <c r="A14" s="317" t="s">
        <v>732</v>
      </c>
      <c r="B14" s="319">
        <f>SUM(B9:B13)</f>
        <v>492776.51</v>
      </c>
    </row>
    <row r="16" spans="1:9" ht="18" x14ac:dyDescent="0.25">
      <c r="A16" s="317" t="s">
        <v>786</v>
      </c>
      <c r="F16" s="324" t="s">
        <v>1595</v>
      </c>
    </row>
    <row r="17" spans="1:6" ht="15" x14ac:dyDescent="0.2">
      <c r="A17" s="315" t="s">
        <v>1582</v>
      </c>
      <c r="B17" s="318">
        <f>'DOE25'!L363-'DOE25'!L362</f>
        <v>486942.64</v>
      </c>
      <c r="F17" s="315" t="s">
        <v>1596</v>
      </c>
    </row>
    <row r="18" spans="1:6" ht="15" x14ac:dyDescent="0.2">
      <c r="A18" s="315" t="s">
        <v>1583</v>
      </c>
      <c r="B18" s="328">
        <v>0</v>
      </c>
      <c r="F18" s="324" t="s">
        <v>1620</v>
      </c>
    </row>
    <row r="19" spans="1:6" ht="18" x14ac:dyDescent="0.25">
      <c r="A19" s="317" t="s">
        <v>725</v>
      </c>
      <c r="B19" s="319">
        <f>SUM(B17:B18)</f>
        <v>486942.64</v>
      </c>
    </row>
    <row r="21" spans="1:6" ht="18.75" thickBot="1" x14ac:dyDescent="0.3">
      <c r="A21" s="317" t="s">
        <v>1584</v>
      </c>
    </row>
    <row r="22" spans="1:6" ht="18.75" thickTop="1" x14ac:dyDescent="0.25">
      <c r="A22" s="317" t="s">
        <v>1585</v>
      </c>
      <c r="B22" s="323">
        <f>B14-B19</f>
        <v>5833.8699999999953</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68309</v>
      </c>
      <c r="F31" s="315" t="s">
        <v>1600</v>
      </c>
    </row>
    <row r="33" spans="1:6" ht="15" x14ac:dyDescent="0.2">
      <c r="A33" s="315" t="s">
        <v>1629</v>
      </c>
      <c r="B33" s="318">
        <f>'DOE25'!G477</f>
        <v>74142.87</v>
      </c>
      <c r="F33" s="315" t="s">
        <v>1601</v>
      </c>
    </row>
    <row r="36" spans="1:6" ht="15" x14ac:dyDescent="0.2">
      <c r="A36" s="315" t="s">
        <v>1587</v>
      </c>
      <c r="B36" s="329">
        <v>51546.2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Somersworth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5583224.5499999998</v>
      </c>
      <c r="C9" s="229">
        <f>'DOE25'!G198+'DOE25'!G216+'DOE25'!G234+'DOE25'!G277+'DOE25'!G296+'DOE25'!G315</f>
        <v>3061578.1700000004</v>
      </c>
    </row>
    <row r="10" spans="1:3" x14ac:dyDescent="0.2">
      <c r="A10" t="s">
        <v>775</v>
      </c>
      <c r="B10" s="240">
        <f>11060+4918972.84+106029.08</f>
        <v>5036061.92</v>
      </c>
      <c r="C10" s="240">
        <f>1146148.18+51250.12+19.19+6398.61+8568.61+1297.76+6301.35+357509.99+863557.17-9133.39+138781.76-13890.92+8646.75+12821.5+69374+2543.97+85433.81</f>
        <v>2735628.4600000009</v>
      </c>
    </row>
    <row r="11" spans="1:3" x14ac:dyDescent="0.2">
      <c r="A11" t="s">
        <v>776</v>
      </c>
      <c r="B11" s="240">
        <f>193393.67</f>
        <v>193393.67</v>
      </c>
      <c r="C11" s="240">
        <f>97617.77+3628.3+393.7+319.14+11.03+13145.12+19337.78</f>
        <v>134452.84</v>
      </c>
    </row>
    <row r="12" spans="1:3" x14ac:dyDescent="0.2">
      <c r="A12" t="s">
        <v>777</v>
      </c>
      <c r="B12" s="240">
        <f>3000+1200+62061.71+4610.72+4183.7+2922.48+274723.35+736.3+330.75-0.05</f>
        <v>353768.95999999996</v>
      </c>
      <c r="C12" s="240">
        <f>216.71+229.5+91.8+534+122013.79+350.18+249.92+163.56+19094.03+126.46+820.68+605.06+429.99+39348.35+270.7+4540.25+1434.09+25.3+952.5</f>
        <v>191496.86999999997</v>
      </c>
    </row>
    <row r="13" spans="1:3" x14ac:dyDescent="0.2">
      <c r="A13" t="str">
        <f>IF(B9=B13,IF(C9=C13,"Check Total OK","Check Total Error"),"Check Total Error")</f>
        <v>Check Total OK</v>
      </c>
      <c r="B13" s="231">
        <f>SUM(B10:B12)</f>
        <v>5583224.5499999998</v>
      </c>
      <c r="C13" s="231">
        <f>SUM(C10:C12)</f>
        <v>3061578.1700000009</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2726847.0700000003</v>
      </c>
      <c r="C18" s="229">
        <f>'DOE25'!G199+'DOE25'!G217+'DOE25'!G235+'DOE25'!G278+'DOE25'!G297+'DOE25'!G316</f>
        <v>1604387.94</v>
      </c>
    </row>
    <row r="19" spans="1:3" x14ac:dyDescent="0.2">
      <c r="A19" t="s">
        <v>775</v>
      </c>
      <c r="B19" s="240">
        <f>973276.88+153637</f>
        <v>1126913.8799999999</v>
      </c>
      <c r="C19" s="240">
        <f>284832+12604.7+1349.6+1762.7+501.59+69104.84+181326.07+50439.98+2233+208.37+270.26+49.52+10914.72+27347.44</f>
        <v>642944.78999999992</v>
      </c>
    </row>
    <row r="20" spans="1:3" x14ac:dyDescent="0.2">
      <c r="A20" t="s">
        <v>776</v>
      </c>
      <c r="B20" s="240">
        <v>1339278.6000000001</v>
      </c>
      <c r="C20" s="240">
        <f>618168.92+30445.78+3429.55+2743.37+41.39+93800.12+147228.78</f>
        <v>895857.91000000015</v>
      </c>
    </row>
    <row r="21" spans="1:3" x14ac:dyDescent="0.2">
      <c r="A21" t="s">
        <v>777</v>
      </c>
      <c r="B21" s="240">
        <f>44110.12+42436+174108.47</f>
        <v>260654.59</v>
      </c>
      <c r="C21" s="240">
        <f>11489+470+271+117+1108.97+3361.16+3246+2415.11+6005.85+4740+1750+13084.34+17526.81</f>
        <v>65585.239999999991</v>
      </c>
    </row>
    <row r="22" spans="1:3" x14ac:dyDescent="0.2">
      <c r="A22" t="str">
        <f>IF(B18=B22,IF(C18=C22,"Check Total OK","Check Total Error"),"Check Total Error")</f>
        <v>Check Total OK</v>
      </c>
      <c r="B22" s="231">
        <f>SUM(B19:B21)</f>
        <v>2726847.07</v>
      </c>
      <c r="C22" s="231">
        <f>SUM(C19:C21)</f>
        <v>1604387.9400000002</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463291.15</v>
      </c>
      <c r="C27" s="234">
        <f>'DOE25'!G200+'DOE25'!G218+'DOE25'!G236+'DOE25'!G279+'DOE25'!G298+'DOE25'!G317</f>
        <v>239943.91</v>
      </c>
    </row>
    <row r="28" spans="1:3" x14ac:dyDescent="0.2">
      <c r="A28" t="s">
        <v>775</v>
      </c>
      <c r="B28" s="240">
        <v>444016.32</v>
      </c>
      <c r="C28" s="240">
        <f>114608.38+5075.53+584.81+744.1+503.48+31697.71+72090.87</f>
        <v>225304.88</v>
      </c>
    </row>
    <row r="29" spans="1:3" x14ac:dyDescent="0.2">
      <c r="A29" t="s">
        <v>776</v>
      </c>
      <c r="B29" s="240">
        <v>19274.830000000002</v>
      </c>
      <c r="C29" s="240">
        <f>12865.43+733+49.7+39.78+951.12</f>
        <v>14639.030000000002</v>
      </c>
    </row>
    <row r="30" spans="1:3" x14ac:dyDescent="0.2">
      <c r="A30" t="s">
        <v>777</v>
      </c>
      <c r="B30" s="240">
        <v>0</v>
      </c>
      <c r="C30" s="240">
        <v>0</v>
      </c>
    </row>
    <row r="31" spans="1:3" x14ac:dyDescent="0.2">
      <c r="A31" t="str">
        <f>IF(B27=B31,IF(C27=C31,"Check Total OK","Check Total Error"),"Check Total Error")</f>
        <v>Check Total OK</v>
      </c>
      <c r="B31" s="231">
        <f>SUM(B28:B30)</f>
        <v>463291.15</v>
      </c>
      <c r="C31" s="231">
        <f>SUM(C28:C30)</f>
        <v>239943.91</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267963.11</v>
      </c>
      <c r="C36" s="235">
        <f>'DOE25'!G201+'DOE25'!G219+'DOE25'!G237+'DOE25'!G280+'DOE25'!G299+'DOE25'!G318</f>
        <v>61973.640000000007</v>
      </c>
    </row>
    <row r="37" spans="1:3" x14ac:dyDescent="0.2">
      <c r="A37" t="s">
        <v>775</v>
      </c>
      <c r="B37" s="240">
        <v>0</v>
      </c>
      <c r="C37" s="240">
        <v>0</v>
      </c>
    </row>
    <row r="38" spans="1:3" x14ac:dyDescent="0.2">
      <c r="A38" t="s">
        <v>776</v>
      </c>
      <c r="B38" s="240">
        <v>0</v>
      </c>
      <c r="C38" s="240">
        <v>0</v>
      </c>
    </row>
    <row r="39" spans="1:3" x14ac:dyDescent="0.2">
      <c r="A39" t="s">
        <v>777</v>
      </c>
      <c r="B39" s="240">
        <f>32643+111033.79+17601.96+4120+1680+100884.36</f>
        <v>267963.11</v>
      </c>
      <c r="C39" s="240">
        <f>2497.13+4867.99+9446.74+10259.78+299.59+119.4+2358.98+607.28+243.34+1553.3+9429.1+494.1+0.44+22.95+7490.4+10936.5+1346.62</f>
        <v>61973.64</v>
      </c>
    </row>
    <row r="40" spans="1:3" x14ac:dyDescent="0.2">
      <c r="A40" t="str">
        <f>IF(B36=B40,IF(C36=C40,"Check Total OK","Check Total Error"),"Check Total Error")</f>
        <v>Check Total OK</v>
      </c>
      <c r="B40" s="231">
        <f>SUM(B37:B39)</f>
        <v>267963.11</v>
      </c>
      <c r="C40" s="231">
        <f>SUM(C37:C39)</f>
        <v>61973.64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4"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Somersworth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15331054.01</v>
      </c>
      <c r="D5" s="20">
        <f>SUM('DOE25'!L198:L201)+SUM('DOE25'!L216:L219)+SUM('DOE25'!L234:L237)-F5-G5-H5</f>
        <v>15288761.149999999</v>
      </c>
      <c r="E5" s="243"/>
      <c r="F5" s="244">
        <v>10380.879999999999</v>
      </c>
      <c r="G5" s="53">
        <f>SUM('DOE25'!J198:J201)+SUM('DOE25'!J216:J219)+SUM('DOE25'!J234:J237)</f>
        <v>27001.980000000003</v>
      </c>
      <c r="H5" s="53">
        <f>SUM('DOE25'!K198:K201)+SUM('DOE25'!K216:K219)+SUM('DOE25'!K234:K237)</f>
        <v>4910</v>
      </c>
      <c r="I5" s="254"/>
    </row>
    <row r="6" spans="1:9" x14ac:dyDescent="0.2">
      <c r="A6" s="32">
        <v>2100</v>
      </c>
      <c r="B6" t="s">
        <v>796</v>
      </c>
      <c r="C6" s="273">
        <f t="shared" si="0"/>
        <v>1876387.5</v>
      </c>
      <c r="D6" s="20">
        <f>'DOE25'!L203+'DOE25'!L221+'DOE25'!L239-F6-G6-H6</f>
        <v>1572706.3599999999</v>
      </c>
      <c r="E6" s="243"/>
      <c r="F6" s="244">
        <f>215937.04+47697.1+28823.9</f>
        <v>292458.04000000004</v>
      </c>
      <c r="G6" s="53">
        <f>'DOE25'!J203+'DOE25'!J221+'DOE25'!J239</f>
        <v>489.8</v>
      </c>
      <c r="H6" s="53">
        <f>'DOE25'!K203+'DOE25'!K221+'DOE25'!K239</f>
        <v>10733.3</v>
      </c>
      <c r="I6" s="254"/>
    </row>
    <row r="7" spans="1:9" x14ac:dyDescent="0.2">
      <c r="A7" s="32">
        <v>2200</v>
      </c>
      <c r="B7" t="s">
        <v>821</v>
      </c>
      <c r="C7" s="273">
        <f t="shared" si="0"/>
        <v>386161.73</v>
      </c>
      <c r="D7" s="20">
        <f>'DOE25'!L204+'DOE25'!L222+'DOE25'!L240-F7-G7-H7</f>
        <v>383934.92</v>
      </c>
      <c r="E7" s="243"/>
      <c r="F7" s="244">
        <v>0</v>
      </c>
      <c r="G7" s="53">
        <f>'DOE25'!J204+'DOE25'!J222+'DOE25'!J240</f>
        <v>2226.81</v>
      </c>
      <c r="H7" s="53">
        <f>'DOE25'!K204+'DOE25'!K222+'DOE25'!K240</f>
        <v>0</v>
      </c>
      <c r="I7" s="254"/>
    </row>
    <row r="8" spans="1:9" x14ac:dyDescent="0.2">
      <c r="A8" s="32">
        <v>2300</v>
      </c>
      <c r="B8" t="s">
        <v>797</v>
      </c>
      <c r="C8" s="273">
        <f t="shared" si="0"/>
        <v>729077.4700000002</v>
      </c>
      <c r="D8" s="243"/>
      <c r="E8" s="20">
        <f>'DOE25'!L205+'DOE25'!L223+'DOE25'!L241-F8-G8-H8-D9-D11</f>
        <v>723512.76000000024</v>
      </c>
      <c r="F8" s="244">
        <v>0</v>
      </c>
      <c r="G8" s="53">
        <f>'DOE25'!J205+'DOE25'!J223+'DOE25'!J241</f>
        <v>0</v>
      </c>
      <c r="H8" s="53">
        <f>'DOE25'!K205+'DOE25'!K223+'DOE25'!K241</f>
        <v>5564.71</v>
      </c>
      <c r="I8" s="254"/>
    </row>
    <row r="9" spans="1:9" ht="14.25" x14ac:dyDescent="0.2">
      <c r="A9" s="32">
        <v>2310</v>
      </c>
      <c r="B9" s="185" t="s">
        <v>888</v>
      </c>
      <c r="C9" s="273">
        <f t="shared" si="0"/>
        <v>10078.890000000001</v>
      </c>
      <c r="D9" s="244">
        <f>8426.86+1652.03</f>
        <v>10078.890000000001</v>
      </c>
      <c r="E9" s="243"/>
      <c r="F9" s="251"/>
      <c r="G9" s="251"/>
      <c r="H9" s="251"/>
      <c r="I9" s="254"/>
    </row>
    <row r="10" spans="1:9" ht="14.25" x14ac:dyDescent="0.2">
      <c r="A10" s="32">
        <v>2317</v>
      </c>
      <c r="B10" s="185" t="s">
        <v>889</v>
      </c>
      <c r="C10" s="273">
        <f t="shared" si="0"/>
        <v>7433.75</v>
      </c>
      <c r="D10" s="243"/>
      <c r="E10" s="244">
        <v>7433.75</v>
      </c>
      <c r="F10" s="251"/>
      <c r="G10" s="251"/>
      <c r="H10" s="251"/>
      <c r="I10" s="254"/>
    </row>
    <row r="11" spans="1:9" ht="14.25" x14ac:dyDescent="0.2">
      <c r="A11" s="32">
        <v>2321</v>
      </c>
      <c r="B11" s="185" t="s">
        <v>890</v>
      </c>
      <c r="C11" s="273">
        <f t="shared" si="0"/>
        <v>345256.26</v>
      </c>
      <c r="D11" s="244">
        <v>345256.26</v>
      </c>
      <c r="E11" s="243"/>
      <c r="F11" s="251"/>
      <c r="G11" s="251"/>
      <c r="H11" s="251"/>
      <c r="I11" s="254"/>
    </row>
    <row r="12" spans="1:9" x14ac:dyDescent="0.2">
      <c r="A12" s="32">
        <v>2400</v>
      </c>
      <c r="B12" t="s">
        <v>711</v>
      </c>
      <c r="C12" s="273">
        <f t="shared" si="0"/>
        <v>1747546.75</v>
      </c>
      <c r="D12" s="20">
        <f>'DOE25'!L206+'DOE25'!L224+'DOE25'!L242-F12-G12-H12</f>
        <v>1737262.8299999998</v>
      </c>
      <c r="E12" s="243"/>
      <c r="F12" s="244">
        <v>0</v>
      </c>
      <c r="G12" s="53">
        <f>'DOE25'!J206+'DOE25'!J224+'DOE25'!J242</f>
        <v>50.87</v>
      </c>
      <c r="H12" s="53">
        <f>'DOE25'!K206+'DOE25'!K224+'DOE25'!K242</f>
        <v>10233.049999999999</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3077026.3199999994</v>
      </c>
      <c r="D14" s="20">
        <f>'DOE25'!L208+'DOE25'!L226+'DOE25'!L244-F14-G14-H14</f>
        <v>2449213.4499999993</v>
      </c>
      <c r="E14" s="243"/>
      <c r="F14" s="244">
        <f>8274.51+47030.51+175000+264437.38+1925.76+2900+101096+14900+6110.05</f>
        <v>621674.21000000008</v>
      </c>
      <c r="G14" s="53">
        <f>'DOE25'!J208+'DOE25'!J226+'DOE25'!J244</f>
        <v>6138.66</v>
      </c>
      <c r="H14" s="53">
        <f>'DOE25'!K208+'DOE25'!K226+'DOE25'!K244</f>
        <v>0</v>
      </c>
      <c r="I14" s="254"/>
    </row>
    <row r="15" spans="1:9" x14ac:dyDescent="0.2">
      <c r="A15" s="32">
        <v>2700</v>
      </c>
      <c r="B15" t="s">
        <v>799</v>
      </c>
      <c r="C15" s="273">
        <f t="shared" si="0"/>
        <v>1023350.09</v>
      </c>
      <c r="D15" s="20">
        <f>'DOE25'!L209+'DOE25'!L227+'DOE25'!L245-F15-G15-H15</f>
        <v>130350.21999999997</v>
      </c>
      <c r="E15" s="243"/>
      <c r="F15" s="244">
        <f>401797.37+491202.5</f>
        <v>892999.87</v>
      </c>
      <c r="G15" s="53">
        <f>'DOE25'!J209+'DOE25'!J227+'DOE25'!J245</f>
        <v>0</v>
      </c>
      <c r="H15" s="53">
        <f>'DOE25'!K209+'DOE25'!K227+'DOE25'!K245</f>
        <v>0</v>
      </c>
      <c r="I15" s="254"/>
    </row>
    <row r="16" spans="1:9" x14ac:dyDescent="0.2">
      <c r="A16" s="32">
        <v>2800</v>
      </c>
      <c r="B16" t="s">
        <v>800</v>
      </c>
      <c r="C16" s="273">
        <f t="shared" si="0"/>
        <v>449305.48</v>
      </c>
      <c r="D16" s="243"/>
      <c r="E16" s="20">
        <f>'DOE25'!L210+'DOE25'!L228+'DOE25'!L246-F16-G16-H16</f>
        <v>132158.54</v>
      </c>
      <c r="F16" s="244">
        <f>138799.92+21202.56</f>
        <v>160002.48000000001</v>
      </c>
      <c r="G16" s="53">
        <f>'DOE25'!J210+'DOE25'!J228+'DOE25'!J246</f>
        <v>157144.46</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1120988.43</v>
      </c>
      <c r="D22" s="243"/>
      <c r="E22" s="243"/>
      <c r="F22" s="243"/>
      <c r="G22" s="53">
        <f>'DOE25'!L256+'DOE25'!L337</f>
        <v>1120988.43</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1824452.57</v>
      </c>
      <c r="D25" s="243"/>
      <c r="E25" s="243"/>
      <c r="F25" s="253"/>
      <c r="G25" s="251"/>
      <c r="H25" s="251"/>
      <c r="I25" s="252">
        <f>'DOE25'!L261+'DOE25'!L262+'DOE25'!L342+'DOE25'!L343</f>
        <v>1824452.57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461499</v>
      </c>
      <c r="D29" s="281">
        <f>'DOE25'!L359+'DOE25'!L360+'DOE25'!L361-'DOE25'!I368-F29-G29-H29</f>
        <v>25000</v>
      </c>
      <c r="E29" s="243"/>
      <c r="F29" s="244">
        <v>434164</v>
      </c>
      <c r="G29" s="53">
        <f>'DOE25'!J359+'DOE25'!J360+'DOE25'!J361</f>
        <v>2335</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2179812.3999999994</v>
      </c>
      <c r="D31" s="20">
        <f>'DOE25'!L291+'DOE25'!L310+'DOE25'!L329+'DOE25'!L334+'DOE25'!L335+'DOE25'!L336-F31-G31-H31</f>
        <v>1732368.4699999997</v>
      </c>
      <c r="E31" s="243"/>
      <c r="F31" s="244">
        <f>20520+165874.08</f>
        <v>186394.08</v>
      </c>
      <c r="G31" s="53">
        <f>'DOE25'!J291+'DOE25'!J310+'DOE25'!J329+'DOE25'!J334+'DOE25'!J335+'DOE25'!J336</f>
        <v>234589.28</v>
      </c>
      <c r="H31" s="53">
        <f>'DOE25'!K291+'DOE25'!K310+'DOE25'!K329+'DOE25'!K334+'DOE25'!K335+'DOE25'!K336</f>
        <v>26460.57</v>
      </c>
      <c r="I31" s="254"/>
    </row>
    <row r="32" spans="1:9" ht="12" thickBot="1" x14ac:dyDescent="0.25">
      <c r="C32" s="274"/>
      <c r="G32" s="249"/>
      <c r="H32" s="249"/>
      <c r="I32" s="256"/>
    </row>
    <row r="33" spans="1:9" ht="12" thickTop="1" x14ac:dyDescent="0.2">
      <c r="B33" t="s">
        <v>809</v>
      </c>
      <c r="D33" s="245">
        <f t="shared" ref="D33:I33" si="1">SUM(D5:D31)</f>
        <v>23674932.549999997</v>
      </c>
      <c r="E33" s="245">
        <f t="shared" si="1"/>
        <v>863105.05000000028</v>
      </c>
      <c r="F33" s="245">
        <f t="shared" si="1"/>
        <v>2598073.56</v>
      </c>
      <c r="G33" s="245">
        <f t="shared" si="1"/>
        <v>1550965.29</v>
      </c>
      <c r="H33" s="245">
        <f t="shared" si="1"/>
        <v>57901.63</v>
      </c>
      <c r="I33" s="245">
        <f t="shared" si="1"/>
        <v>1824452.57</v>
      </c>
    </row>
    <row r="35" spans="1:9" ht="12" thickBot="1" x14ac:dyDescent="0.25">
      <c r="B35" s="249" t="s">
        <v>831</v>
      </c>
      <c r="D35" s="250">
        <f>E33</f>
        <v>863105.05000000028</v>
      </c>
      <c r="E35" s="246"/>
      <c r="F35" s="333" t="s">
        <v>1632</v>
      </c>
      <c r="G35" s="334"/>
      <c r="H35" s="334"/>
      <c r="I35" s="334"/>
    </row>
    <row r="36" spans="1:9" ht="12" thickTop="1" x14ac:dyDescent="0.2">
      <c r="B36" t="s">
        <v>810</v>
      </c>
      <c r="D36" s="20">
        <f>D33</f>
        <v>23674932.549999997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J26" sqref="J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Somersworth School District</v>
      </c>
      <c r="B2" s="126">
        <f>'DOE25'!B2</f>
        <v>491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11947936.719999999</v>
      </c>
      <c r="G4" s="300">
        <f>'DOE25'!L212+'DOE25'!L291</f>
        <v>11947936.719999999</v>
      </c>
      <c r="H4" s="353">
        <f>F4-G4</f>
        <v>0</v>
      </c>
      <c r="I4" s="371" t="str">
        <f>IF(H4=0,"","ISSUES!! Please review page 7 and 11 totals in comparison with total on this page")</f>
        <v/>
      </c>
      <c r="N4"/>
    </row>
    <row r="5" spans="1:18" x14ac:dyDescent="0.2">
      <c r="A5" s="21" t="s">
        <v>1421</v>
      </c>
      <c r="B5" s="301">
        <f>IFERROR(VLOOKUP(A5,'School Tables'!$C$3:$D$365,2,FALSE),"")</f>
        <v>29202</v>
      </c>
      <c r="C5" s="294" t="str">
        <f>IFERROR(INDEX('School Tables'!$B$3:$B$365,MATCH('School Level Expenditures'!B5,'School Tables'!$D$3:$D$365,0)),"")</f>
        <v>Somersworth</v>
      </c>
      <c r="D5" s="291">
        <f>4696461.16+937870.27+11.02</f>
        <v>5634342.4499999993</v>
      </c>
      <c r="E5" s="291">
        <f>655263.14-3444.43</f>
        <v>651818.71</v>
      </c>
      <c r="F5" s="304">
        <f>D5+E5</f>
        <v>6286161.1599999992</v>
      </c>
      <c r="G5" s="294"/>
      <c r="H5" s="294"/>
      <c r="I5" s="372"/>
      <c r="N5"/>
    </row>
    <row r="6" spans="1:18" x14ac:dyDescent="0.2">
      <c r="A6" s="21" t="s">
        <v>1422</v>
      </c>
      <c r="B6" s="301">
        <f>IFERROR(VLOOKUP(A6,'School Tables'!$C$3:$D$365,2,FALSE),"")</f>
        <v>29203</v>
      </c>
      <c r="C6" s="294" t="str">
        <f>IFERROR(INDEX('School Tables'!$B$3:$B$365,MATCH('School Level Expenditures'!B6,'School Tables'!$D$3:$D$365,0)),"")</f>
        <v>Somersworth</v>
      </c>
      <c r="D6" s="291">
        <f>3935881.02+1016026.13</f>
        <v>4951907.1500000004</v>
      </c>
      <c r="E6" s="291">
        <v>709868.41</v>
      </c>
      <c r="F6" s="304">
        <f t="shared" ref="F6:F20" si="0">D6+E6</f>
        <v>5661775.5600000005</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10586249.6</v>
      </c>
      <c r="E21" s="351">
        <f>SUM(E5:E20)</f>
        <v>1361687.12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6336622.6600000001</v>
      </c>
      <c r="G24" s="300">
        <f>'DOE25'!L230+'DOE25'!L310</f>
        <v>6336622.6600000001</v>
      </c>
      <c r="H24" s="353">
        <f>F24-G24</f>
        <v>0</v>
      </c>
      <c r="I24" s="371" t="str">
        <f>IF(H24=0,"","ISSUES!! Please review page 8 and 12 totals in comparison with total on this page")</f>
        <v/>
      </c>
      <c r="N24"/>
    </row>
    <row r="25" spans="1:14" x14ac:dyDescent="0.2">
      <c r="A25" s="21" t="s">
        <v>1419</v>
      </c>
      <c r="B25" s="301">
        <f>IFERROR(VLOOKUP(A25,'School Tables'!$I$3:$J$80,2,FALSE),"")</f>
        <v>22830</v>
      </c>
      <c r="C25" s="294" t="str">
        <f t="array" ref="C25">IFERROR(INDEX('School Tables'!$H$3:$H$80,MATCH('School Level Expenditures'!B25,'School Tables'!$J$3:$J$80,0)),"")</f>
        <v>Somersworth</v>
      </c>
      <c r="D25" s="291">
        <f>4791205.25+1061691.66</f>
        <v>5852896.9100000001</v>
      </c>
      <c r="E25" s="291">
        <f>485597.35-1871.6</f>
        <v>483725.75</v>
      </c>
      <c r="F25" s="304">
        <f>D25+E25</f>
        <v>6336622.6600000001</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5852896.9100000001</v>
      </c>
      <c r="E33" s="351">
        <f>SUM(E25:E32)</f>
        <v>483725.75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8870497.5199999996</v>
      </c>
      <c r="G36" s="300">
        <f>'DOE25'!L248+'DOE25'!L329</f>
        <v>8870497.5199999996</v>
      </c>
      <c r="H36" s="353">
        <f>F36-G36</f>
        <v>0</v>
      </c>
      <c r="I36" s="371" t="str">
        <f>IF(H36=0,"","ISSUES!! Please review page 9 and 13 totals in comparison with total on this page")</f>
        <v/>
      </c>
      <c r="N36"/>
    </row>
    <row r="37" spans="1:14" x14ac:dyDescent="0.2">
      <c r="A37" s="21" t="s">
        <v>1420</v>
      </c>
      <c r="B37" s="301">
        <f>IFERROR(VLOOKUP(A37,'School Tables'!$O$3:$P$118,2,FALSE),"")</f>
        <v>22845</v>
      </c>
      <c r="C37" s="294" t="str">
        <f t="array" ref="C37">IFERROR(INDEX('School Tables'!$N$3:$N$118,MATCH('School Level Expenditures'!B37,'School Tables'!$P$3:$P$118,0)),"")</f>
        <v>Somersworth</v>
      </c>
      <c r="D37" s="291">
        <f>6068204.95+1243970.05+1223922.98</f>
        <v>8536097.9800000004</v>
      </c>
      <c r="E37" s="291">
        <f>336592.47-2192.93</f>
        <v>334399.53999999998</v>
      </c>
      <c r="F37" s="304">
        <f t="shared" ref="F37:F42" si="2">D37+E37</f>
        <v>8870497.5199999996</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8536097.9800000004</v>
      </c>
      <c r="E43" s="352">
        <f>SUM(E37:E42)</f>
        <v>334399.53999999998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Somersworth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419671</v>
      </c>
      <c r="D8" s="95">
        <f>'DOE25'!G9</f>
        <v>0</v>
      </c>
      <c r="E8" s="95">
        <f>'DOE25'!H9</f>
        <v>0</v>
      </c>
      <c r="F8" s="95">
        <f>'DOE25'!I9</f>
        <v>2312856.4500000002</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-63918.06</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46703.26</v>
      </c>
      <c r="H12" s="124"/>
      <c r="I12" s="124"/>
    </row>
    <row r="13" spans="1:9" x14ac:dyDescent="0.2">
      <c r="A13" s="1" t="s">
        <v>144</v>
      </c>
      <c r="B13" s="6">
        <v>150</v>
      </c>
      <c r="C13" s="95">
        <f>'DOE25'!F14</f>
        <v>379225.28</v>
      </c>
      <c r="D13" s="95">
        <f>'DOE25'!G14</f>
        <v>163414.84</v>
      </c>
      <c r="E13" s="95">
        <f>'DOE25'!H14</f>
        <v>580328.53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798896.28</v>
      </c>
      <c r="D18" s="41">
        <f>SUM(D8:D17)</f>
        <v>99496.78</v>
      </c>
      <c r="E18" s="41">
        <f>SUM(E8:E17)</f>
        <v>580328.53</v>
      </c>
      <c r="F18" s="41">
        <f>SUM(F8:F17)</f>
        <v>2312856.4500000002</v>
      </c>
      <c r="G18" s="41">
        <f>SUM(G8:G17)</f>
        <v>46703.26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59368.06</v>
      </c>
      <c r="D21" s="95">
        <f>'DOE25'!G22</f>
        <v>0</v>
      </c>
      <c r="E21" s="95">
        <f>'DOE25'!H22</f>
        <v>438521.8</v>
      </c>
      <c r="F21" s="95">
        <f>'DOE25'!I22</f>
        <v>2256639.91</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319857.21999999997</v>
      </c>
      <c r="D23" s="95">
        <f>'DOE25'!G24</f>
        <v>4012.58</v>
      </c>
      <c r="E23" s="95">
        <f>'DOE25'!H24</f>
        <v>42646.41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21341.33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379225.27999999997</v>
      </c>
      <c r="D31" s="41">
        <f>SUM(D21:D30)</f>
        <v>25353.910000000003</v>
      </c>
      <c r="E31" s="41">
        <f>SUM(E21:E30)</f>
        <v>481168.20999999996</v>
      </c>
      <c r="F31" s="41">
        <f>SUM(F21:F30)</f>
        <v>2256639.91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74142.87</v>
      </c>
      <c r="E47" s="95">
        <f>'DOE25'!H48</f>
        <v>99160.320000000007</v>
      </c>
      <c r="F47" s="95">
        <f>'DOE25'!I48</f>
        <v>56216.54</v>
      </c>
      <c r="G47" s="95">
        <f>'DOE25'!J48</f>
        <v>46703.26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419671</v>
      </c>
      <c r="D49" s="24" t="s">
        <v>288</v>
      </c>
      <c r="E49" s="24" t="s">
        <v>288</v>
      </c>
      <c r="F49" s="24" t="s">
        <v>288</v>
      </c>
      <c r="G49" s="24" t="s">
        <v>288</v>
      </c>
      <c r="H49" s="124"/>
      <c r="I49" s="124"/>
    </row>
    <row r="50" spans="1:9" ht="12.75" thickTop="1" thickBot="1" x14ac:dyDescent="0.25">
      <c r="A50" s="38" t="s">
        <v>884</v>
      </c>
      <c r="B50" s="48"/>
      <c r="C50" s="41">
        <f>SUM(C34:C49)</f>
        <v>419671</v>
      </c>
      <c r="D50" s="41">
        <f>SUM(D34:D49)</f>
        <v>74142.87</v>
      </c>
      <c r="E50" s="41">
        <f>SUM(E34:E49)</f>
        <v>99160.320000000007</v>
      </c>
      <c r="F50" s="41">
        <f>SUM(F34:F49)</f>
        <v>56216.54</v>
      </c>
      <c r="G50" s="41">
        <f>SUM(G34:G49)</f>
        <v>46703.26</v>
      </c>
      <c r="H50" s="124"/>
      <c r="I50" s="124"/>
    </row>
    <row r="51" spans="1:9" ht="12" thickTop="1" x14ac:dyDescent="0.2">
      <c r="A51" s="38" t="s">
        <v>885</v>
      </c>
      <c r="B51" s="2"/>
      <c r="C51" s="41">
        <f>C50+C31</f>
        <v>798896.28</v>
      </c>
      <c r="D51" s="41">
        <f>D50+D31</f>
        <v>99496.78</v>
      </c>
      <c r="E51" s="41">
        <f>E50+E31</f>
        <v>580328.53</v>
      </c>
      <c r="F51" s="41">
        <f>F50+F31</f>
        <v>2312856.4500000002</v>
      </c>
      <c r="G51" s="41">
        <f>G50+G31</f>
        <v>46703.26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15306614.280000001</v>
      </c>
      <c r="D56" s="95">
        <f>'DOE25'!G60</f>
        <v>0</v>
      </c>
      <c r="E56" s="95">
        <f>'DOE25'!H60</f>
        <v>28351.49</v>
      </c>
      <c r="F56" s="95">
        <f>'DOE25'!I60</f>
        <v>0</v>
      </c>
      <c r="G56" s="95">
        <f>'DOE25'!J60</f>
        <v>0</v>
      </c>
      <c r="H56"/>
      <c r="I56"/>
    </row>
    <row r="57" spans="1:9" x14ac:dyDescent="0.2">
      <c r="A57" s="1" t="s">
        <v>164</v>
      </c>
      <c r="B57" s="6" t="s">
        <v>165</v>
      </c>
      <c r="C57" s="95">
        <f>'DOE25'!F79</f>
        <v>25526.92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15.96</v>
      </c>
      <c r="G59" s="95">
        <f>'DOE25'!J96</f>
        <v>0</v>
      </c>
      <c r="H59"/>
      <c r="I59"/>
    </row>
    <row r="60" spans="1:9" x14ac:dyDescent="0.2">
      <c r="A60" s="1" t="s">
        <v>170</v>
      </c>
      <c r="B60" s="118" t="s">
        <v>171</v>
      </c>
      <c r="C60" s="24" t="s">
        <v>288</v>
      </c>
      <c r="D60" s="95">
        <f>'DOE25'!G97</f>
        <v>1742.6</v>
      </c>
      <c r="E60" s="24" t="s">
        <v>288</v>
      </c>
      <c r="F60" s="24" t="s">
        <v>288</v>
      </c>
      <c r="G60" s="24" t="s">
        <v>288</v>
      </c>
      <c r="H60"/>
      <c r="I60"/>
    </row>
    <row r="61" spans="1:9" ht="12" thickBot="1" x14ac:dyDescent="0.25">
      <c r="A61" s="1" t="s">
        <v>172</v>
      </c>
      <c r="B61" s="118" t="s">
        <v>173</v>
      </c>
      <c r="C61" s="95">
        <f>SUM('DOE25'!F98:F110)</f>
        <v>50042.02</v>
      </c>
      <c r="D61" s="95">
        <f>SUM('DOE25'!G98:G110)</f>
        <v>3427.2</v>
      </c>
      <c r="E61" s="95">
        <f>SUM('DOE25'!H98:H110)</f>
        <v>0</v>
      </c>
      <c r="F61" s="95">
        <f>SUM('DOE25'!I98:I110)</f>
        <v>0</v>
      </c>
      <c r="G61" s="95">
        <f>SUM('DOE25'!J98:J110)</f>
        <v>12628.5</v>
      </c>
      <c r="H61"/>
      <c r="I61"/>
    </row>
    <row r="62" spans="1:9" ht="12.75" thickTop="1" thickBot="1" x14ac:dyDescent="0.25">
      <c r="A62" s="29" t="s">
        <v>174</v>
      </c>
      <c r="B62" s="6"/>
      <c r="C62" s="130">
        <f>SUM(C57:C61)</f>
        <v>75568.94</v>
      </c>
      <c r="D62" s="130">
        <f>SUM(D57:D61)</f>
        <v>5169.7999999999993</v>
      </c>
      <c r="E62" s="130">
        <f>SUM(E57:E61)</f>
        <v>0</v>
      </c>
      <c r="F62" s="130">
        <f>SUM(F57:F61)</f>
        <v>15.96</v>
      </c>
      <c r="G62" s="130">
        <f>SUM(G57:G61)</f>
        <v>12628.5</v>
      </c>
      <c r="H62"/>
      <c r="I62"/>
    </row>
    <row r="63" spans="1:9" ht="12" thickTop="1" x14ac:dyDescent="0.2">
      <c r="A63" s="29" t="s">
        <v>175</v>
      </c>
      <c r="B63" s="6"/>
      <c r="C63" s="22">
        <f>C56+C62</f>
        <v>15382183.220000001</v>
      </c>
      <c r="D63" s="22">
        <f>D56+D62</f>
        <v>5169.7999999999993</v>
      </c>
      <c r="E63" s="22">
        <f>E56+E62</f>
        <v>28351.49</v>
      </c>
      <c r="F63" s="22">
        <f>F56+F62</f>
        <v>15.96</v>
      </c>
      <c r="G63" s="22">
        <f>G56+G62</f>
        <v>12628.5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8643148.0800000001</v>
      </c>
      <c r="D66" s="24" t="s">
        <v>288</v>
      </c>
      <c r="E66" s="24" t="s">
        <v>288</v>
      </c>
      <c r="F66" s="24" t="s">
        <v>288</v>
      </c>
      <c r="G66" s="24" t="s">
        <v>288</v>
      </c>
      <c r="H66"/>
      <c r="I66"/>
    </row>
    <row r="67" spans="1:9" x14ac:dyDescent="0.2">
      <c r="A67" s="1" t="s">
        <v>770</v>
      </c>
      <c r="B67" s="6">
        <v>3112</v>
      </c>
      <c r="C67" s="95">
        <f>'DOE25'!F118</f>
        <v>2080608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4108.9399999999996</v>
      </c>
      <c r="D69" s="95">
        <f>'DOE25'!G120</f>
        <v>0</v>
      </c>
      <c r="E69" s="95">
        <f>'DOE25'!H120</f>
        <v>0</v>
      </c>
      <c r="F69" s="95">
        <f>'DOE25'!I120</f>
        <v>0</v>
      </c>
      <c r="G69" s="95">
        <f>'DOE25'!J120</f>
        <v>0</v>
      </c>
      <c r="H69"/>
      <c r="I69"/>
    </row>
    <row r="70" spans="1:9" ht="12" thickTop="1" x14ac:dyDescent="0.2">
      <c r="A70" s="29" t="s">
        <v>252</v>
      </c>
      <c r="B70" s="2"/>
      <c r="C70" s="139">
        <f>SUM(C66:C69)</f>
        <v>10727865.02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1678790.39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412246.74</v>
      </c>
      <c r="D75" s="24" t="s">
        <v>288</v>
      </c>
      <c r="E75" s="24" t="s">
        <v>288</v>
      </c>
      <c r="F75" s="24" t="s">
        <v>288</v>
      </c>
      <c r="G75" s="24" t="s">
        <v>288</v>
      </c>
      <c r="H75"/>
      <c r="I75"/>
    </row>
    <row r="76" spans="1:9" x14ac:dyDescent="0.2">
      <c r="A76" s="1" t="s">
        <v>257</v>
      </c>
      <c r="B76" s="6" t="s">
        <v>179</v>
      </c>
      <c r="C76" s="95">
        <f>SUM('DOE25'!F127:F130)</f>
        <v>71828.63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33473.279999999999</v>
      </c>
      <c r="E77" s="95">
        <f>SUM('DOE25'!H131:H135)</f>
        <v>0</v>
      </c>
      <c r="F77" s="95">
        <f>SUM('DOE25'!I131:I135)</f>
        <v>0</v>
      </c>
      <c r="G77" s="95">
        <f>SUM('DOE25'!J131:J135)</f>
        <v>0</v>
      </c>
      <c r="H77"/>
      <c r="I77"/>
    </row>
    <row r="78" spans="1:9" ht="12.75" thickTop="1" thickBot="1" x14ac:dyDescent="0.25">
      <c r="A78" s="29" t="s">
        <v>259</v>
      </c>
      <c r="B78" s="6"/>
      <c r="C78" s="130">
        <f>SUM(C72:C77)</f>
        <v>2162865.7599999998</v>
      </c>
      <c r="D78" s="130">
        <f>SUM(D72:D77)</f>
        <v>33473.279999999999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12890730.779999999</v>
      </c>
      <c r="D81" s="130">
        <f>SUM(D79:D80)+D78+D70</f>
        <v>33473.279999999999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1066.5999999999999</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67442.5</v>
      </c>
      <c r="D88" s="331">
        <f>SUM('DOE25'!G153:G162)</f>
        <v>454133.43</v>
      </c>
      <c r="E88" s="331">
        <f>SUM('DOE25'!H153:H162)</f>
        <v>2134086.1900000004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67442.5</v>
      </c>
      <c r="D91" s="131">
        <f>SUM(D85:D90)</f>
        <v>454133.43</v>
      </c>
      <c r="E91" s="131">
        <f>SUM(E85:E90)</f>
        <v>2135152.7900000005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650000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650000</v>
      </c>
      <c r="G103" s="86">
        <f>SUM(G93:G102)</f>
        <v>0</v>
      </c>
    </row>
    <row r="104" spans="1:7" ht="12.75" thickTop="1" thickBot="1" x14ac:dyDescent="0.25">
      <c r="A104" s="33" t="s">
        <v>761</v>
      </c>
      <c r="C104" s="86">
        <f>C63+C81+C91+C103</f>
        <v>28340356.5</v>
      </c>
      <c r="D104" s="86">
        <f>D63+D81+D91+D103</f>
        <v>492776.51</v>
      </c>
      <c r="E104" s="86">
        <f>E63+E81+E91+E103</f>
        <v>2163504.2800000007</v>
      </c>
      <c r="F104" s="86">
        <f>F63+F81+F91+F103</f>
        <v>650015.96</v>
      </c>
      <c r="G104" s="86">
        <f>G63+G81+G103</f>
        <v>12628.5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8493827.6099999994</v>
      </c>
      <c r="D109" s="24" t="s">
        <v>288</v>
      </c>
      <c r="E109" s="95">
        <f>('DOE25'!L277)+('DOE25'!L296)+('DOE25'!L315)</f>
        <v>690152.3600000001</v>
      </c>
      <c r="F109" s="24" t="s">
        <v>288</v>
      </c>
      <c r="G109" s="24" t="s">
        <v>288</v>
      </c>
    </row>
    <row r="110" spans="1:7" x14ac:dyDescent="0.2">
      <c r="A110" t="s">
        <v>198</v>
      </c>
      <c r="B110" s="32" t="s">
        <v>199</v>
      </c>
      <c r="C110" s="95">
        <f>('DOE25'!L199)+('DOE25'!L217)+('DOE25'!L235)</f>
        <v>5858396.6099999994</v>
      </c>
      <c r="D110" s="24" t="s">
        <v>288</v>
      </c>
      <c r="E110" s="95">
        <f>('DOE25'!L278)+('DOE25'!L297)+('DOE25'!L316)</f>
        <v>213623.44</v>
      </c>
      <c r="F110" s="24" t="s">
        <v>288</v>
      </c>
      <c r="G110" s="24" t="s">
        <v>288</v>
      </c>
    </row>
    <row r="111" spans="1:7" x14ac:dyDescent="0.2">
      <c r="A111" t="s">
        <v>200</v>
      </c>
      <c r="B111" s="32" t="s">
        <v>165</v>
      </c>
      <c r="C111" s="95">
        <f>('DOE25'!L200)+('DOE25'!L218)+('DOE25'!L236)</f>
        <v>785678.20000000007</v>
      </c>
      <c r="D111" s="24" t="s">
        <v>288</v>
      </c>
      <c r="E111" s="95">
        <f>('DOE25'!L279)+('DOE25'!L298)+('DOE25'!L317)</f>
        <v>86957.37999999999</v>
      </c>
      <c r="F111" s="24" t="s">
        <v>288</v>
      </c>
      <c r="G111" s="24" t="s">
        <v>288</v>
      </c>
    </row>
    <row r="112" spans="1:7" x14ac:dyDescent="0.2">
      <c r="A112" t="s">
        <v>201</v>
      </c>
      <c r="B112" s="32" t="s">
        <v>167</v>
      </c>
      <c r="C112" s="95">
        <f>('DOE25'!L201)+('DOE25'!L219)+('DOE25'!L237)</f>
        <v>193151.59</v>
      </c>
      <c r="D112" s="24" t="s">
        <v>288</v>
      </c>
      <c r="E112" s="95">
        <f>+('DOE25'!L280)+('DOE25'!L299)+('DOE25'!L318)</f>
        <v>225706.01000000004</v>
      </c>
      <c r="F112" s="24" t="s">
        <v>288</v>
      </c>
      <c r="G112" s="24" t="s">
        <v>288</v>
      </c>
    </row>
    <row r="113" spans="1:7" x14ac:dyDescent="0.2">
      <c r="A113" t="s">
        <v>202</v>
      </c>
      <c r="B113" s="32" t="s">
        <v>169</v>
      </c>
      <c r="C113" s="95">
        <f>'DOE25'!L251</f>
        <v>0</v>
      </c>
      <c r="D113" s="24" t="s">
        <v>288</v>
      </c>
      <c r="E113" s="95">
        <f>+'DOE25'!L333</f>
        <v>7508.96</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15331054.009999998</v>
      </c>
      <c r="D115" s="86">
        <f>SUM(D109:D114)</f>
        <v>0</v>
      </c>
      <c r="E115" s="86">
        <f>SUM(E109:E114)</f>
        <v>1223948.1500000001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1876387.5</v>
      </c>
      <c r="D118" s="24" t="s">
        <v>288</v>
      </c>
      <c r="E118" s="95">
        <f>+('DOE25'!L282)+('DOE25'!L301)+('DOE25'!L320)</f>
        <v>223370.62</v>
      </c>
      <c r="F118" s="24" t="s">
        <v>288</v>
      </c>
      <c r="G118" s="24" t="s">
        <v>288</v>
      </c>
    </row>
    <row r="119" spans="1:7" x14ac:dyDescent="0.2">
      <c r="A119" t="s">
        <v>208</v>
      </c>
      <c r="B119" s="32" t="s">
        <v>209</v>
      </c>
      <c r="C119" s="95">
        <f>('DOE25'!L204)+('DOE25'!L222)+('DOE25'!L240)</f>
        <v>386161.73</v>
      </c>
      <c r="D119" s="24" t="s">
        <v>288</v>
      </c>
      <c r="E119" s="95">
        <f>+('DOE25'!L283)+('DOE25'!L302)+('DOE25'!L321)</f>
        <v>166445.18999999997</v>
      </c>
      <c r="F119" s="24" t="s">
        <v>288</v>
      </c>
      <c r="G119" s="24" t="s">
        <v>288</v>
      </c>
    </row>
    <row r="120" spans="1:7" x14ac:dyDescent="0.2">
      <c r="A120" t="s">
        <v>210</v>
      </c>
      <c r="B120" s="32" t="s">
        <v>211</v>
      </c>
      <c r="C120" s="95">
        <f>('DOE25'!L205)+('DOE25'!L223)+('DOE25'!L241)</f>
        <v>1084412.6200000001</v>
      </c>
      <c r="D120" s="24" t="s">
        <v>288</v>
      </c>
      <c r="E120" s="95">
        <f>+('DOE25'!L284)+('DOE25'!L303)+('DOE25'!L322)</f>
        <v>845.74</v>
      </c>
      <c r="F120" s="24" t="s">
        <v>288</v>
      </c>
      <c r="G120" s="24" t="s">
        <v>288</v>
      </c>
    </row>
    <row r="121" spans="1:7" x14ac:dyDescent="0.2">
      <c r="A121" t="s">
        <v>212</v>
      </c>
      <c r="B121" s="32" t="s">
        <v>213</v>
      </c>
      <c r="C121" s="95">
        <f>('DOE25'!L206)+('DOE25'!L224)+('DOE25'!L242)</f>
        <v>1747546.75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91721.489999999991</v>
      </c>
      <c r="F122" s="24" t="s">
        <v>288</v>
      </c>
      <c r="G122" s="24" t="s">
        <v>288</v>
      </c>
    </row>
    <row r="123" spans="1:7" x14ac:dyDescent="0.2">
      <c r="A123" t="s">
        <v>216</v>
      </c>
      <c r="B123" s="32" t="s">
        <v>217</v>
      </c>
      <c r="C123" s="95">
        <f>('DOE25'!L208)+('DOE25'!L226)+('DOE25'!L244)</f>
        <v>3077026.3199999994</v>
      </c>
      <c r="D123" s="24" t="s">
        <v>288</v>
      </c>
      <c r="E123" s="95">
        <f>+('DOE25'!L287)+('DOE25'!L306)+('DOE25'!L325)</f>
        <v>479421.95999999996</v>
      </c>
      <c r="F123" s="24" t="s">
        <v>288</v>
      </c>
      <c r="G123" s="24" t="s">
        <v>288</v>
      </c>
    </row>
    <row r="124" spans="1:7" x14ac:dyDescent="0.2">
      <c r="A124" t="s">
        <v>218</v>
      </c>
      <c r="B124" s="32" t="s">
        <v>219</v>
      </c>
      <c r="C124" s="95">
        <f>('DOE25'!L209)+('DOE25'!L227)+('DOE25'!L245+'DOE25'!L255)</f>
        <v>1023350.09</v>
      </c>
      <c r="D124" s="24" t="s">
        <v>288</v>
      </c>
      <c r="E124" s="95">
        <f>+('DOE25'!L288)+('DOE25'!L307)+('DOE25'!L326)</f>
        <v>1568.21</v>
      </c>
      <c r="F124" s="24" t="s">
        <v>288</v>
      </c>
      <c r="G124" s="24" t="s">
        <v>288</v>
      </c>
    </row>
    <row r="125" spans="1:7" x14ac:dyDescent="0.2">
      <c r="A125" t="s">
        <v>220</v>
      </c>
      <c r="B125" s="32" t="s">
        <v>221</v>
      </c>
      <c r="C125" s="95">
        <f>('DOE25'!L210)+('DOE25'!L228)+('DOE25'!L246)</f>
        <v>449305.48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486942.64</v>
      </c>
      <c r="E127" s="24" t="s">
        <v>288</v>
      </c>
      <c r="F127" s="24" t="s">
        <v>288</v>
      </c>
      <c r="G127" s="24" t="s">
        <v>288</v>
      </c>
    </row>
    <row r="128" spans="1:7" ht="12.75" thickTop="1" thickBot="1" x14ac:dyDescent="0.25">
      <c r="A128" s="33" t="s">
        <v>226</v>
      </c>
      <c r="C128" s="86">
        <f>SUM(C118:C127)</f>
        <v>9644190.4900000002</v>
      </c>
      <c r="D128" s="86">
        <f>SUM(D118:D127)</f>
        <v>486942.64</v>
      </c>
      <c r="E128" s="86">
        <f>SUM(E118:E127)</f>
        <v>963373.20999999985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1120988.43</v>
      </c>
      <c r="D130" s="24" t="s">
        <v>288</v>
      </c>
      <c r="E130" s="129">
        <f>'DOE25'!L337</f>
        <v>0</v>
      </c>
      <c r="F130" s="129">
        <f>SUM('DOE25'!L375:'DOE25'!L381)</f>
        <v>496169.04000000004</v>
      </c>
      <c r="G130" s="24" t="s">
        <v>288</v>
      </c>
    </row>
    <row r="131" spans="1:7" x14ac:dyDescent="0.2">
      <c r="A131" t="s">
        <v>229</v>
      </c>
      <c r="B131" s="32">
        <v>5110</v>
      </c>
      <c r="C131" s="95">
        <f>'DOE25'!L261</f>
        <v>1186621.77</v>
      </c>
      <c r="D131" s="24" t="s">
        <v>288</v>
      </c>
      <c r="E131" s="129">
        <f>'DOE25'!L342</f>
        <v>0</v>
      </c>
      <c r="F131" s="24" t="s">
        <v>288</v>
      </c>
      <c r="G131" s="24" t="s">
        <v>288</v>
      </c>
    </row>
    <row r="132" spans="1:7" x14ac:dyDescent="0.2">
      <c r="A132" t="s">
        <v>230</v>
      </c>
      <c r="B132" s="32">
        <v>5120</v>
      </c>
      <c r="C132" s="95">
        <f>'DOE25'!L262</f>
        <v>637830.80000000005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25003.94</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12628.5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-12628.5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2945441</v>
      </c>
      <c r="D144" s="141">
        <f>SUM(D130:D143)</f>
        <v>0</v>
      </c>
      <c r="E144" s="141">
        <f>SUM(E130:E143)</f>
        <v>0</v>
      </c>
      <c r="F144" s="141">
        <f>SUM(F130:F143)</f>
        <v>521172.98000000004</v>
      </c>
      <c r="G144" s="141">
        <f>SUM(G130:G143)</f>
        <v>0</v>
      </c>
    </row>
    <row r="145" spans="1:9" ht="12.75" thickTop="1" thickBot="1" x14ac:dyDescent="0.25">
      <c r="A145" s="33" t="s">
        <v>244</v>
      </c>
      <c r="C145" s="86">
        <f>(C115+C128+C144)</f>
        <v>27920685.5</v>
      </c>
      <c r="D145" s="86">
        <f>(D115+D128+D144)</f>
        <v>486942.64</v>
      </c>
      <c r="E145" s="86">
        <f>(E115+E128+E144)</f>
        <v>2187321.36</v>
      </c>
      <c r="F145" s="86">
        <f>(F115+F128+F144)</f>
        <v>521172.98000000004</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15</v>
      </c>
      <c r="E151" s="153">
        <f>'DOE25'!I491</f>
        <v>0</v>
      </c>
      <c r="F151" s="153">
        <f>'DOE25'!J491</f>
        <v>15</v>
      </c>
      <c r="G151" s="24" t="s">
        <v>288</v>
      </c>
    </row>
    <row r="152" spans="1:9" x14ac:dyDescent="0.2">
      <c r="A152" s="136" t="s">
        <v>28</v>
      </c>
      <c r="B152" s="152" t="str">
        <f>'DOE25'!F492</f>
        <v>01/10</v>
      </c>
      <c r="C152" s="152" t="str">
        <f>'DOE25'!G492</f>
        <v>08/13</v>
      </c>
      <c r="D152" s="152">
        <f>'DOE25'!H492</f>
        <v>216</v>
      </c>
      <c r="E152" s="152">
        <f>'DOE25'!I492</f>
        <v>0</v>
      </c>
      <c r="F152" s="152">
        <f>'DOE25'!J492</f>
        <v>221</v>
      </c>
      <c r="G152" s="24" t="s">
        <v>288</v>
      </c>
    </row>
    <row r="153" spans="1:9" x14ac:dyDescent="0.2">
      <c r="A153" s="136" t="s">
        <v>29</v>
      </c>
      <c r="B153" s="152" t="str">
        <f>'DOE25'!F493</f>
        <v>01/30</v>
      </c>
      <c r="C153" s="152" t="str">
        <f>'DOE25'!G493</f>
        <v>08/28</v>
      </c>
      <c r="D153" s="152">
        <f>'DOE25'!H493</f>
        <v>831</v>
      </c>
      <c r="E153" s="152">
        <f>'DOE25'!I493</f>
        <v>0</v>
      </c>
      <c r="F153" s="152">
        <f>'DOE25'!J493</f>
        <v>236</v>
      </c>
      <c r="G153" s="24" t="s">
        <v>288</v>
      </c>
    </row>
    <row r="154" spans="1:9" x14ac:dyDescent="0.2">
      <c r="A154" s="136" t="s">
        <v>30</v>
      </c>
      <c r="B154" s="137">
        <f>'DOE25'!F494</f>
        <v>18953000</v>
      </c>
      <c r="C154" s="137">
        <f>'DOE25'!G494</f>
        <v>1181700</v>
      </c>
      <c r="D154" s="137">
        <f>'DOE25'!H494</f>
        <v>1453925</v>
      </c>
      <c r="E154" s="137">
        <f>'DOE25'!I494</f>
        <v>1640000</v>
      </c>
      <c r="F154" s="137">
        <f>'DOE25'!J494</f>
        <v>550500</v>
      </c>
      <c r="G154" s="24" t="s">
        <v>288</v>
      </c>
    </row>
    <row r="155" spans="1:9" x14ac:dyDescent="0.2">
      <c r="A155" s="136" t="s">
        <v>31</v>
      </c>
      <c r="B155" s="137">
        <f>'DOE25'!F495</f>
        <v>3.73</v>
      </c>
      <c r="C155" s="137">
        <f>'DOE25'!G495</f>
        <v>3.14</v>
      </c>
      <c r="D155" s="137">
        <f>'DOE25'!H495</f>
        <v>2.16</v>
      </c>
      <c r="E155" s="137">
        <f>'DOE25'!I495</f>
        <v>0</v>
      </c>
      <c r="F155" s="137">
        <f>'DOE25'!J495</f>
        <v>1.31</v>
      </c>
      <c r="G155" s="24" t="s">
        <v>288</v>
      </c>
    </row>
    <row r="156" spans="1:9" x14ac:dyDescent="0.2">
      <c r="A156" s="22" t="s">
        <v>32</v>
      </c>
      <c r="B156" s="137">
        <f>'DOE25'!F496</f>
        <v>14464083.52</v>
      </c>
      <c r="C156" s="137">
        <f>'DOE25'!G496</f>
        <v>683750</v>
      </c>
      <c r="D156" s="137">
        <f>'DOE25'!H496</f>
        <v>1447210</v>
      </c>
      <c r="E156" s="137">
        <f>'DOE25'!I496</f>
        <v>1385000</v>
      </c>
      <c r="F156" s="137">
        <f>'DOE25'!J496</f>
        <v>550500</v>
      </c>
      <c r="G156" s="138">
        <f>SUM(B156:F156)</f>
        <v>18530543.52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904771.77</v>
      </c>
      <c r="C158" s="137">
        <f>'DOE25'!G498</f>
        <v>81850</v>
      </c>
      <c r="D158" s="137">
        <f>'DOE25'!H498</f>
        <v>100000</v>
      </c>
      <c r="E158" s="137">
        <f>'DOE25'!I498</f>
        <v>100000</v>
      </c>
      <c r="F158" s="137">
        <f>'DOE25'!J498</f>
        <v>35500</v>
      </c>
      <c r="G158" s="138">
        <f t="shared" si="0"/>
        <v>1222121.77</v>
      </c>
    </row>
    <row r="159" spans="1:9" x14ac:dyDescent="0.2">
      <c r="A159" s="22" t="s">
        <v>35</v>
      </c>
      <c r="B159" s="137">
        <f>'DOE25'!F499</f>
        <v>6534167.3300000001</v>
      </c>
      <c r="C159" s="137">
        <f>'DOE25'!G499</f>
        <v>327750</v>
      </c>
      <c r="D159" s="137">
        <f>'DOE25'!H499</f>
        <v>1055000</v>
      </c>
      <c r="E159" s="137">
        <f>'DOE25'!I499</f>
        <v>1285000</v>
      </c>
      <c r="F159" s="137">
        <f>'DOE25'!J499</f>
        <v>515000</v>
      </c>
      <c r="G159" s="138">
        <f t="shared" si="0"/>
        <v>9716917.3300000001</v>
      </c>
    </row>
    <row r="160" spans="1:9" x14ac:dyDescent="0.2">
      <c r="A160" s="22" t="s">
        <v>36</v>
      </c>
      <c r="B160" s="137">
        <f>'DOE25'!F500</f>
        <v>6078024.6699999999</v>
      </c>
      <c r="C160" s="137">
        <f>'DOE25'!G500</f>
        <v>63738.21</v>
      </c>
      <c r="D160" s="137">
        <f>'DOE25'!H500</f>
        <v>201210.96</v>
      </c>
      <c r="E160" s="137">
        <f>'DOE25'!I500</f>
        <v>364032.62</v>
      </c>
      <c r="F160" s="137">
        <f>'DOE25'!J500</f>
        <v>138050</v>
      </c>
      <c r="G160" s="138">
        <f t="shared" si="0"/>
        <v>6845056.46</v>
      </c>
    </row>
    <row r="161" spans="1:7" x14ac:dyDescent="0.2">
      <c r="A161" s="22" t="s">
        <v>37</v>
      </c>
      <c r="B161" s="137">
        <f>'DOE25'!F501</f>
        <v>12612192</v>
      </c>
      <c r="C161" s="137">
        <f>'DOE25'!G501</f>
        <v>391488.21</v>
      </c>
      <c r="D161" s="137">
        <f>'DOE25'!H501</f>
        <v>1256210.96</v>
      </c>
      <c r="E161" s="137">
        <f>'DOE25'!I501</f>
        <v>1649032.62</v>
      </c>
      <c r="F161" s="137">
        <f>'DOE25'!J501</f>
        <v>653050</v>
      </c>
      <c r="G161" s="138">
        <f t="shared" si="0"/>
        <v>16561973.790000003</v>
      </c>
    </row>
    <row r="162" spans="1:7" x14ac:dyDescent="0.2">
      <c r="A162" s="22" t="s">
        <v>38</v>
      </c>
      <c r="B162" s="137">
        <f>'DOE25'!F502</f>
        <v>871417.79</v>
      </c>
      <c r="C162" s="137">
        <f>'DOE25'!G502</f>
        <v>81850</v>
      </c>
      <c r="D162" s="137">
        <f>'DOE25'!H502</f>
        <v>100000</v>
      </c>
      <c r="E162" s="137">
        <f>'DOE25'!I502</f>
        <v>100000</v>
      </c>
      <c r="F162" s="137">
        <f>'DOE25'!J502</f>
        <v>40000</v>
      </c>
      <c r="G162" s="138">
        <f t="shared" si="0"/>
        <v>1193267.79</v>
      </c>
    </row>
    <row r="163" spans="1:7" x14ac:dyDescent="0.2">
      <c r="A163" s="22" t="s">
        <v>39</v>
      </c>
      <c r="B163" s="137">
        <f>'DOE25'!F503</f>
        <v>533580.21</v>
      </c>
      <c r="C163" s="137">
        <f>'DOE25'!G503</f>
        <v>28004.29</v>
      </c>
      <c r="D163" s="137">
        <f>'DOE25'!H503</f>
        <v>38219.760000000002</v>
      </c>
      <c r="E163" s="137">
        <f>'DOE25'!I503</f>
        <v>57191.26</v>
      </c>
      <c r="F163" s="137">
        <f>'DOE25'!J503</f>
        <v>21715</v>
      </c>
      <c r="G163" s="138">
        <f t="shared" si="0"/>
        <v>678710.52</v>
      </c>
    </row>
    <row r="164" spans="1:7" x14ac:dyDescent="0.2">
      <c r="A164" s="22" t="s">
        <v>246</v>
      </c>
      <c r="B164" s="137">
        <f>'DOE25'!F504</f>
        <v>1404998</v>
      </c>
      <c r="C164" s="137">
        <f>'DOE25'!G504</f>
        <v>109854.29000000001</v>
      </c>
      <c r="D164" s="137">
        <f>'DOE25'!H504</f>
        <v>138219.76</v>
      </c>
      <c r="E164" s="137">
        <f>'DOE25'!I504</f>
        <v>157191.26</v>
      </c>
      <c r="F164" s="137">
        <f>'DOE25'!J504</f>
        <v>61715</v>
      </c>
      <c r="G164" s="138">
        <f t="shared" si="0"/>
        <v>1871978.31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Somersworth School District</v>
      </c>
    </row>
    <row r="3" spans="1:4" x14ac:dyDescent="0.2">
      <c r="B3" s="188" t="s">
        <v>1666</v>
      </c>
    </row>
    <row r="4" spans="1:4" x14ac:dyDescent="0.2">
      <c r="B4" t="s">
        <v>61</v>
      </c>
      <c r="C4" s="179">
        <f>IF('DOE25'!F666+'DOE25'!F671=0,0,ROUND('DOE25'!F673,0))</f>
        <v>18732</v>
      </c>
    </row>
    <row r="5" spans="1:4" x14ac:dyDescent="0.2">
      <c r="B5" t="s">
        <v>700</v>
      </c>
      <c r="C5" s="179">
        <f>IF('DOE25'!G666+'DOE25'!G671=0,0,ROUND('DOE25'!G673,0))</f>
        <v>17129</v>
      </c>
    </row>
    <row r="6" spans="1:4" x14ac:dyDescent="0.2">
      <c r="B6" t="s">
        <v>62</v>
      </c>
      <c r="C6" s="179">
        <f>IF('DOE25'!H666+'DOE25'!H671=0,0,ROUND('DOE25'!H673,0))</f>
        <v>18921</v>
      </c>
    </row>
    <row r="7" spans="1:4" x14ac:dyDescent="0.2">
      <c r="B7" t="s">
        <v>701</v>
      </c>
      <c r="C7" s="179">
        <f>IF('DOE25'!I666+'DOE25'!I671=0,0,ROUND('DOE25'!I673,0))</f>
        <v>18391</v>
      </c>
    </row>
    <row r="9" spans="1:4" x14ac:dyDescent="0.2">
      <c r="A9" s="187" t="s">
        <v>94</v>
      </c>
      <c r="B9" s="188" t="s">
        <v>1671</v>
      </c>
      <c r="C9" s="181" t="s">
        <v>720</v>
      </c>
      <c r="D9" s="181" t="s">
        <v>721</v>
      </c>
    </row>
    <row r="10" spans="1:4" x14ac:dyDescent="0.2">
      <c r="A10">
        <v>1100</v>
      </c>
      <c r="B10" t="s">
        <v>702</v>
      </c>
      <c r="C10" s="179">
        <f>ROUND('DOE25'!L198+'DOE25'!L216+'DOE25'!L234+'DOE25'!L277+'DOE25'!L296+'DOE25'!L315,0)</f>
        <v>9183980</v>
      </c>
      <c r="D10" s="182">
        <f>ROUND((C10/$C$28)*100,1)</f>
        <v>32.5</v>
      </c>
    </row>
    <row r="11" spans="1:4" x14ac:dyDescent="0.2">
      <c r="A11">
        <v>1200</v>
      </c>
      <c r="B11" t="s">
        <v>703</v>
      </c>
      <c r="C11" s="179">
        <f>ROUND('DOE25'!L199+'DOE25'!L217+'DOE25'!L235+'DOE25'!L278+'DOE25'!L297+'DOE25'!L316,0)</f>
        <v>6072020</v>
      </c>
      <c r="D11" s="182">
        <f>ROUND((C11/$C$28)*100,1)</f>
        <v>21.5</v>
      </c>
    </row>
    <row r="12" spans="1:4" x14ac:dyDescent="0.2">
      <c r="A12">
        <v>1300</v>
      </c>
      <c r="B12" t="s">
        <v>704</v>
      </c>
      <c r="C12" s="179">
        <f>ROUND('DOE25'!L200+'DOE25'!L218+'DOE25'!L236+'DOE25'!L279+'DOE25'!L298+'DOE25'!L317,0)</f>
        <v>872636</v>
      </c>
      <c r="D12" s="182">
        <f>ROUND((C12/$C$28)*100,1)</f>
        <v>3.1</v>
      </c>
    </row>
    <row r="13" spans="1:4" x14ac:dyDescent="0.2">
      <c r="A13">
        <v>1400</v>
      </c>
      <c r="B13" t="s">
        <v>705</v>
      </c>
      <c r="C13" s="179">
        <f>ROUND('DOE25'!L201+'DOE25'!L219+'DOE25'!L237+'DOE25'!L280+'DOE25'!L299+'DOE25'!L318,0)</f>
        <v>418858</v>
      </c>
      <c r="D13" s="182">
        <f>ROUND((C13/$C$28)*100,1)</f>
        <v>1.5</v>
      </c>
    </row>
    <row r="14" spans="1:4" x14ac:dyDescent="0.2">
      <c r="D14" s="182"/>
    </row>
    <row r="15" spans="1:4" x14ac:dyDescent="0.2">
      <c r="A15">
        <v>2100</v>
      </c>
      <c r="B15" t="s">
        <v>706</v>
      </c>
      <c r="C15" s="179">
        <f>ROUND('DOE25'!L203+'DOE25'!L221+'DOE25'!L239+'DOE25'!L282+'DOE25'!L301+'DOE25'!L320,0)</f>
        <v>2099758</v>
      </c>
      <c r="D15" s="182">
        <f t="shared" ref="D15:D27" si="0">ROUND((C15/$C$28)*100,1)</f>
        <v>7.4</v>
      </c>
    </row>
    <row r="16" spans="1:4" x14ac:dyDescent="0.2">
      <c r="A16">
        <v>2200</v>
      </c>
      <c r="B16" t="s">
        <v>707</v>
      </c>
      <c r="C16" s="179">
        <f>ROUND('DOE25'!L204+'DOE25'!L222+'DOE25'!L240+'DOE25'!L283+'DOE25'!L302+'DOE25'!L321,0)</f>
        <v>552607</v>
      </c>
      <c r="D16" s="182">
        <f t="shared" si="0"/>
        <v>2</v>
      </c>
    </row>
    <row r="17" spans="1:4" x14ac:dyDescent="0.2">
      <c r="A17" s="183" t="s">
        <v>723</v>
      </c>
      <c r="B17" t="s">
        <v>738</v>
      </c>
      <c r="C17" s="179">
        <f>ROUND('DOE25'!L205+'DOE25'!L210+'DOE25'!L223+'DOE25'!L228+'DOE25'!L241+'DOE25'!L246+'DOE25'!L284+'DOE25'!L289+'DOE25'!L303+'DOE25'!L308+'DOE25'!L322+'DOE25'!L327,0)</f>
        <v>1534564</v>
      </c>
      <c r="D17" s="182">
        <f t="shared" si="0"/>
        <v>5.4</v>
      </c>
    </row>
    <row r="18" spans="1:4" x14ac:dyDescent="0.2">
      <c r="A18">
        <v>2400</v>
      </c>
      <c r="B18" t="s">
        <v>711</v>
      </c>
      <c r="C18" s="179">
        <f>ROUND('DOE25'!L206+'DOE25'!L224+'DOE25'!L242+'DOE25'!L285+'DOE25'!L304+'DOE25'!L323,0)</f>
        <v>1747547</v>
      </c>
      <c r="D18" s="182">
        <f t="shared" si="0"/>
        <v>6.2</v>
      </c>
    </row>
    <row r="19" spans="1:4" x14ac:dyDescent="0.2">
      <c r="A19">
        <v>2500</v>
      </c>
      <c r="B19" t="s">
        <v>708</v>
      </c>
      <c r="C19" s="179">
        <f>ROUND('DOE25'!L207+'DOE25'!L225+'DOE25'!L243+'DOE25'!L286+'DOE25'!L305+'DOE25'!L324,0)</f>
        <v>91721</v>
      </c>
      <c r="D19" s="182">
        <f t="shared" si="0"/>
        <v>0.3</v>
      </c>
    </row>
    <row r="20" spans="1:4" x14ac:dyDescent="0.2">
      <c r="A20">
        <v>2600</v>
      </c>
      <c r="B20" t="s">
        <v>709</v>
      </c>
      <c r="C20" s="179">
        <f>ROUND('DOE25'!L208+'DOE25'!L226+'DOE25'!L244+'DOE25'!L287+'DOE25'!L306+'DOE25'!L325,0)</f>
        <v>3556448</v>
      </c>
      <c r="D20" s="182">
        <f t="shared" si="0"/>
        <v>12.6</v>
      </c>
    </row>
    <row r="21" spans="1:4" x14ac:dyDescent="0.2">
      <c r="A21">
        <v>2700</v>
      </c>
      <c r="B21" t="s">
        <v>710</v>
      </c>
      <c r="C21" s="179">
        <f>ROUND('DOE25'!L209+'DOE25'!L227+'DOE25'!L245+'DOE25'!L288+'DOE25'!L307+'DOE25'!L326,0)</f>
        <v>1024918</v>
      </c>
      <c r="D21" s="182">
        <f t="shared" si="0"/>
        <v>3.6</v>
      </c>
    </row>
    <row r="22" spans="1:4" x14ac:dyDescent="0.2">
      <c r="A22">
        <v>2900</v>
      </c>
      <c r="B22" t="s">
        <v>712</v>
      </c>
      <c r="C22" s="179">
        <v>0</v>
      </c>
      <c r="D22" s="182">
        <f t="shared" si="0"/>
        <v>0</v>
      </c>
    </row>
    <row r="23" spans="1:4" x14ac:dyDescent="0.2">
      <c r="A23">
        <v>1500</v>
      </c>
      <c r="B23" t="s">
        <v>714</v>
      </c>
      <c r="C23" s="179">
        <f>ROUND('DOE25'!L251+'DOE25'!L333,0)</f>
        <v>7509</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637831</v>
      </c>
      <c r="D25" s="182">
        <f t="shared" si="0"/>
        <v>2.2999999999999998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481773.2</v>
      </c>
      <c r="D27" s="182">
        <f t="shared" si="0"/>
        <v>1.7</v>
      </c>
    </row>
    <row r="28" spans="1:4" x14ac:dyDescent="0.2">
      <c r="B28" s="187" t="s">
        <v>719</v>
      </c>
      <c r="C28" s="180">
        <f>SUM(C10:C27)</f>
        <v>28282170.199999999</v>
      </c>
      <c r="D28" s="184">
        <f>ROUND(SUM(D10:D27),0)</f>
        <v>100</v>
      </c>
    </row>
    <row r="29" spans="1:4" x14ac:dyDescent="0.2">
      <c r="A29">
        <v>4000</v>
      </c>
      <c r="B29" t="s">
        <v>724</v>
      </c>
      <c r="C29" s="179">
        <f>ROUND('DOE25'!L256+'DOE25'!L337+'DOE25'!L375+'DOE25'!L376+'DOE25'!L377+'DOE25'!L378+'DOE25'!L379+'DOE25'!L380+'DOE25'!L381,0)</f>
        <v>1617157</v>
      </c>
    </row>
    <row r="30" spans="1:4" x14ac:dyDescent="0.2">
      <c r="B30" s="187" t="s">
        <v>725</v>
      </c>
      <c r="C30" s="180">
        <f>SUM(C28:C29)</f>
        <v>29899327.199999999</v>
      </c>
    </row>
    <row r="31" spans="1:4" x14ac:dyDescent="0.2">
      <c r="B31" s="33"/>
      <c r="C31" s="180"/>
    </row>
    <row r="32" spans="1:4" x14ac:dyDescent="0.2">
      <c r="A32">
        <v>5100</v>
      </c>
      <c r="B32" s="33" t="s">
        <v>726</v>
      </c>
      <c r="C32" s="180">
        <f>ROUND('DOE25'!L261+'DOE25'!L342,0)</f>
        <v>1186622</v>
      </c>
    </row>
    <row r="34" spans="1:4" x14ac:dyDescent="0.2">
      <c r="A34" s="187" t="s">
        <v>94</v>
      </c>
      <c r="B34" s="188" t="s">
        <v>1667</v>
      </c>
      <c r="C34" s="181" t="s">
        <v>720</v>
      </c>
      <c r="D34" s="181" t="s">
        <v>721</v>
      </c>
    </row>
    <row r="35" spans="1:4" x14ac:dyDescent="0.2">
      <c r="A35">
        <v>1100</v>
      </c>
      <c r="B35" s="185" t="s">
        <v>727</v>
      </c>
      <c r="C35" s="179">
        <f>ROUND('DOE25'!F60+'DOE25'!G60+'DOE25'!H60+'DOE25'!I60+'DOE25'!J60,0)</f>
        <v>15334966</v>
      </c>
      <c r="D35" s="182">
        <f t="shared" ref="D35:D40" si="1">ROUND((C35/$C$41)*100,1)</f>
        <v>49.5</v>
      </c>
    </row>
    <row r="36" spans="1:4" x14ac:dyDescent="0.2">
      <c r="B36" s="185" t="s">
        <v>739</v>
      </c>
      <c r="C36" s="179">
        <f>SUM('DOE25'!F112:J112)-SUM('DOE25'!G97:G110)+('DOE25'!F175+'DOE25'!F176+'DOE25'!I175+'DOE25'!I176)-C35</f>
        <v>88213.170000001788</v>
      </c>
      <c r="D36" s="182">
        <f t="shared" si="1"/>
        <v>0.3</v>
      </c>
    </row>
    <row r="37" spans="1:4" x14ac:dyDescent="0.2">
      <c r="A37" s="183" t="s">
        <v>835</v>
      </c>
      <c r="B37" s="185" t="s">
        <v>728</v>
      </c>
      <c r="C37" s="179">
        <f>ROUND('DOE25'!F117+'DOE25'!F118,0)</f>
        <v>10723756</v>
      </c>
      <c r="D37" s="182">
        <f t="shared" si="1"/>
        <v>34.6</v>
      </c>
    </row>
    <row r="38" spans="1:4" x14ac:dyDescent="0.2">
      <c r="A38" s="183" t="s">
        <v>734</v>
      </c>
      <c r="B38" s="185" t="s">
        <v>729</v>
      </c>
      <c r="C38" s="179">
        <f>ROUND(SUM('DOE25'!F140:J140)-SUM('DOE25'!F117:F119),0)</f>
        <v>2200448</v>
      </c>
      <c r="D38" s="182">
        <f t="shared" si="1"/>
        <v>7.1</v>
      </c>
    </row>
    <row r="39" spans="1:4" x14ac:dyDescent="0.2">
      <c r="A39">
        <v>4000</v>
      </c>
      <c r="B39" s="185" t="s">
        <v>730</v>
      </c>
      <c r="C39" s="179">
        <f>ROUND('DOE25'!F170+'DOE25'!G170+'DOE25'!H170+'DOE25'!I170,0)</f>
        <v>2656729</v>
      </c>
      <c r="D39" s="182">
        <f t="shared" si="1"/>
        <v>8.6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31004112.170000002</v>
      </c>
      <c r="D41" s="184">
        <f>SUM(D35:D40)</f>
        <v>100.1</v>
      </c>
    </row>
    <row r="42" spans="1:4" x14ac:dyDescent="0.2">
      <c r="A42" s="183" t="s">
        <v>737</v>
      </c>
      <c r="B42" s="185" t="s">
        <v>733</v>
      </c>
      <c r="C42" s="179">
        <f>ROUND('DOE25'!F174+'DOE25'!I174+'DOE25'!F177+'DOE25'!I177,0)</f>
        <v>650000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Somersworth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2021-08-27T19:31:53Z</cp:lastPrinted>
  <dcterms:created xsi:type="dcterms:W3CDTF">1997-12-04T19:04:30Z</dcterms:created>
  <dcterms:modified xsi:type="dcterms:W3CDTF">2021-12-14T19:50:23Z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