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105" yWindow="-105" windowWidth="23250" windowHeight="1257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Expenditures'!$A$1:$G$53</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473" i="1" l="1"/>
  <c r="I473" i="1"/>
  <c r="H473" i="1"/>
  <c r="G473" i="1"/>
  <c r="F473" i="1"/>
  <c r="G469" i="1"/>
  <c r="H469" i="1"/>
  <c r="I469" i="1"/>
  <c r="J469" i="1"/>
  <c r="F469" i="1"/>
  <c r="F50" i="1"/>
  <c r="F23" i="1"/>
  <c r="H236" i="1"/>
  <c r="H585" i="1"/>
  <c r="F9" i="1" l="1"/>
  <c r="E26" i="17" l="1"/>
  <c r="E30" i="17"/>
  <c r="E24" i="17"/>
  <c r="B39" i="12" l="1"/>
  <c r="B37" i="12"/>
  <c r="J593" i="1" l="1"/>
  <c r="F24" i="1" l="1"/>
  <c r="H244" i="1"/>
  <c r="H161" i="1"/>
  <c r="C39" i="12"/>
  <c r="C38" i="12"/>
  <c r="C37" i="12"/>
  <c r="C21" i="12"/>
  <c r="C20" i="12"/>
  <c r="C19" i="12"/>
  <c r="C12" i="12" l="1"/>
  <c r="C11" i="12"/>
  <c r="C10" i="12"/>
  <c r="B12" i="12"/>
  <c r="H48" i="1" l="1"/>
  <c r="I524" i="1" l="1"/>
  <c r="H524" i="1"/>
  <c r="H452" i="1" l="1"/>
  <c r="H440" i="1"/>
  <c r="G460" i="1"/>
  <c r="G443" i="1"/>
  <c r="H361" i="1" l="1"/>
  <c r="E7" i="17" l="1"/>
  <c r="H31" i="17" s="1"/>
  <c r="E43" i="14" l="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I112" i="1" s="1"/>
  <c r="J111" i="1"/>
  <c r="F121" i="1"/>
  <c r="F136" i="1"/>
  <c r="G121" i="1"/>
  <c r="G136" i="1"/>
  <c r="H121" i="1"/>
  <c r="H136" i="1"/>
  <c r="I121" i="1"/>
  <c r="I136" i="1"/>
  <c r="J121" i="1"/>
  <c r="J136" i="1"/>
  <c r="F147" i="1"/>
  <c r="F170" i="1" s="1"/>
  <c r="G147" i="1"/>
  <c r="D85" i="2" s="1"/>
  <c r="H147" i="1"/>
  <c r="H170" i="1" s="1"/>
  <c r="I147" i="1"/>
  <c r="I170" i="1" s="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C119" i="2"/>
  <c r="E124" i="2"/>
  <c r="F128" i="2"/>
  <c r="G128" i="2"/>
  <c r="C130" i="2"/>
  <c r="D134" i="2"/>
  <c r="D144" i="2" s="1"/>
  <c r="E134" i="2"/>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3" i="1"/>
  <c r="H653" i="1"/>
  <c r="G654" i="1"/>
  <c r="H654" i="1"/>
  <c r="G655" i="1"/>
  <c r="H655" i="1"/>
  <c r="H656" i="1"/>
  <c r="J656" i="1" s="1"/>
  <c r="G62" i="2"/>
  <c r="J140" i="1" l="1"/>
  <c r="D18" i="13"/>
  <c r="C18" i="13" s="1"/>
  <c r="C121" i="2"/>
  <c r="C120" i="2"/>
  <c r="C85" i="2"/>
  <c r="E125" i="2"/>
  <c r="E112" i="2"/>
  <c r="E111" i="2"/>
  <c r="J112" i="1"/>
  <c r="G663" i="1"/>
  <c r="H140" i="1"/>
  <c r="G477" i="1"/>
  <c r="H624" i="1" s="1"/>
  <c r="J624" i="1" s="1"/>
  <c r="F409" i="1"/>
  <c r="H644" i="1" s="1"/>
  <c r="G662" i="1"/>
  <c r="C125" i="2"/>
  <c r="C112" i="2"/>
  <c r="J652" i="1"/>
  <c r="E121" i="2"/>
  <c r="G646" i="1"/>
  <c r="G409" i="1"/>
  <c r="H646" i="1" s="1"/>
  <c r="I409" i="1"/>
  <c r="C13" i="10"/>
  <c r="H409" i="1"/>
  <c r="H645" i="1" s="1"/>
  <c r="J645" i="1" s="1"/>
  <c r="E120" i="2"/>
  <c r="A40" i="12"/>
  <c r="D15" i="13"/>
  <c r="C15" i="13" s="1"/>
  <c r="H663" i="1"/>
  <c r="C110" i="2"/>
  <c r="C12" i="10"/>
  <c r="J258" i="1"/>
  <c r="J272" i="1" s="1"/>
  <c r="E119" i="2"/>
  <c r="D6" i="13"/>
  <c r="C6" i="13" s="1"/>
  <c r="E13" i="13"/>
  <c r="C13" i="13" s="1"/>
  <c r="D50" i="2"/>
  <c r="K339" i="1"/>
  <c r="K353" i="1" s="1"/>
  <c r="G339" i="1"/>
  <c r="G353" i="1" s="1"/>
  <c r="J572" i="1"/>
  <c r="H477" i="1"/>
  <c r="H625" i="1" s="1"/>
  <c r="J625" i="1" s="1"/>
  <c r="F85" i="2"/>
  <c r="F91" i="2" s="1"/>
  <c r="E123" i="2"/>
  <c r="E110" i="2"/>
  <c r="G553" i="1"/>
  <c r="E131" i="2"/>
  <c r="E144" i="2" s="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E50" i="2"/>
  <c r="E51" i="2" s="1"/>
  <c r="C50" i="2"/>
  <c r="F31" i="2"/>
  <c r="C31" i="2"/>
  <c r="E18"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B33" i="16" l="1"/>
  <c r="F661" i="1"/>
  <c r="F665" i="1" s="1"/>
  <c r="F668" i="1" s="1"/>
  <c r="J646" i="1"/>
  <c r="G24" i="14"/>
  <c r="H24" i="14" s="1"/>
  <c r="I24" i="14" s="1"/>
  <c r="L572" i="1"/>
  <c r="E128" i="2"/>
  <c r="E115" i="2"/>
  <c r="I663" i="1"/>
  <c r="H661" i="1"/>
  <c r="H665" i="1" s="1"/>
  <c r="H668" i="1" s="1"/>
  <c r="H194" i="1"/>
  <c r="G630" i="1" s="1"/>
  <c r="J630" i="1" s="1"/>
  <c r="F194" i="1"/>
  <c r="G628" i="1" s="1"/>
  <c r="J628" i="1" s="1"/>
  <c r="C141" i="2"/>
  <c r="C144" i="2" s="1"/>
  <c r="H649" i="1"/>
  <c r="J649" i="1" s="1"/>
  <c r="C81" i="2"/>
  <c r="D51" i="2"/>
  <c r="F51" i="2"/>
  <c r="G36" i="14"/>
  <c r="D37"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D43" i="14" l="1"/>
  <c r="H36" i="14" s="1"/>
  <c r="I36" i="14" s="1"/>
  <c r="F37" i="14"/>
  <c r="F36" i="14" s="1"/>
  <c r="E145" i="2"/>
  <c r="H673" i="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<sst xmlns="http://schemas.openxmlformats.org/spreadsheetml/2006/main" count="5577" uniqueCount="1677">
  <si>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</si>
  <si>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</si>
  <si>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</si>
  <si>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</si>
  <si>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</si>
  <si>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</si>
  <si>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</si>
  <si>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</si>
  <si>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</si>
  <si>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</si>
  <si>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</si>
  <si>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</si>
  <si>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</si>
  <si>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</si>
  <si>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</si>
  <si>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</si>
  <si>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</si>
  <si>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</si>
  <si>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</si>
  <si>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</si>
  <si>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</si>
  <si>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</si>
  <si>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</si>
  <si>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</si>
  <si>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</si>
  <si>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</si>
  <si>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</si>
  <si>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</si>
  <si>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</si>
  <si>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</si>
  <si>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</si>
  <si>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</si>
  <si>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</si>
  <si>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</si>
  <si>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</si>
  <si>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</si>
  <si>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</si>
  <si>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</si>
  <si>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</si>
  <si>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</si>
  <si>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</si>
  <si>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</si>
  <si>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</si>
  <si>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</si>
  <si>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</si>
  <si>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</si>
  <si>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</si>
  <si>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</si>
  <si>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</si>
  <si>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</si>
  <si>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</si>
  <si>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</si>
  <si>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</si>
  <si>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</si>
  <si>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</si>
  <si>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</si>
  <si>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</si>
  <si>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</si>
  <si>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</si>
  <si>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</si>
  <si>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</si>
  <si>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</si>
  <si>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</si>
  <si>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</si>
  <si>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</si>
  <si>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</si>
  <si>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</si>
  <si>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</si>
  <si>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</si>
  <si>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</si>
  <si>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</si>
  <si>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</si>
  <si>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</si>
  <si>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</si>
  <si>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</si>
  <si>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</si>
  <si>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</si>
  <si>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</si>
  <si>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</si>
  <si>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</si>
  <si>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</si>
  <si>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</si>
  <si>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</si>
  <si>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</si>
  <si>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</si>
  <si>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</si>
  <si>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</si>
  <si>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</si>
  <si>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</si>
  <si>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</si>
  <si>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</si>
  <si>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</si>
  <si>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</si>
  <si>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</si>
  <si>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</si>
  <si>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</si>
  <si>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</si>
  <si>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</si>
  <si>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</si>
  <si>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</si>
  <si>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</si>
  <si>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</si>
  <si>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</si>
  <si>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</si>
  <si>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</si>
  <si>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</si>
  <si>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</si>
  <si>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</si>
  <si>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</si>
  <si>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</si>
  <si>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</si>
  <si>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</si>
  <si>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</si>
  <si>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</si>
  <si>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</si>
  <si>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</si>
  <si>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</si>
  <si>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</si>
  <si>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</si>
  <si>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</si>
  <si>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</si>
  <si>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</si>
  <si>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</si>
  <si>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</si>
  <si>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</si>
  <si>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</si>
  <si>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</si>
  <si>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</si>
  <si>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</si>
  <si>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</si>
  <si>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</si>
  <si>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</si>
  <si>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</si>
  <si>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</si>
  <si>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</si>
  <si>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</si>
  <si>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</si>
  <si>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</si>
  <si>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</si>
  <si>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</si>
  <si>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</si>
  <si>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</si>
  <si>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</si>
  <si>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</si>
  <si>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</si>
  <si>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</si>
  <si>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</si>
  <si>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</si>
  <si>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</si>
  <si>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</si>
  <si>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</si>
  <si>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</si>
  <si>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</si>
  <si>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</si>
  <si>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</si>
  <si>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</si>
  <si>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</si>
  <si>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</si>
  <si>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</si>
  <si>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</si>
  <si>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</si>
  <si>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</si>
  <si>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</si>
  <si>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</si>
  <si>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</si>
  <si>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</si>
  <si>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</si>
  <si>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</si>
  <si>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</si>
  <si>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</si>
  <si>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</si>
  <si>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</si>
  <si>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</si>
  <si>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</si>
  <si>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</si>
  <si>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</si>
  <si>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</si>
  <si>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</si>
  <si>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</si>
  <si>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</si>
  <si>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</si>
  <si>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</si>
  <si>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</si>
  <si>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</si>
  <si>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</si>
  <si>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</si>
  <si>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</si>
  <si>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</si>
  <si>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</si>
  <si>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</si>
  <si>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</si>
  <si>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</si>
  <si>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</si>
  <si>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</si>
  <si>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</si>
  <si>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</si>
  <si>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</si>
  <si>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</si>
  <si>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</si>
  <si>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</si>
  <si>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</si>
  <si>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</si>
  <si>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</si>
  <si>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</si>
  <si>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</si>
  <si>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</si>
  <si>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</si>
  <si>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</si>
  <si>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</si>
  <si>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</si>
  <si>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</si>
  <si>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</si>
  <si>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</si>
  <si>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</si>
  <si>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</si>
  <si>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</si>
  <si>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</si>
  <si>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</si>
  <si>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</si>
  <si>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</si>
  <si>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</si>
  <si>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</si>
  <si>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</si>
  <si>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</si>
  <si>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</si>
  <si>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</si>
  <si>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</si>
  <si>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</si>
  <si>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</si>
  <si>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</si>
  <si>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</si>
  <si>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</si>
  <si>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</si>
  <si>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</si>
  <si>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</si>
  <si>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</si>
  <si>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</si>
  <si>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</si>
  <si>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</si>
  <si>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</si>
  <si>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</si>
  <si>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</si>
  <si>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</si>
  <si>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</si>
  <si>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</si>
  <si>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</si>
  <si>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</si>
  <si>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</si>
  <si>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</si>
  <si>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</si>
  <si>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</si>
  <si>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</si>
  <si>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</si>
  <si>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</si>
  <si>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</si>
  <si>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</si>
  <si>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</si>
  <si>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</si>
  <si>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</si>
  <si>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</si>
  <si>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</si>
  <si>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</si>
  <si>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</si>
  <si>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</si>
  <si>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</si>
  <si>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</si>
  <si>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</si>
  <si>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</si>
  <si>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</si>
  <si>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</si>
  <si>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</si>
  <si>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</si>
  <si>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</si>
  <si>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</si>
  <si>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</si>
  <si>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</si>
  <si>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</si>
  <si>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</si>
  <si>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</si>
  <si>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</si>
  <si>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</si>
  <si>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</si>
  <si>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</si>
  <si>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</si>
  <si>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</si>
  <si>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</si>
  <si>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</si>
  <si>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</si>
  <si>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</si>
  <si>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</si>
  <si>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</si>
  <si>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</si>
  <si>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</si>
  <si>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</si>
  <si>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</si>
  <si>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</si>
  <si>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</si>
  <si>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</si>
  <si>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</si>
  <si>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</si>
  <si>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</si>
  <si>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</si>
  <si>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</si>
  <si>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</si>
  <si>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</si>
  <si>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</si>
  <si>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</si>
  <si>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</si>
  <si>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</si>
  <si>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</si>
  <si>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</si>
  <si>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</si>
  <si>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</si>
  <si>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</si>
  <si>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</si>
  <si>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</si>
  <si>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</si>
  <si>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</si>
  <si>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</si>
  <si>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</si>
  <si>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</si>
  <si>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</si>
  <si>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</si>
  <si>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</si>
  <si>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</si>
  <si>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</si>
  <si>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</si>
  <si>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</si>
  <si>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</si>
  <si>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</si>
  <si>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</si>
  <si>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</si>
  <si>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</si>
  <si>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</si>
  <si>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</si>
  <si>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</si>
  <si>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</si>
  <si>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</si>
  <si>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</si>
  <si>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</si>
  <si>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</si>
  <si>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</si>
  <si>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</si>
  <si>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</si>
  <si>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</si>
  <si>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</si>
  <si>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</si>
  <si>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</si>
  <si>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</si>
  <si>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</si>
  <si>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</si>
  <si>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</si>
  <si>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</si>
  <si>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</si>
  <si>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</si>
  <si>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</si>
  <si>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</si>
  <si>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</si>
  <si>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</si>
  <si>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</si>
  <si>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</si>
  <si>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</si>
  <si>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</si>
  <si>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</si>
  <si>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</si>
  <si>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</si>
  <si>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</si>
  <si>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</si>
  <si>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</si>
  <si>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</si>
  <si>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</si>
  <si>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</si>
  <si>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</si>
  <si>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</si>
  <si>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</si>
  <si>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</si>
  <si>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</si>
  <si>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</si>
  <si>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</si>
  <si>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</si>
  <si>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</si>
  <si>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</si>
  <si>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</si>
  <si>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</si>
  <si>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</si>
  <si>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</si>
  <si>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</si>
  <si>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</si>
  <si>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</si>
  <si>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</si>
  <si>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</si>
  <si>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</si>
  <si>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</si>
  <si>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</si>
  <si>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</si>
  <si>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</si>
  <si>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</si>
  <si>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</si>
  <si>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</si>
  <si>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</si>
  <si>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</si>
  <si>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</si>
  <si>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</si>
  <si>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</si>
  <si>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</si>
  <si>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</si>
  <si>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</si>
  <si>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</si>
  <si>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</si>
  <si>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</si>
  <si>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</si>
  <si>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</si>
  <si>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</si>
  <si>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</si>
  <si>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</si>
  <si>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</si>
  <si>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</si>
  <si>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</si>
  <si>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</si>
  <si>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</si>
  <si>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</si>
  <si>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</si>
  <si>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</si>
  <si>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</si>
  <si>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</si>
  <si>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</si>
  <si>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</si>
  <si>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</si>
  <si>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</si>
  <si>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</si>
  <si>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</si>
  <si>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</si>
  <si>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</si>
  <si>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</si>
  <si>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</si>
  <si>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</si>
  <si>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</si>
  <si>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</si>
  <si>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</si>
  <si>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</si>
  <si>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</si>
  <si>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</si>
  <si>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</si>
  <si>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</si>
  <si>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</si>
  <si>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</si>
  <si>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</si>
  <si>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</si>
  <si>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</si>
  <si>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</si>
  <si>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</si>
  <si>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</si>
  <si>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</si>
  <si>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</si>
  <si>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</si>
  <si>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</si>
  <si>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</si>
  <si>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</si>
  <si>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</si>
  <si>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</si>
  <si>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</si>
  <si>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</si>
  <si>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</si>
  <si>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</si>
  <si>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</si>
  <si>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</si>
  <si>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</si>
  <si>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</si>
  <si>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</si>
  <si>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</si>
  <si>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</si>
  <si>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</si>
  <si>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</si>
  <si>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</si>
  <si>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</si>
  <si>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</si>
  <si>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</si>
  <si>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</si>
  <si>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</si>
  <si>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</si>
  <si>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</si>
  <si>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</si>
  <si>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</si>
  <si>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</si>
  <si>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</si>
  <si>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</si>
  <si>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</si>
  <si>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</si>
  <si>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</si>
  <si>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</si>
  <si>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</si>
  <si>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</si>
  <si>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</si>
  <si>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</si>
  <si>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</si>
  <si>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</si>
  <si>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</si>
  <si>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</si>
  <si>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</si>
  <si>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</si>
  <si>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</si>
  <si>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</si>
  <si>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</si>
  <si>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</si>
  <si>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</si>
  <si>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</si>
  <si>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</si>
  <si>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</si>
  <si>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</si>
  <si>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</si>
  <si>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</si>
  <si>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</si>
  <si>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</si>
  <si>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</si>
  <si>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</si>
  <si>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</si>
  <si>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</si>
  <si>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</si>
  <si>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</si>
  <si>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</si>
  <si>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</si>
  <si>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</si>
  <si>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</si>
  <si>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</si>
  <si>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</si>
  <si>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</si>
  <si>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</si>
  <si>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</si>
  <si>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</si>
  <si>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</si>
  <si>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</si>
  <si>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</si>
  <si>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</si>
  <si>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</si>
  <si>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</si>
  <si>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</si>
  <si>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</si>
  <si>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</si>
  <si>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</si>
  <si>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</si>
  <si>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</si>
  <si>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</si>
  <si>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</si>
  <si>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</si>
  <si>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</si>
  <si>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</si>
  <si>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</si>
  <si>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</si>
  <si>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</si>
  <si>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</si>
  <si>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</si>
  <si>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</si>
  <si>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</si>
  <si>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</si>
  <si>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</si>
  <si>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</si>
  <si>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</si>
  <si>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</si>
  <si>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</si>
  <si>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</si>
  <si>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</si>
  <si>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</si>
  <si>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</si>
  <si>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</si>
  <si>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</si>
  <si>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</si>
  <si>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</si>
  <si>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</si>
  <si>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</si>
  <si>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</si>
  <si>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</si>
  <si>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</si>
  <si>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</si>
  <si>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</si>
  <si>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</si>
  <si>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</si>
  <si>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</si>
  <si>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</si>
  <si>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</si>
  <si>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</si>
  <si>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</si>
  <si>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</si>
  <si>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</si>
  <si>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</si>
  <si>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</si>
  <si>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</si>
  <si>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</si>
  <si>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</si>
  <si>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</si>
  <si>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</si>
  <si>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</si>
  <si>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</si>
  <si>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</si>
  <si>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</si>
  <si>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</si>
  <si>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</si>
  <si>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</si>
  <si>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</si>
  <si>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</si>
  <si>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</si>
  <si>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</si>
  <si>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</si>
  <si>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</si>
  <si>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</si>
  <si>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</si>
  <si>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</si>
  <si>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</si>
  <si>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</si>
  <si>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</si>
  <si>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</si>
  <si>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</si>
  <si>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</si>
  <si>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</si>
  <si>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</si>
  <si>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</si>
  <si>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</si>
  <si>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</si>
  <si>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</si>
  <si>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</si>
  <si>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</si>
  <si>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</si>
  <si>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</si>
  <si>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</si>
  <si>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</si>
  <si>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</si>
  <si>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</si>
  <si>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</si>
  <si>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</si>
  <si>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</si>
  <si>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</si>
  <si>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</si>
  <si>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</si>
  <si>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</si>
  <si>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</si>
  <si>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</si>
  <si>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</si>
  <si>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</si>
  <si>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</si>
  <si>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</si>
  <si>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</si>
  <si>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</si>
  <si>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</si>
  <si>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</si>
  <si>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</si>
  <si>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</si>
  <si>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</si>
  <si>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</si>
  <si>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</si>
  <si>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</si>
  <si>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</si>
  <si>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</si>
  <si>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</si>
  <si>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</si>
  <si>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</si>
  <si>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</si>
  <si>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</si>
  <si>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</si>
  <si>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</si>
  <si>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</si>
  <si>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</si>
  <si>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</si>
  <si>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</si>
  <si>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</si>
  <si>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</si>
  <si>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</si>
  <si>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</si>
  <si>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</si>
  <si>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</si>
  <si>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</si>
  <si>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</si>
  <si>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</si>
  <si>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</si>
  <si>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</si>
  <si>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</si>
  <si>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</si>
  <si>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</si>
  <si>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</si>
  <si>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</si>
  <si>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</si>
  <si>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</si>
  <si>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</si>
  <si>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</si>
  <si>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</si>
  <si>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</si>
  <si>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</si>
  <si>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</si>
  <si>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</si>
  <si>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</si>
  <si>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</si>
  <si>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</si>
  <si>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</si>
  <si>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</si>
  <si>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</si>
  <si>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</si>
  <si>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</si>
  <si>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</si>
  <si>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</si>
  <si>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</si>
  <si>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</si>
  <si>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</si>
  <si>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</si>
  <si>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</si>
  <si>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</si>
  <si>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</si>
  <si>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</si>
  <si>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</si>
  <si>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</si>
  <si>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</si>
  <si>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</si>
  <si>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</si>
  <si>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</si>
  <si>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</si>
  <si>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</si>
  <si>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</si>
  <si>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</si>
  <si>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</si>
  <si>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</si>
  <si>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</si>
  <si>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</si>
  <si>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</si>
  <si>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</si>
  <si>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</si>
  <si>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</si>
  <si>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</si>
  <si>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</si>
  <si>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</si>
  <si>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</si>
  <si>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</si>
  <si>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</si>
  <si>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</si>
  <si>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</si>
  <si>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</si>
  <si>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</si>
  <si>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</si>
  <si>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</si>
  <si>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</si>
  <si>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</si>
  <si>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</si>
  <si>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</si>
  <si>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</si>
  <si>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</si>
  <si>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</si>
  <si>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</si>
  <si>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</si>
  <si>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</si>
  <si>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</si>
  <si>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</si>
  <si>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</si>
  <si>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</si>
  <si>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</si>
  <si>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</si>
  <si>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</si>
  <si>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</si>
  <si>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</si>
  <si>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</si>
  <si>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</si>
  <si>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</si>
  <si>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</si>
  <si>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</si>
  <si>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</si>
  <si>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</si>
  <si>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</si>
  <si>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</si>
  <si>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</si>
  <si>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</si>
  <si>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</si>
  <si>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</si>
  <si>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</si>
  <si>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</si>
  <si>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</si>
  <si>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</si>
  <si>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</si>
  <si>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</si>
  <si>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</si>
  <si>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</si>
  <si>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</si>
  <si>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</si>
  <si>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</si>
  <si>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</si>
  <si>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</si>
  <si>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</si>
  <si>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</si>
  <si>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</si>
  <si>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</si>
  <si>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</si>
  <si>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</si>
  <si>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</si>
  <si>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</si>
  <si>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</si>
  <si>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</si>
  <si>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</si>
  <si>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</si>
  <si>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</si>
  <si>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</si>
  <si>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</si>
  <si>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</si>
  <si>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</si>
  <si>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</si>
  <si>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</si>
  <si>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</si>
  <si>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</si>
  <si>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</si>
  <si>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</si>
  <si>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</si>
  <si>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</si>
  <si>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</si>
  <si>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</si>
  <si>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</si>
  <si>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</si>
  <si>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</si>
  <si>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</si>
  <si>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</si>
  <si>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</si>
  <si>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</si>
  <si>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</si>
  <si>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</si>
  <si>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</si>
  <si>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</si>
  <si>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</si>
  <si>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</si>
  <si>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</si>
  <si>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</si>
  <si>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</si>
  <si>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</si>
  <si>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</si>
  <si>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</si>
  <si>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</si>
  <si>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</si>
  <si>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</si>
  <si>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</si>
  <si>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</si>
  <si>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</si>
  <si>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</si>
  <si>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</si>
  <si>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</si>
  <si>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</si>
  <si>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</si>
  <si>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</si>
  <si>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</si>
  <si>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</si>
  <si>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</si>
  <si>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</si>
  <si>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</si>
  <si>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</si>
  <si>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</si>
  <si>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</si>
  <si>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</si>
  <si>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</si>
  <si>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</si>
  <si>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</si>
  <si>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</si>
  <si>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</si>
  <si>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</si>
  <si>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</si>
  <si>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</si>
  <si>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</si>
  <si>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</si>
  <si>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</si>
  <si>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</si>
  <si>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</si>
  <si>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</si>
  <si>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</si>
  <si>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</si>
  <si>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</si>
  <si>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</si>
  <si>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</si>
  <si>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</si>
  <si>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</si>
  <si>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</si>
  <si>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</si>
  <si>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</si>
  <si>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</si>
  <si>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</si>
  <si>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</si>
  <si>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</si>
  <si>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</si>
  <si>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</si>
  <si>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</si>
  <si>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</si>
  <si>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</si>
  <si>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</si>
  <si>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</si>
  <si>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</si>
  <si>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</si>
  <si>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</si>
  <si>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</si>
  <si>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</si>
  <si>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</si>
  <si>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</si>
  <si>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</si>
  <si>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</si>
  <si>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</si>
  <si>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</si>
  <si>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</si>
  <si>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</si>
  <si>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</si>
  <si>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</si>
  <si>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</si>
  <si>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</si>
  <si>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</si>
  <si>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</si>
  <si>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</si>
  <si>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</si>
  <si>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</si>
  <si>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</si>
  <si>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</si>
  <si>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</si>
  <si>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</si>
  <si>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</si>
  <si>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</si>
  <si>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</si>
  <si>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</si>
  <si>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</si>
  <si>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</si>
  <si>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</si>
  <si>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</si>
  <si>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</si>
  <si>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</si>
  <si>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</si>
  <si>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</si>
  <si>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</si>
  <si>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</si>
  <si>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</si>
  <si>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</si>
  <si>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</si>
  <si>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</si>
  <si>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</si>
  <si>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</si>
  <si>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</si>
  <si>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</si>
  <si>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</si>
  <si>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</si>
  <si>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</si>
  <si>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</si>
  <si>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</si>
  <si>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</si>
  <si>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</si>
  <si>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</si>
  <si>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</si>
  <si>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</si>
  <si>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</si>
  <si>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</si>
  <si>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</si>
  <si>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</si>
  <si>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</si>
  <si>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</si>
  <si>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</si>
  <si>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</si>
  <si>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</si>
  <si>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</si>
  <si>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</si>
  <si>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</si>
  <si>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</si>
  <si>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</si>
  <si>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</si>
  <si>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</si>
  <si>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</si>
  <si>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</si>
  <si>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</si>
  <si>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</si>
  <si>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</si>
  <si>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</si>
  <si>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</si>
  <si>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</si>
  <si>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</si>
  <si>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</si>
  <si>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</si>
  <si>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</si>
  <si>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</si>
  <si>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</si>
  <si>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</si>
  <si>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</si>
  <si>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</si>
  <si>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</si>
  <si>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</si>
  <si>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</si>
  <si>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</si>
  <si>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</si>
  <si>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</si>
  <si>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</si>
  <si>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</si>
  <si>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</si>
  <si>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</si>
  <si>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</si>
  <si>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</si>
  <si>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</si>
  <si>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</si>
  <si>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</si>
  <si>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</si>
  <si>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</si>
  <si>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</si>
  <si>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</si>
  <si>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</si>
  <si>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</si>
  <si>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</si>
  <si>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</si>
  <si>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</si>
  <si>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</si>
  <si>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</si>
  <si>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</si>
  <si>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</si>
  <si>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</si>
  <si>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</si>
  <si>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</si>
  <si>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</si>
  <si>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</si>
  <si>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</si>
  <si>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</si>
  <si>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</si>
  <si>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</si>
  <si>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</si>
  <si>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</si>
  <si>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</si>
  <si>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</si>
  <si>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</si>
  <si>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</si>
  <si>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</si>
  <si>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</si>
  <si>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</si>
  <si>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</si>
  <si>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</si>
  <si>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</si>
  <si>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</si>
  <si>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</si>
  <si>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</si>
  <si>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</si>
  <si>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</si>
  <si>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</si>
  <si>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</si>
  <si>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</si>
  <si>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</si>
  <si>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</si>
  <si>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</si>
  <si>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</si>
  <si>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</si>
  <si>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</si>
  <si>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</si>
  <si>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</si>
  <si>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</si>
  <si>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</si>
  <si>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</si>
  <si>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</si>
  <si>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</si>
  <si>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</si>
  <si>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</si>
  <si>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</si>
  <si>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</si>
  <si>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</si>
  <si>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</si>
  <si>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</si>
  <si>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</si>
  <si>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</si>
  <si>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</si>
  <si>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</si>
  <si>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</si>
  <si>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</si>
  <si>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</si>
  <si>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</si>
  <si>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</si>
  <si>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</si>
  <si>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</si>
  <si>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</si>
  <si>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</si>
  <si>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</si>
  <si>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</si>
  <si>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</si>
  <si>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</si>
  <si>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</si>
  <si>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</si>
  <si>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</si>
  <si>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</si>
  <si>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</si>
  <si>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</si>
  <si>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</si>
  <si>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</si>
  <si>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</si>
  <si>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</si>
  <si>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</si>
  <si>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</si>
  <si>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</si>
  <si>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</si>
  <si>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</si>
  <si>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</si>
  <si>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</si>
  <si>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</si>
  <si>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</si>
  <si>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</si>
  <si>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</si>
  <si>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</si>
  <si>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</si>
  <si>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</si>
  <si>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</si>
  <si>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</si>
  <si>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</si>
  <si>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</si>
  <si>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</si>
  <si>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</si>
  <si>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</si>
  <si>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</si>
  <si>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</si>
  <si>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</si>
  <si>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</si>
  <si>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</si>
  <si>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</si>
  <si>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</si>
  <si>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</si>
  <si>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</si>
  <si>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</si>
  <si>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</si>
  <si>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</si>
  <si>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</si>
  <si>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</si>
  <si>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</si>
  <si>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</si>
  <si>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</si>
  <si>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</si>
  <si>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</si>
  <si>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</si>
  <si>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</si>
  <si>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</si>
  <si>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</si>
  <si>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</si>
  <si>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</si>
  <si>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</si>
  <si>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</si>
  <si>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</si>
  <si>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</si>
  <si>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</si>
  <si>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</si>
  <si>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</si>
  <si>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</si>
  <si>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</si>
  <si>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</si>
  <si>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</si>
  <si>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</si>
  <si>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</si>
  <si>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</si>
  <si>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</si>
  <si>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</si>
  <si>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</si>
  <si>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</si>
  <si>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</si>
  <si>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</si>
  <si>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</si>
  <si>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</si>
  <si>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</si>
  <si>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</si>
  <si>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</si>
  <si>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</si>
  <si>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</si>
  <si>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</si>
  <si>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</si>
  <si>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</si>
  <si>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</si>
  <si>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</si>
  <si>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</si>
  <si>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</si>
  <si>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</si>
  <si>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</si>
  <si>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</si>
  <si>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</si>
  <si>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</si>
  <si>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</si>
  <si>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</si>
  <si>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</si>
  <si>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</si>
  <si>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</si>
  <si>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</si>
  <si>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</si>
  <si>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</si>
  <si>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</si>
  <si>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</si>
  <si>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</si>
  <si>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</si>
  <si>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</si>
  <si>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</si>
  <si>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</si>
  <si>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</si>
  <si>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</si>
  <si>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</si>
  <si>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</si>
  <si>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</si>
  <si>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</si>
  <si>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</si>
  <si>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</si>
  <si>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</si>
  <si>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</si>
  <si>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</si>
  <si>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</si>
  <si>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</si>
  <si>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</si>
  <si>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</si>
  <si>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</si>
  <si>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</si>
  <si>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</si>
  <si>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</si>
  <si>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</si>
  <si>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</si>
  <si>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</si>
  <si>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</si>
  <si>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</si>
  <si>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</si>
  <si>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</si>
  <si>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</si>
  <si>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</si>
  <si>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</si>
  <si>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</si>
  <si>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</si>
  <si>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</si>
  <si>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</si>
  <si>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</si>
  <si>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</si>
  <si>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</si>
  <si>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</si>
  <si>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</si>
  <si>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</si>
  <si>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</si>
  <si>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</si>
  <si>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</si>
  <si>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</si>
  <si>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</si>
  <si>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</si>
  <si>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</si>
  <si>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</si>
  <si>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</si>
  <si>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</si>
  <si>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</si>
  <si>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</si>
  <si>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</si>
  <si>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</si>
  <si>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</si>
  <si>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</si>
  <si>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</si>
  <si>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</si>
  <si>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</si>
  <si>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</si>
  <si>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</si>
  <si>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</si>
  <si>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</si>
  <si>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</si>
  <si>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</si>
  <si>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</si>
  <si>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</si>
  <si>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</si>
  <si>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</si>
  <si>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</si>
  <si>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</si>
  <si>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</si>
  <si>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</si>
  <si>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</si>
  <si>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</si>
  <si>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</si>
  <si>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</si>
  <si>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</si>
  <si>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</si>
  <si>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</si>
  <si>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</si>
  <si>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</si>
  <si>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</si>
  <si>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</si>
  <si>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</si>
  <si>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</si>
  <si>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</si>
  <si>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</si>
  <si>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</si>
  <si>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</si>
  <si>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</si>
  <si>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</si>
  <si>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</si>
  <si>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</si>
  <si>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</si>
  <si>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</si>
  <si>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</si>
  <si>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</si>
  <si>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</si>
  <si>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</si>
  <si>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</si>
  <si>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</si>
  <si>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</si>
  <si>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</si>
  <si>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</si>
  <si>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</si>
  <si>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</si>
  <si>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</si>
  <si>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</si>
  <si>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</si>
  <si>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</si>
  <si>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</si>
  <si>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</si>
  <si>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</si>
  <si>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</si>
  <si>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</si>
  <si>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</si>
  <si>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</si>
  <si>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</si>
  <si>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</si>
  <si>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</si>
  <si>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</si>
  <si>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</si>
  <si>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</si>
  <si>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</si>
  <si>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</si>
  <si>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</si>
  <si>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</si>
  <si>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</si>
  <si>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</si>
  <si>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</si>
  <si>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</si>
  <si>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</si>
  <si>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</si>
  <si>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</si>
  <si>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</si>
  <si>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</si>
  <si>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</si>
  <si>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</si>
  <si>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</si>
  <si>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</si>
  <si>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</si>
  <si>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</si>
  <si>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</si>
  <si>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</si>
  <si>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</si>
  <si>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</si>
  <si>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</si>
  <si>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</si>
  <si>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</si>
  <si>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</si>
  <si>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</si>
  <si>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</si>
  <si>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</si>
  <si>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</si>
  <si>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</si>
  <si>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</si>
  <si>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</si>
  <si>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</si>
  <si>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</si>
  <si>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</si>
  <si>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</si>
  <si>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</si>
  <si>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</si>
  <si>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</si>
  <si>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</si>
  <si>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</si>
  <si>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</si>
  <si>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</si>
  <si>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</si>
  <si>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</si>
  <si>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</si>
  <si>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</si>
  <si>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</si>
  <si>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</si>
  <si>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</si>
  <si>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</si>
  <si>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</si>
  <si>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</si>
  <si>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</si>
  <si>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</si>
  <si>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</si>
  <si>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</si>
  <si>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</si>
  <si>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</si>
  <si>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</si>
  <si>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</si>
  <si>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</si>
  <si>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</si>
  <si>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</si>
  <si>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</si>
  <si>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</si>
  <si>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</si>
  <si>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</si>
  <si>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</si>
  <si>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</si>
  <si>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</si>
  <si>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</si>
  <si>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</si>
  <si>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</si>
  <si>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</si>
  <si>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</si>
  <si>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</si>
  <si>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</si>
  <si>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</si>
  <si>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</si>
  <si>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</si>
  <si>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</si>
  <si>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</si>
  <si>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</si>
  <si>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</si>
  <si>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</si>
  <si>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</si>
  <si>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</si>
  <si>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</si>
  <si>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</si>
  <si>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</si>
  <si>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</si>
  <si>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</si>
  <si>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</si>
  <si>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</si>
  <si>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</si>
  <si>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</si>
  <si>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</si>
  <si>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</si>
  <si>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</si>
  <si>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</si>
  <si>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</si>
  <si>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</si>
  <si>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</si>
  <si>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</si>
  <si>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</si>
  <si>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</si>
  <si>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</si>
  <si>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</si>
  <si>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</si>
  <si>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</si>
  <si>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</si>
  <si>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</si>
  <si>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</si>
  <si>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</si>
  <si>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</si>
  <si>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</si>
  <si>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</si>
  <si>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</si>
  <si>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</si>
  <si>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</si>
  <si>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</si>
  <si>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</si>
  <si>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</si>
  <si>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</si>
  <si>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</si>
  <si>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</si>
  <si>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</si>
  <si>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</si>
  <si>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</si>
  <si>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</si>
  <si>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</si>
  <si>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</si>
  <si>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</si>
  <si>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</si>
  <si>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</si>
  <si>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</si>
  <si>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</si>
  <si>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</si>
  <si>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</si>
  <si>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</si>
  <si>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</si>
  <si>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</si>
  <si>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</si>
  <si>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</si>
  <si>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</si>
  <si>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</si>
  <si>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</si>
  <si>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</si>
  <si>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</si>
  <si>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</si>
  <si>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</si>
  <si>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</si>
  <si>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</si>
  <si>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</si>
  <si>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</si>
  <si>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</si>
  <si>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</si>
  <si>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</si>
  <si>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</si>
  <si>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</si>
  <si>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</si>
  <si>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</si>
  <si>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</si>
  <si>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</si>
  <si>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</si>
  <si>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</si>
  <si>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</si>
  <si>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</si>
  <si>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</si>
  <si>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</si>
  <si>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</si>
  <si>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</si>
  <si>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</si>
  <si>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</si>
  <si>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</si>
  <si>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</si>
  <si>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</si>
  <si>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</si>
  <si>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</si>
  <si>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</si>
  <si>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</si>
  <si>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</si>
  <si>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</si>
  <si>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</si>
  <si>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</si>
  <si>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</si>
  <si>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</si>
  <si>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</si>
  <si>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</si>
  <si>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</si>
  <si>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</si>
  <si>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</si>
  <si>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</si>
  <si>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</si>
  <si>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</si>
  <si>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</si>
  <si>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</si>
  <si>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</si>
  <si>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</si>
  <si>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</si>
  <si>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</si>
  <si>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</si>
  <si>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</si>
  <si>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</si>
  <si>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</si>
  <si>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</si>
  <si>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</si>
  <si>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</si>
  <si>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</si>
  <si>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</si>
  <si>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</si>
  <si>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</si>
  <si>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</si>
  <si>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</si>
  <si>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</si>
  <si>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</si>
  <si>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</si>
  <si>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</si>
  <si>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</si>
  <si>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</si>
  <si>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</si>
  <si>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</si>
  <si>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</si>
  <si>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</si>
  <si>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</si>
  <si>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</si>
  <si>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</si>
  <si>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</si>
  <si>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</si>
  <si>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</si>
  <si>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</si>
  <si>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</si>
  <si>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</si>
  <si>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</si>
  <si>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</si>
  <si>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</si>
  <si>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</si>
  <si>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</si>
  <si>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</si>
  <si>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</si>
  <si>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</si>
  <si>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</si>
  <si>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</si>
  <si>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</si>
  <si>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</si>
  <si>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</si>
  <si>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</si>
  <si>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</si>
  <si>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</si>
  <si>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</si>
  <si>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</si>
  <si>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</si>
  <si>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</si>
  <si>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</si>
  <si>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</si>
  <si>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</si>
  <si>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</si>
  <si>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</si>
  <si>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</si>
  <si>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</si>
  <si>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</si>
  <si>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</si>
  <si>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</si>
  <si>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</si>
  <si>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</si>
  <si>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</si>
  <si>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</si>
  <si>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</si>
  <si>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</si>
  <si>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</si>
  <si>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</si>
  <si>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</si>
  <si>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</si>
  <si>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</si>
  <si>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</si>
  <si>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</si>
  <si>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</si>
  <si>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</si>
  <si>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</si>
  <si>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</si>
  <si>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</si>
  <si>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</si>
  <si>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</si>
  <si>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</si>
  <si>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</si>
  <si>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</si>
  <si>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</si>
  <si>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</si>
  <si>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</si>
  <si>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</si>
  <si>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</si>
  <si>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</si>
  <si>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</si>
  <si>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</si>
  <si>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</si>
  <si>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</si>
  <si>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</si>
  <si>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</si>
  <si>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</si>
  <si>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</si>
  <si>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</si>
  <si>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</si>
  <si>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</si>
  <si>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</si>
  <si>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</si>
  <si>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</si>
  <si>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</si>
  <si>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</si>
  <si>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</si>
  <si>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</si>
  <si>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</si>
  <si>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</si>
  <si>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</si>
  <si>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</si>
  <si>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</si>
  <si>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</si>
  <si>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</si>
  <si>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</si>
  <si>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</si>
  <si>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</si>
  <si>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</si>
  <si>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</si>
  <si>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</si>
  <si>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</si>
  <si>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</si>
  <si>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</si>
  <si>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</si>
  <si>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</si>
  <si>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</si>
  <si>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</si>
  <si>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</si>
  <si>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</si>
  <si>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</si>
  <si>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</si>
  <si>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</si>
  <si>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</si>
  <si>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</si>
  <si>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</si>
  <si>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</si>
  <si>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</si>
  <si>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</si>
  <si>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</si>
  <si>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</si>
  <si>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</si>
  <si>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</si>
  <si>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</si>
  <si>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</si>
  <si>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</si>
  <si>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</si>
  <si>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</si>
  <si>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</si>
  <si>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</si>
  <si>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</si>
  <si>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</si>
  <si>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</si>
  <si>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</si>
  <si>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</si>
  <si>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</si>
  <si>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</si>
  <si>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</si>
  <si>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</si>
  <si>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</si>
  <si>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</si>
  <si>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</si>
  <si>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</si>
  <si>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</si>
  <si>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</si>
  <si>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</si>
  <si>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</si>
  <si>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07/13</t>
  </si>
  <si>
    <t>08/20</t>
  </si>
  <si>
    <t xml:space="preserve">SOUHEGAN COOPERATIVE SCHOOL DISTRICT </t>
  </si>
  <si>
    <t xml:space="preserve">AUDIT ADJUSTMENTS </t>
  </si>
  <si>
    <t>The District did not pay for bussing to Career &amp; Technical Education programs at other districts.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</si>
</sst>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0" zoomScaleNormal="110" workbookViewId="0">
      <pane xSplit="5" ySplit="3" topLeftCell="F641"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1674</v>
      </c>
      <c r="B2" s="21">
        <v>493</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-405682.65+2301545.25</f>
        <v>1895862.6</v>
      </c>
      <c r="G9" s="18">
        <v>800</v>
      </c>
      <c r="H9" s="18">
        <v>59629.8</v>
      </c>
      <c r="I9" s="18">
        <v>0</v>
      </c>
      <c r="J9" s="67">
        <f>SUM(I440)</f>
        <v>147498.76999999999</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53450.89</v>
      </c>
      <c r="G12" s="18"/>
      <c r="H12" s="18">
        <v>0</v>
      </c>
      <c r="I12" s="18"/>
      <c r="J12" s="67">
        <f>SUM(I442)</f>
        <v>13756</v>
      </c>
      <c r="K12" s="24" t="s">
        <v>288</v>
      </c>
      <c r="L12" s="24" t="s">
        <v>288</v>
      </c>
      <c r="M12" s="8"/>
      <c r="N12" s="264"/>
    </row>
    <row r="13" spans="1:14" s="3" customFormat="1" ht="12.2" customHeight="1" x14ac:dyDescent="0.15">
      <c r="A13" s="1" t="s">
        <v>604</v>
      </c>
      <c r="B13" s="2" t="s">
        <v>289</v>
      </c>
      <c r="C13" s="6">
        <v>5</v>
      </c>
      <c r="D13" s="2" t="s">
        <v>428</v>
      </c>
      <c r="E13" s="6">
        <v>140</v>
      </c>
      <c r="F13" s="18">
        <v>20003.830000000002</v>
      </c>
      <c r="G13" s="18">
        <v>40244.199999999997</v>
      </c>
      <c r="H13" s="18">
        <v>62939.5</v>
      </c>
      <c r="I13" s="18"/>
      <c r="J13" s="67">
        <f>SUM(I443)</f>
        <v>817302.09</v>
      </c>
      <c r="K13" s="24" t="s">
        <v>288</v>
      </c>
      <c r="L13" s="24" t="s">
        <v>288</v>
      </c>
      <c r="M13" s="8"/>
      <c r="N13" s="264"/>
    </row>
    <row r="14" spans="1:14" s="3" customFormat="1" ht="12.2" customHeight="1" x14ac:dyDescent="0.15">
      <c r="A14" s="1" t="s">
        <v>565</v>
      </c>
      <c r="B14" s="2" t="s">
        <v>289</v>
      </c>
      <c r="C14" s="6">
        <v>6</v>
      </c>
      <c r="D14" s="2" t="s">
        <v>428</v>
      </c>
      <c r="E14" s="6">
        <v>150</v>
      </c>
      <c r="F14" s="18">
        <v>3785.36</v>
      </c>
      <c r="G14" s="18">
        <v>26.85</v>
      </c>
      <c r="H14" s="18">
        <v>0</v>
      </c>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v>0</v>
      </c>
      <c r="G16" s="18"/>
      <c r="H16" s="18">
        <v>0</v>
      </c>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0</v>
      </c>
      <c r="G17" s="18">
        <v>0</v>
      </c>
      <c r="H17" s="18">
        <v>0</v>
      </c>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v>0</v>
      </c>
      <c r="G18" s="18">
        <v>0</v>
      </c>
      <c r="H18" s="145">
        <v>0</v>
      </c>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1973102.6800000002</v>
      </c>
      <c r="G19" s="41">
        <f>SUM(G9:G18)</f>
        <v>41071.049999999996</v>
      </c>
      <c r="H19" s="41">
        <f>SUM(H9:H18)</f>
        <v>122569.3</v>
      </c>
      <c r="I19" s="41">
        <f>SUM(I9:I18)</f>
        <v>0</v>
      </c>
      <c r="J19" s="41">
        <f>SUM(J9:J18)</f>
        <v>978556.86</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v>21111.15</v>
      </c>
      <c r="H22" s="18">
        <v>31786.29</v>
      </c>
      <c r="I22" s="18">
        <v>0</v>
      </c>
      <c r="J22" s="67">
        <f>SUM(I449)</f>
        <v>553.45000000000005</v>
      </c>
      <c r="K22" s="24" t="s">
        <v>288</v>
      </c>
      <c r="L22" s="24" t="s">
        <v>288</v>
      </c>
      <c r="M22" s="8"/>
      <c r="N22" s="264"/>
    </row>
    <row r="23" spans="1:14" s="3" customFormat="1" ht="12.2" customHeight="1" x14ac:dyDescent="0.15">
      <c r="A23" s="1" t="s">
        <v>607</v>
      </c>
      <c r="B23" s="2" t="s">
        <v>289</v>
      </c>
      <c r="C23" s="6">
        <v>13</v>
      </c>
      <c r="D23" s="2" t="s">
        <v>429</v>
      </c>
      <c r="E23" s="6">
        <v>410</v>
      </c>
      <c r="F23" s="18">
        <f>208283.76+2825.52+1598.78</f>
        <v>212708.06</v>
      </c>
      <c r="G23" s="18">
        <v>0</v>
      </c>
      <c r="H23" s="18">
        <v>0</v>
      </c>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f>181423.52-2419.66</f>
        <v>179003.86</v>
      </c>
      <c r="G24" s="18">
        <v>563.54</v>
      </c>
      <c r="H24" s="18">
        <v>0</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107044.3</v>
      </c>
      <c r="G28" s="18">
        <v>0</v>
      </c>
      <c r="H28" s="18">
        <v>0</v>
      </c>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v>17156.900000000001</v>
      </c>
      <c r="G29" s="18">
        <v>0</v>
      </c>
      <c r="H29" s="18">
        <v>0</v>
      </c>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1043.48</v>
      </c>
      <c r="G30" s="18">
        <v>19396.36</v>
      </c>
      <c r="H30" s="18">
        <v>12559.83</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v>0</v>
      </c>
      <c r="G31" s="18">
        <v>0</v>
      </c>
      <c r="H31" s="18">
        <v>0</v>
      </c>
      <c r="I31" s="18"/>
      <c r="J31" s="67">
        <f>SUM(I452)</f>
        <v>161254.76999999999</v>
      </c>
      <c r="K31" s="24" t="s">
        <v>288</v>
      </c>
      <c r="L31" s="24" t="s">
        <v>288</v>
      </c>
      <c r="M31" s="8"/>
      <c r="N31" s="264"/>
    </row>
    <row r="32" spans="1:14" s="3" customFormat="1" ht="12.2" customHeight="1" thickTop="1" x14ac:dyDescent="0.15">
      <c r="A32" s="38" t="s">
        <v>406</v>
      </c>
      <c r="B32" s="39" t="s">
        <v>289</v>
      </c>
      <c r="C32" s="40">
        <v>22</v>
      </c>
      <c r="D32" s="39" t="s">
        <v>429</v>
      </c>
      <c r="E32" s="39"/>
      <c r="F32" s="41">
        <f>SUM(F22:F31)</f>
        <v>516956.6</v>
      </c>
      <c r="G32" s="41">
        <f>SUM(G22:G31)</f>
        <v>41071.050000000003</v>
      </c>
      <c r="H32" s="41">
        <f>SUM(H22:H31)</f>
        <v>44346.12</v>
      </c>
      <c r="I32" s="41">
        <f>SUM(I22:I31)</f>
        <v>0</v>
      </c>
      <c r="J32" s="41">
        <f>SUM(J22:J31)</f>
        <v>161808.22</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85000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v>0</v>
      </c>
      <c r="H48" s="18">
        <f>37951.3+40271.88</f>
        <v>78223.179999999993</v>
      </c>
      <c r="I48" s="18">
        <v>0</v>
      </c>
      <c r="J48" s="13">
        <f>SUM(I460)</f>
        <v>816748.6399999999</v>
      </c>
      <c r="K48" s="24" t="s">
        <v>288</v>
      </c>
      <c r="L48" s="24" t="s">
        <v>288</v>
      </c>
      <c r="M48" s="8"/>
      <c r="N48" s="264"/>
    </row>
    <row r="49" spans="1:14" s="3" customFormat="1" ht="12.2" customHeight="1" x14ac:dyDescent="0.15">
      <c r="A49" s="1" t="s">
        <v>859</v>
      </c>
      <c r="B49" s="2" t="s">
        <v>289</v>
      </c>
      <c r="C49" s="6">
        <v>34</v>
      </c>
      <c r="D49" s="2"/>
      <c r="E49" s="6">
        <v>753</v>
      </c>
      <c r="F49" s="18">
        <v>313439.83</v>
      </c>
      <c r="G49" s="18">
        <v>0</v>
      </c>
      <c r="H49" s="18">
        <v>0</v>
      </c>
      <c r="I49" s="18"/>
      <c r="J49" s="13">
        <f>I455</f>
        <v>0</v>
      </c>
      <c r="K49" s="24"/>
      <c r="L49" s="24"/>
      <c r="M49" s="8"/>
      <c r="N49" s="264"/>
    </row>
    <row r="50" spans="1:14" s="3" customFormat="1" ht="12.2" customHeight="1" thickBot="1" x14ac:dyDescent="0.2">
      <c r="A50" s="29" t="s">
        <v>840</v>
      </c>
      <c r="B50" s="2" t="s">
        <v>289</v>
      </c>
      <c r="C50" s="71">
        <v>35</v>
      </c>
      <c r="D50" s="2" t="s">
        <v>653</v>
      </c>
      <c r="E50" s="6">
        <v>770</v>
      </c>
      <c r="F50" s="18">
        <f>272780.75+18380083.35-17344478.25-248674.96-405.86-1598.78</f>
        <v>1057706.2500000014</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1456146.0800000015</v>
      </c>
      <c r="G51" s="41">
        <f>SUM(G35:G50)</f>
        <v>0</v>
      </c>
      <c r="H51" s="41">
        <f>SUM(H35:H50)</f>
        <v>78223.179999999993</v>
      </c>
      <c r="I51" s="41">
        <f>SUM(I35:I50)</f>
        <v>0</v>
      </c>
      <c r="J51" s="41">
        <f>SUM(J35:J50)</f>
        <v>816748.6399999999</v>
      </c>
      <c r="K51" s="45" t="s">
        <v>288</v>
      </c>
      <c r="L51" s="45" t="s">
        <v>288</v>
      </c>
      <c r="N51" s="262"/>
    </row>
    <row r="52" spans="1:14" s="3" customFormat="1" ht="12.2" customHeight="1" thickTop="1" x14ac:dyDescent="0.15">
      <c r="A52" s="38" t="s">
        <v>455</v>
      </c>
      <c r="B52" s="39" t="s">
        <v>289</v>
      </c>
      <c r="C52" s="6">
        <v>37</v>
      </c>
      <c r="D52" s="39" t="s">
        <v>653</v>
      </c>
      <c r="E52" s="39"/>
      <c r="F52" s="41">
        <f>F51+F32</f>
        <v>1973102.6800000016</v>
      </c>
      <c r="G52" s="41">
        <f>G51+G32</f>
        <v>41071.050000000003</v>
      </c>
      <c r="H52" s="41">
        <f>H51+H32</f>
        <v>122569.29999999999</v>
      </c>
      <c r="I52" s="41">
        <f>I51+I32</f>
        <v>0</v>
      </c>
      <c r="J52" s="41">
        <f>J51+J32</f>
        <v>978556.85999999987</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14598203</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14598203</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43772.9</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v>2183.33</v>
      </c>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v>0</v>
      </c>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0</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45956.23</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4001.32</v>
      </c>
      <c r="G96" s="18"/>
      <c r="H96" s="18">
        <v>87.34</v>
      </c>
      <c r="I96" s="18">
        <v>0</v>
      </c>
      <c r="J96" s="18">
        <v>55608.72</v>
      </c>
      <c r="K96" s="24" t="s">
        <v>288</v>
      </c>
      <c r="L96" s="24" t="s">
        <v>288</v>
      </c>
      <c r="M96" s="8"/>
      <c r="N96" s="264"/>
    </row>
    <row r="97" spans="1:14" s="3" customFormat="1" ht="12.2" customHeight="1" x14ac:dyDescent="0.15">
      <c r="A97" s="1" t="s">
        <v>503</v>
      </c>
      <c r="B97" s="2" t="s">
        <v>315</v>
      </c>
      <c r="C97" s="6">
        <v>12</v>
      </c>
      <c r="D97" s="2" t="s">
        <v>430</v>
      </c>
      <c r="E97" s="6">
        <v>1600</v>
      </c>
      <c r="F97" s="24" t="s">
        <v>288</v>
      </c>
      <c r="G97" s="18">
        <v>61062.85</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v>88049.26</v>
      </c>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3653.71</v>
      </c>
      <c r="G101" s="18"/>
      <c r="H101" s="18">
        <v>40184.54</v>
      </c>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v>0</v>
      </c>
      <c r="G102" s="18"/>
      <c r="H102" s="18">
        <v>9190.4</v>
      </c>
      <c r="I102" s="18">
        <v>0</v>
      </c>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v>0</v>
      </c>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7534.57</v>
      </c>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129507.28</v>
      </c>
      <c r="G109" s="18">
        <v>169.61</v>
      </c>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3138.44</v>
      </c>
      <c r="G110" s="18">
        <v>248.35</v>
      </c>
      <c r="H110" s="18"/>
      <c r="I110" s="18"/>
      <c r="J110" s="18">
        <v>0</v>
      </c>
      <c r="K110" s="24" t="s">
        <v>288</v>
      </c>
      <c r="L110" s="24" t="s">
        <v>288</v>
      </c>
      <c r="M110" s="8"/>
      <c r="N110" s="264"/>
    </row>
    <row r="111" spans="1:14" ht="12.2" customHeight="1" thickTop="1" thickBot="1" x14ac:dyDescent="0.25">
      <c r="A111" s="38" t="s">
        <v>433</v>
      </c>
      <c r="B111" s="39" t="s">
        <v>315</v>
      </c>
      <c r="C111" s="40">
        <v>25</v>
      </c>
      <c r="D111" s="39" t="s">
        <v>430</v>
      </c>
      <c r="E111" s="40"/>
      <c r="F111" s="41">
        <f>SUM(F96:F110)</f>
        <v>235884.58000000002</v>
      </c>
      <c r="G111" s="41">
        <f>SUM(G96:G110)</f>
        <v>61480.81</v>
      </c>
      <c r="H111" s="41">
        <f>SUM(H96:H110)</f>
        <v>49462.28</v>
      </c>
      <c r="I111" s="41">
        <f>SUM(I96:I110)</f>
        <v>0</v>
      </c>
      <c r="J111" s="41">
        <f>SUM(J96:J110)</f>
        <v>55608.72</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14880043.810000001</v>
      </c>
      <c r="G112" s="41">
        <f>G60+G111</f>
        <v>61480.81</v>
      </c>
      <c r="H112" s="41">
        <f>H60+H79+H94+H111</f>
        <v>49462.28</v>
      </c>
      <c r="I112" s="41">
        <f>I60+I111</f>
        <v>0</v>
      </c>
      <c r="J112" s="41">
        <f>J60+J111</f>
        <v>55608.72</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1753032.57</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1427280</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0</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3180312.5700000003</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0</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260491.55</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1502.29</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v>0</v>
      </c>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1530.87</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v>0</v>
      </c>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v>0</v>
      </c>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261993.84</v>
      </c>
      <c r="G136" s="41">
        <f>SUM(G123:G135)</f>
        <v>1530.87</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3442306.41</v>
      </c>
      <c r="G140" s="41">
        <f>G121+SUM(G136:G137)</f>
        <v>1530.87</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655.88</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40124.6</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73338.240000000005</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205459.34</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57733.13</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0</v>
      </c>
      <c r="G161" s="18"/>
      <c r="H161" s="18">
        <f>149600</f>
        <v>149600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13730.28</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57733.13</v>
      </c>
      <c r="G163" s="41">
        <f>SUM(G150:G162)</f>
        <v>73338.240000000005</v>
      </c>
      <c r="H163" s="41">
        <f>SUM(H150:H162)</f>
        <v>409570.10000000003</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57733.13</v>
      </c>
      <c r="G170" s="41">
        <f>G147+G163+SUM(G164:G169)</f>
        <v>73338.240000000005</v>
      </c>
      <c r="H170" s="41">
        <f>H147+H163+SUM(H164:H169)</f>
        <v>409570.10000000003</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v>0</v>
      </c>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189558.69</v>
      </c>
      <c r="H180" s="18"/>
      <c r="I180" s="18"/>
      <c r="J180" s="18">
        <v>100000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189558.69</v>
      </c>
      <c r="H184" s="41">
        <f>SUM(H180:H183)</f>
        <v>0</v>
      </c>
      <c r="I184" s="41">
        <f>SUM(I180:I183)</f>
        <v>0</v>
      </c>
      <c r="J184" s="41">
        <f>SUM(J180:J183)</f>
        <v>100000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189558.69</v>
      </c>
      <c r="H193" s="41">
        <f>+H184+SUM(H189:H192)</f>
        <v>0</v>
      </c>
      <c r="I193" s="41">
        <f>I178+I184+SUM(I189:I192)</f>
        <v>0</v>
      </c>
      <c r="J193" s="41">
        <f>J184</f>
        <v>100000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18380083.349999998</v>
      </c>
      <c r="G194" s="47">
        <f>G112+G140+G170+G193</f>
        <v>325908.61</v>
      </c>
      <c r="H194" s="47">
        <f>H112+H140+H170+H193</f>
        <v>459032.38</v>
      </c>
      <c r="I194" s="47">
        <f>I112+I140+I170+I193</f>
        <v>0</v>
      </c>
      <c r="J194" s="47">
        <f>J112+J140+J193</f>
        <v>155608.72</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c r="G198" s="18"/>
      <c r="H198" s="18"/>
      <c r="I198" s="18"/>
      <c r="J198" s="18"/>
      <c r="K198" s="18"/>
      <c r="L198" s="19">
        <f>SUM(F198:K198)</f>
        <v>0</v>
      </c>
      <c r="M198" s="8"/>
      <c r="N198" s="264"/>
    </row>
    <row r="199" spans="1:14" s="3" customFormat="1" ht="12.2" customHeight="1" x14ac:dyDescent="0.15">
      <c r="A199" s="1" t="s">
        <v>439</v>
      </c>
      <c r="B199" s="2" t="s">
        <v>341</v>
      </c>
      <c r="C199" s="2" t="s">
        <v>291</v>
      </c>
      <c r="D199" s="2" t="s">
        <v>431</v>
      </c>
      <c r="E199" s="6">
        <v>1200</v>
      </c>
      <c r="F199" s="18"/>
      <c r="G199" s="18"/>
      <c r="H199" s="18"/>
      <c r="I199" s="18"/>
      <c r="J199" s="18"/>
      <c r="K199" s="18"/>
      <c r="L199" s="19">
        <f>SUM(F199:K199)</f>
        <v>0</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4"/>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4"/>
    </row>
    <row r="205" spans="1:14" s="3" customFormat="1" ht="12.2" customHeight="1" x14ac:dyDescent="0.15">
      <c r="A205" s="1" t="s">
        <v>444</v>
      </c>
      <c r="B205" s="2" t="s">
        <v>341</v>
      </c>
      <c r="C205" s="2" t="s">
        <v>296</v>
      </c>
      <c r="D205" s="2" t="s">
        <v>431</v>
      </c>
      <c r="E205" s="6">
        <v>2300</v>
      </c>
      <c r="F205" s="18"/>
      <c r="G205" s="18"/>
      <c r="H205" s="18"/>
      <c r="I205" s="18"/>
      <c r="J205" s="18"/>
      <c r="K205" s="18"/>
      <c r="L205" s="19">
        <f t="shared" si="0"/>
        <v>0</v>
      </c>
      <c r="M205" s="8"/>
      <c r="N205" s="264"/>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4"/>
    </row>
    <row r="209" spans="1:14" s="3" customFormat="1" ht="12.2" customHeight="1" x14ac:dyDescent="0.15">
      <c r="A209" s="1" t="s">
        <v>448</v>
      </c>
      <c r="B209" s="2" t="s">
        <v>341</v>
      </c>
      <c r="C209" s="2" t="s">
        <v>300</v>
      </c>
      <c r="D209" s="2" t="s">
        <v>431</v>
      </c>
      <c r="E209" s="6">
        <v>2700</v>
      </c>
      <c r="F209" s="18"/>
      <c r="G209" s="18"/>
      <c r="H209" s="18"/>
      <c r="I209" s="18"/>
      <c r="J209" s="18"/>
      <c r="K209" s="18"/>
      <c r="L209" s="19">
        <f t="shared" si="0"/>
        <v>0</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0</v>
      </c>
      <c r="G212" s="41">
        <f t="shared" si="1"/>
        <v>0</v>
      </c>
      <c r="H212" s="41">
        <f t="shared" si="1"/>
        <v>0</v>
      </c>
      <c r="I212" s="41">
        <f t="shared" si="1"/>
        <v>0</v>
      </c>
      <c r="J212" s="41">
        <f t="shared" si="1"/>
        <v>0</v>
      </c>
      <c r="K212" s="41">
        <f t="shared" si="1"/>
        <v>0</v>
      </c>
      <c r="L212" s="41">
        <f t="shared" si="1"/>
        <v>0</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4598209.83</v>
      </c>
      <c r="G234" s="18">
        <v>2070194.68</v>
      </c>
      <c r="H234" s="18">
        <v>2326.35</v>
      </c>
      <c r="I234" s="18">
        <v>52332.78</v>
      </c>
      <c r="J234" s="18">
        <v>112105</v>
      </c>
      <c r="K234" s="18">
        <v>322.95</v>
      </c>
      <c r="L234" s="19">
        <f>SUM(F234:K234)</f>
        <v>6835491.5899999999</v>
      </c>
      <c r="M234" s="8"/>
      <c r="N234" s="264"/>
    </row>
    <row r="235" spans="1:14" s="3" customFormat="1" ht="12.2" customHeight="1" x14ac:dyDescent="0.15">
      <c r="A235" s="1" t="s">
        <v>439</v>
      </c>
      <c r="B235" s="2" t="s">
        <v>350</v>
      </c>
      <c r="C235" s="2" t="s">
        <v>291</v>
      </c>
      <c r="D235" s="2" t="s">
        <v>431</v>
      </c>
      <c r="E235" s="6">
        <v>1200</v>
      </c>
      <c r="F235" s="18">
        <v>1424262.26</v>
      </c>
      <c r="G235" s="18">
        <v>774583.98</v>
      </c>
      <c r="H235" s="18">
        <v>814879.94</v>
      </c>
      <c r="I235" s="18">
        <v>11123.83</v>
      </c>
      <c r="J235" s="18">
        <v>3052.2</v>
      </c>
      <c r="K235" s="18">
        <v>0</v>
      </c>
      <c r="L235" s="19">
        <f>SUM(F235:K235)</f>
        <v>3027902.2100000004</v>
      </c>
      <c r="M235" s="8"/>
      <c r="N235" s="264"/>
    </row>
    <row r="236" spans="1:14" s="3" customFormat="1" ht="12.2" customHeight="1" x14ac:dyDescent="0.15">
      <c r="A236" s="1" t="s">
        <v>440</v>
      </c>
      <c r="B236" s="2" t="s">
        <v>350</v>
      </c>
      <c r="C236" s="2" t="s">
        <v>292</v>
      </c>
      <c r="D236" s="2" t="s">
        <v>431</v>
      </c>
      <c r="E236" s="6">
        <v>1300</v>
      </c>
      <c r="F236" s="18"/>
      <c r="G236" s="18"/>
      <c r="H236" s="18">
        <f>11816.46+1598.78</f>
        <v>13415.24</v>
      </c>
      <c r="I236" s="18"/>
      <c r="J236" s="18"/>
      <c r="K236" s="18"/>
      <c r="L236" s="19">
        <f>SUM(F236:K236)</f>
        <v>13415.24</v>
      </c>
      <c r="M236" s="8"/>
      <c r="N236" s="264"/>
    </row>
    <row r="237" spans="1:14" s="3" customFormat="1" ht="12.2" customHeight="1" x14ac:dyDescent="0.15">
      <c r="A237" s="1" t="s">
        <v>441</v>
      </c>
      <c r="B237" s="2" t="s">
        <v>350</v>
      </c>
      <c r="C237" s="2" t="s">
        <v>293</v>
      </c>
      <c r="D237" s="2" t="s">
        <v>431</v>
      </c>
      <c r="E237" s="6">
        <v>1400</v>
      </c>
      <c r="F237" s="18">
        <v>338121.27</v>
      </c>
      <c r="G237" s="18">
        <v>84297.53</v>
      </c>
      <c r="H237" s="18">
        <v>107034</v>
      </c>
      <c r="I237" s="18">
        <v>30374.37</v>
      </c>
      <c r="J237" s="18">
        <v>46596.66</v>
      </c>
      <c r="K237" s="18">
        <v>14915</v>
      </c>
      <c r="L237" s="19">
        <f>SUM(F237:K237)</f>
        <v>621338.83000000007</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1083101.8600000001</v>
      </c>
      <c r="G239" s="18">
        <v>429558.88</v>
      </c>
      <c r="H239" s="18">
        <v>355468.66</v>
      </c>
      <c r="I239" s="18">
        <v>11439.9</v>
      </c>
      <c r="J239" s="18">
        <v>0</v>
      </c>
      <c r="K239" s="18">
        <v>1079</v>
      </c>
      <c r="L239" s="19">
        <f t="shared" ref="L239:L245" si="4">SUM(F239:K239)</f>
        <v>1880648.3</v>
      </c>
      <c r="M239" s="8"/>
      <c r="N239" s="264"/>
    </row>
    <row r="240" spans="1:14" s="3" customFormat="1" ht="12.2" customHeight="1" x14ac:dyDescent="0.15">
      <c r="A240" s="1" t="s">
        <v>443</v>
      </c>
      <c r="B240" s="2" t="s">
        <v>350</v>
      </c>
      <c r="C240" s="2" t="s">
        <v>295</v>
      </c>
      <c r="D240" s="2" t="s">
        <v>431</v>
      </c>
      <c r="E240" s="6">
        <v>2200</v>
      </c>
      <c r="F240" s="18">
        <v>219198.13</v>
      </c>
      <c r="G240" s="18">
        <v>159019.22</v>
      </c>
      <c r="H240" s="18">
        <v>2360.1999999999998</v>
      </c>
      <c r="I240" s="18">
        <v>39035.660000000003</v>
      </c>
      <c r="J240" s="18">
        <v>0</v>
      </c>
      <c r="K240" s="18">
        <v>322</v>
      </c>
      <c r="L240" s="19">
        <f t="shared" si="4"/>
        <v>419935.20999999996</v>
      </c>
      <c r="M240" s="8"/>
      <c r="N240" s="264"/>
    </row>
    <row r="241" spans="1:14" s="3" customFormat="1" ht="12.2" customHeight="1" x14ac:dyDescent="0.15">
      <c r="A241" s="1" t="s">
        <v>444</v>
      </c>
      <c r="B241" s="2" t="s">
        <v>350</v>
      </c>
      <c r="C241" s="2" t="s">
        <v>296</v>
      </c>
      <c r="D241" s="2" t="s">
        <v>431</v>
      </c>
      <c r="E241" s="6">
        <v>2300</v>
      </c>
      <c r="F241" s="18">
        <v>149379.67000000001</v>
      </c>
      <c r="G241" s="18">
        <v>68041.16</v>
      </c>
      <c r="H241" s="18">
        <v>881218.65</v>
      </c>
      <c r="I241" s="18">
        <v>1429.54</v>
      </c>
      <c r="J241" s="18">
        <v>0</v>
      </c>
      <c r="K241" s="18">
        <v>7860.36</v>
      </c>
      <c r="L241" s="19">
        <f t="shared" si="4"/>
        <v>1107929.3800000001</v>
      </c>
      <c r="M241" s="8"/>
      <c r="N241" s="264"/>
    </row>
    <row r="242" spans="1:14" s="3" customFormat="1" ht="12.2" customHeight="1" x14ac:dyDescent="0.15">
      <c r="A242" s="1" t="s">
        <v>445</v>
      </c>
      <c r="B242" s="2" t="s">
        <v>350</v>
      </c>
      <c r="C242" s="2" t="s">
        <v>297</v>
      </c>
      <c r="D242" s="2" t="s">
        <v>431</v>
      </c>
      <c r="E242" s="6">
        <v>2400</v>
      </c>
      <c r="F242" s="18">
        <v>443933.49</v>
      </c>
      <c r="G242" s="18">
        <v>172349.17</v>
      </c>
      <c r="H242" s="18">
        <v>70664.179999999993</v>
      </c>
      <c r="I242" s="18">
        <v>39867.56</v>
      </c>
      <c r="J242" s="18">
        <v>6560.36</v>
      </c>
      <c r="K242" s="18">
        <v>4784</v>
      </c>
      <c r="L242" s="19">
        <f t="shared" si="4"/>
        <v>738158.76000000013</v>
      </c>
      <c r="M242" s="8"/>
      <c r="N242" s="264"/>
    </row>
    <row r="243" spans="1:14" s="3" customFormat="1" ht="12.2" customHeight="1" x14ac:dyDescent="0.15">
      <c r="A243" s="1" t="s">
        <v>446</v>
      </c>
      <c r="B243" s="2" t="s">
        <v>350</v>
      </c>
      <c r="C243" s="2" t="s">
        <v>298</v>
      </c>
      <c r="D243" s="2" t="s">
        <v>431</v>
      </c>
      <c r="E243" s="6">
        <v>2500</v>
      </c>
      <c r="F243" s="18">
        <v>0</v>
      </c>
      <c r="G243" s="18">
        <v>0</v>
      </c>
      <c r="H243" s="18">
        <v>162</v>
      </c>
      <c r="I243" s="18">
        <v>0</v>
      </c>
      <c r="J243" s="18">
        <v>0</v>
      </c>
      <c r="K243" s="18">
        <v>0</v>
      </c>
      <c r="L243" s="19">
        <f t="shared" si="4"/>
        <v>162</v>
      </c>
      <c r="M243" s="8"/>
      <c r="N243" s="264"/>
    </row>
    <row r="244" spans="1:14" s="3" customFormat="1" ht="12.2" customHeight="1" x14ac:dyDescent="0.15">
      <c r="A244" s="1" t="s">
        <v>447</v>
      </c>
      <c r="B244" s="2" t="s">
        <v>350</v>
      </c>
      <c r="C244" s="2" t="s">
        <v>299</v>
      </c>
      <c r="D244" s="2" t="s">
        <v>431</v>
      </c>
      <c r="E244" s="6">
        <v>2600</v>
      </c>
      <c r="F244" s="18">
        <v>346159.63</v>
      </c>
      <c r="G244" s="18">
        <v>187479.59</v>
      </c>
      <c r="H244" s="18">
        <f>619739.68+248674.96+405.86</f>
        <v>868820.5</v>
      </c>
      <c r="I244" s="18">
        <v>324397.14</v>
      </c>
      <c r="J244" s="18">
        <v>48815.59</v>
      </c>
      <c r="K244" s="18">
        <v>100</v>
      </c>
      <c r="L244" s="19">
        <f t="shared" si="4"/>
        <v>1775772.45</v>
      </c>
      <c r="M244" s="8"/>
      <c r="N244" s="264"/>
    </row>
    <row r="245" spans="1:14" s="3" customFormat="1" ht="12.2" customHeight="1" x14ac:dyDescent="0.15">
      <c r="A245" s="1" t="s">
        <v>448</v>
      </c>
      <c r="B245" s="2" t="s">
        <v>350</v>
      </c>
      <c r="C245" s="2" t="s">
        <v>300</v>
      </c>
      <c r="D245" s="2" t="s">
        <v>431</v>
      </c>
      <c r="E245" s="6">
        <v>2700</v>
      </c>
      <c r="F245" s="18">
        <v>0</v>
      </c>
      <c r="G245" s="18">
        <v>0</v>
      </c>
      <c r="H245" s="18">
        <v>414982.9</v>
      </c>
      <c r="I245" s="18">
        <v>55.99</v>
      </c>
      <c r="J245" s="18">
        <v>0</v>
      </c>
      <c r="K245" s="18">
        <v>0</v>
      </c>
      <c r="L245" s="19">
        <f t="shared" si="4"/>
        <v>415038.89</v>
      </c>
      <c r="M245" s="8"/>
      <c r="N245" s="264"/>
    </row>
    <row r="246" spans="1:14" s="3" customFormat="1" ht="12.2" customHeight="1" x14ac:dyDescent="0.15">
      <c r="A246" s="1" t="s">
        <v>449</v>
      </c>
      <c r="B246" s="2" t="s">
        <v>350</v>
      </c>
      <c r="C246" s="2" t="s">
        <v>343</v>
      </c>
      <c r="D246" s="2" t="s">
        <v>431</v>
      </c>
      <c r="E246" s="6">
        <v>2800</v>
      </c>
      <c r="F246" s="18">
        <v>173026</v>
      </c>
      <c r="G246" s="18">
        <v>61925.599999999999</v>
      </c>
      <c r="H246" s="18">
        <v>31617.32</v>
      </c>
      <c r="I246" s="18">
        <v>28192.44</v>
      </c>
      <c r="J246" s="18">
        <v>15898.69</v>
      </c>
      <c r="K246" s="18">
        <v>0</v>
      </c>
      <c r="L246" s="19">
        <f>SUM(F246:K246)</f>
        <v>310660.05</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8775392.1400000006</v>
      </c>
      <c r="G248" s="41">
        <f t="shared" si="5"/>
        <v>4007449.81</v>
      </c>
      <c r="H248" s="41">
        <f t="shared" si="5"/>
        <v>3562949.94</v>
      </c>
      <c r="I248" s="41">
        <f t="shared" si="5"/>
        <v>538249.21</v>
      </c>
      <c r="J248" s="41">
        <f t="shared" si="5"/>
        <v>233028.49999999997</v>
      </c>
      <c r="K248" s="41">
        <f t="shared" si="5"/>
        <v>29383.31</v>
      </c>
      <c r="L248" s="41">
        <f t="shared" si="5"/>
        <v>17146452.910000004</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8775392.1400000006</v>
      </c>
      <c r="G258" s="41">
        <f t="shared" si="8"/>
        <v>4007449.81</v>
      </c>
      <c r="H258" s="41">
        <f t="shared" si="8"/>
        <v>3562949.94</v>
      </c>
      <c r="I258" s="41">
        <f t="shared" si="8"/>
        <v>538249.21</v>
      </c>
      <c r="J258" s="41">
        <f t="shared" si="8"/>
        <v>233028.49999999997</v>
      </c>
      <c r="K258" s="41">
        <f t="shared" si="8"/>
        <v>29383.31</v>
      </c>
      <c r="L258" s="41">
        <f t="shared" si="8"/>
        <v>17146452.910000004</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155000</v>
      </c>
      <c r="L261" s="19">
        <f>SUM(F261:K261)</f>
        <v>155000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4146.25</v>
      </c>
      <c r="L262" s="19">
        <f>SUM(F262:K262)</f>
        <v>4146.25</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189558.69</v>
      </c>
      <c r="L264" s="19">
        <f>SUM(F264:K264)</f>
        <v>189558.69</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100000</v>
      </c>
      <c r="L267" s="19">
        <f t="shared" si="9"/>
        <v>100000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448704.94</v>
      </c>
      <c r="L271" s="41">
        <f t="shared" si="9"/>
        <v>448704.94</v>
      </c>
      <c r="M271" s="8"/>
      <c r="N271" s="264"/>
    </row>
    <row r="272" spans="1:14" s="34" customFormat="1" ht="12.2" customHeight="1" thickTop="1" x14ac:dyDescent="0.2">
      <c r="A272" s="43" t="s">
        <v>464</v>
      </c>
      <c r="B272" s="40">
        <v>10</v>
      </c>
      <c r="C272" s="40">
        <v>18</v>
      </c>
      <c r="D272" s="39" t="s">
        <v>431</v>
      </c>
      <c r="E272" s="40"/>
      <c r="F272" s="42">
        <f t="shared" ref="F272:L272" si="11">F258+F271</f>
        <v>8775392.1400000006</v>
      </c>
      <c r="G272" s="42">
        <f t="shared" si="11"/>
        <v>4007449.81</v>
      </c>
      <c r="H272" s="42">
        <f t="shared" si="11"/>
        <v>3562949.94</v>
      </c>
      <c r="I272" s="42">
        <f t="shared" si="11"/>
        <v>538249.21</v>
      </c>
      <c r="J272" s="42">
        <f t="shared" si="11"/>
        <v>233028.49999999997</v>
      </c>
      <c r="K272" s="42">
        <f t="shared" si="11"/>
        <v>478088.25</v>
      </c>
      <c r="L272" s="42">
        <f t="shared" si="11"/>
        <v>17595157.850000005</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4"/>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4"/>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1000</v>
      </c>
      <c r="G315" s="18">
        <v>252.89</v>
      </c>
      <c r="H315" s="18">
        <v>0</v>
      </c>
      <c r="I315" s="18">
        <v>5630.79</v>
      </c>
      <c r="J315" s="18">
        <v>11903.6</v>
      </c>
      <c r="K315" s="18">
        <v>4000</v>
      </c>
      <c r="L315" s="19">
        <f>SUM(F315:K315)</f>
        <v>22787.279999999999</v>
      </c>
      <c r="M315" s="8"/>
      <c r="N315" s="264"/>
    </row>
    <row r="316" spans="1:14" s="3" customFormat="1" ht="12.2" customHeight="1" x14ac:dyDescent="0.15">
      <c r="A316" s="1" t="s">
        <v>439</v>
      </c>
      <c r="B316" s="2" t="s">
        <v>359</v>
      </c>
      <c r="C316" s="2" t="s">
        <v>291</v>
      </c>
      <c r="D316" s="2" t="s">
        <v>431</v>
      </c>
      <c r="E316" s="6">
        <v>1200</v>
      </c>
      <c r="F316" s="18">
        <v>146681.60000000001</v>
      </c>
      <c r="G316" s="18">
        <v>30293.93</v>
      </c>
      <c r="H316" s="18">
        <v>5792.5</v>
      </c>
      <c r="I316" s="18">
        <v>3881.76</v>
      </c>
      <c r="J316" s="18">
        <v>2920.68</v>
      </c>
      <c r="K316" s="18">
        <v>0</v>
      </c>
      <c r="L316" s="19">
        <f>SUM(F316:K316)</f>
        <v>189570.47</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v>0</v>
      </c>
      <c r="G318" s="18">
        <v>0</v>
      </c>
      <c r="H318" s="18">
        <v>0</v>
      </c>
      <c r="I318" s="18">
        <v>1532.01</v>
      </c>
      <c r="J318" s="18">
        <v>0</v>
      </c>
      <c r="K318" s="18">
        <v>0</v>
      </c>
      <c r="L318" s="19">
        <f>SUM(F318:K318)</f>
        <v>1532.01</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2500</v>
      </c>
      <c r="G320" s="18">
        <v>571.32000000000005</v>
      </c>
      <c r="H320" s="18">
        <v>16044.63</v>
      </c>
      <c r="I320" s="18">
        <v>2613.15</v>
      </c>
      <c r="J320" s="18">
        <v>0</v>
      </c>
      <c r="K320" s="18">
        <v>0</v>
      </c>
      <c r="L320" s="19">
        <f t="shared" ref="L320:L326" si="16">SUM(F320:K320)</f>
        <v>21729.100000000002</v>
      </c>
      <c r="M320" s="8"/>
      <c r="N320" s="264"/>
    </row>
    <row r="321" spans="1:14" s="3" customFormat="1" ht="12.2" customHeight="1" x14ac:dyDescent="0.15">
      <c r="A321" s="1" t="s">
        <v>443</v>
      </c>
      <c r="B321" s="2" t="s">
        <v>359</v>
      </c>
      <c r="C321" s="2" t="s">
        <v>295</v>
      </c>
      <c r="D321" s="2" t="s">
        <v>431</v>
      </c>
      <c r="E321" s="6">
        <v>2200</v>
      </c>
      <c r="F321" s="18">
        <v>28675</v>
      </c>
      <c r="G321" s="18">
        <v>6806.51</v>
      </c>
      <c r="H321" s="18">
        <v>5548.97</v>
      </c>
      <c r="I321" s="18">
        <v>880</v>
      </c>
      <c r="J321" s="18">
        <v>0</v>
      </c>
      <c r="K321" s="18">
        <v>0</v>
      </c>
      <c r="L321" s="19">
        <f t="shared" si="16"/>
        <v>41910.480000000003</v>
      </c>
      <c r="M321" s="8"/>
      <c r="N321" s="264"/>
    </row>
    <row r="322" spans="1:14" s="3" customFormat="1" ht="12.2" customHeight="1" x14ac:dyDescent="0.15">
      <c r="A322" s="1" t="s">
        <v>444</v>
      </c>
      <c r="B322" s="2" t="s">
        <v>359</v>
      </c>
      <c r="C322" s="2" t="s">
        <v>296</v>
      </c>
      <c r="D322" s="2" t="s">
        <v>431</v>
      </c>
      <c r="E322" s="6">
        <v>2300</v>
      </c>
      <c r="F322" s="18">
        <v>0</v>
      </c>
      <c r="G322" s="18">
        <v>0</v>
      </c>
      <c r="H322" s="18">
        <v>1940</v>
      </c>
      <c r="I322" s="18">
        <v>0</v>
      </c>
      <c r="J322" s="18">
        <v>0</v>
      </c>
      <c r="K322" s="18">
        <v>0</v>
      </c>
      <c r="L322" s="19">
        <f t="shared" si="16"/>
        <v>1940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v>0</v>
      </c>
      <c r="G325" s="18">
        <v>0</v>
      </c>
      <c r="H325" s="18">
        <v>106197.95</v>
      </c>
      <c r="I325" s="18">
        <v>14495.13</v>
      </c>
      <c r="J325" s="18">
        <v>4867.8</v>
      </c>
      <c r="K325" s="18">
        <v>0</v>
      </c>
      <c r="L325" s="19">
        <f t="shared" si="16"/>
        <v>125560.88</v>
      </c>
      <c r="M325" s="8"/>
      <c r="N325" s="264"/>
    </row>
    <row r="326" spans="1:14" s="3" customFormat="1" ht="12.2" customHeight="1" x14ac:dyDescent="0.15">
      <c r="A326" s="1" t="s">
        <v>448</v>
      </c>
      <c r="B326" s="2" t="s">
        <v>359</v>
      </c>
      <c r="C326" s="2" t="s">
        <v>300</v>
      </c>
      <c r="D326" s="2" t="s">
        <v>431</v>
      </c>
      <c r="E326" s="6">
        <v>2700</v>
      </c>
      <c r="F326" s="18">
        <v>0</v>
      </c>
      <c r="G326" s="18">
        <v>0</v>
      </c>
      <c r="H326" s="18">
        <v>13730.28</v>
      </c>
      <c r="I326" s="18">
        <v>0</v>
      </c>
      <c r="J326" s="18">
        <v>0</v>
      </c>
      <c r="K326" s="18">
        <v>0</v>
      </c>
      <c r="L326" s="19">
        <f t="shared" si="16"/>
        <v>13730.28</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178856.6</v>
      </c>
      <c r="G329" s="42">
        <f t="shared" si="17"/>
        <v>37924.65</v>
      </c>
      <c r="H329" s="42">
        <f t="shared" si="17"/>
        <v>149254.32999999999</v>
      </c>
      <c r="I329" s="42">
        <f t="shared" si="17"/>
        <v>29032.839999999997</v>
      </c>
      <c r="J329" s="42">
        <f t="shared" si="17"/>
        <v>19692.080000000002</v>
      </c>
      <c r="K329" s="42">
        <f t="shared" si="17"/>
        <v>4000</v>
      </c>
      <c r="L329" s="41">
        <f t="shared" si="17"/>
        <v>418760.50000000006</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178856.6</v>
      </c>
      <c r="G339" s="41">
        <f t="shared" si="20"/>
        <v>37924.65</v>
      </c>
      <c r="H339" s="41">
        <f t="shared" si="20"/>
        <v>149254.32999999999</v>
      </c>
      <c r="I339" s="41">
        <f t="shared" si="20"/>
        <v>29032.839999999997</v>
      </c>
      <c r="J339" s="41">
        <f t="shared" si="20"/>
        <v>19692.080000000002</v>
      </c>
      <c r="K339" s="41">
        <f t="shared" si="20"/>
        <v>4000</v>
      </c>
      <c r="L339" s="41">
        <f t="shared" si="20"/>
        <v>418760.50000000006</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178856.6</v>
      </c>
      <c r="G353" s="41">
        <f>G339</f>
        <v>37924.65</v>
      </c>
      <c r="H353" s="41">
        <f>H339</f>
        <v>149254.32999999999</v>
      </c>
      <c r="I353" s="41">
        <f>I339</f>
        <v>29032.839999999997</v>
      </c>
      <c r="J353" s="41">
        <f>J339</f>
        <v>19692.080000000002</v>
      </c>
      <c r="K353" s="47">
        <f>K339+K352</f>
        <v>4000</v>
      </c>
      <c r="L353" s="41">
        <f>L339+L352</f>
        <v>418760.50000000006</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v>154548.9</v>
      </c>
      <c r="G361" s="18">
        <v>67741.289999999994</v>
      </c>
      <c r="H361" s="18">
        <f>8206.84+35246.98</f>
        <v>43453.820000000007</v>
      </c>
      <c r="I361" s="18">
        <v>59931.26</v>
      </c>
      <c r="J361" s="18">
        <v>0</v>
      </c>
      <c r="K361" s="18">
        <v>233.34</v>
      </c>
      <c r="L361" s="19">
        <f>SUM(F361:K361)</f>
        <v>325908.61000000004</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154548.9</v>
      </c>
      <c r="G363" s="47">
        <f t="shared" si="22"/>
        <v>67741.289999999994</v>
      </c>
      <c r="H363" s="47">
        <f t="shared" si="22"/>
        <v>43453.820000000007</v>
      </c>
      <c r="I363" s="47">
        <f t="shared" si="22"/>
        <v>59931.26</v>
      </c>
      <c r="J363" s="47">
        <f t="shared" si="22"/>
        <v>0</v>
      </c>
      <c r="K363" s="47">
        <f t="shared" si="22"/>
        <v>233.34</v>
      </c>
      <c r="L363" s="47">
        <f t="shared" si="22"/>
        <v>325908.61000000004</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c r="G368" s="18"/>
      <c r="H368" s="18">
        <v>55355.65</v>
      </c>
      <c r="I368" s="56">
        <f>SUM(F368:H368)</f>
        <v>55355.65</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c r="G369" s="63"/>
      <c r="H369" s="63">
        <v>4575.6099999999997</v>
      </c>
      <c r="I369" s="56">
        <f>SUM(F369:H369)</f>
        <v>4575.6099999999997</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59931.26</v>
      </c>
      <c r="I370" s="47">
        <f>SUM(I368:I369)</f>
        <v>59931.26</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100000</v>
      </c>
      <c r="H397" s="18">
        <v>495.15</v>
      </c>
      <c r="I397" s="18"/>
      <c r="J397" s="24" t="s">
        <v>288</v>
      </c>
      <c r="K397" s="24" t="s">
        <v>288</v>
      </c>
      <c r="L397" s="56">
        <f t="shared" si="26"/>
        <v>100495.15</v>
      </c>
      <c r="M397" s="8"/>
      <c r="N397" s="264"/>
    </row>
    <row r="398" spans="1:14" s="3" customFormat="1" ht="12.2" customHeight="1" x14ac:dyDescent="0.15">
      <c r="A398" s="79" t="s">
        <v>515</v>
      </c>
      <c r="B398" s="2" t="s">
        <v>381</v>
      </c>
      <c r="C398" s="6">
        <v>10</v>
      </c>
      <c r="D398" s="2" t="s">
        <v>432</v>
      </c>
      <c r="E398" s="6"/>
      <c r="F398" s="18"/>
      <c r="G398" s="18"/>
      <c r="H398" s="18">
        <v>55088.71</v>
      </c>
      <c r="I398" s="18"/>
      <c r="J398" s="24" t="s">
        <v>288</v>
      </c>
      <c r="K398" s="24" t="s">
        <v>288</v>
      </c>
      <c r="L398" s="56">
        <f t="shared" si="26"/>
        <v>55088.71</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v>24.86</v>
      </c>
      <c r="I401" s="18"/>
      <c r="J401" s="24" t="s">
        <v>288</v>
      </c>
      <c r="K401" s="24" t="s">
        <v>288</v>
      </c>
      <c r="L401" s="56">
        <f t="shared" si="26"/>
        <v>24.86</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100000</v>
      </c>
      <c r="H402" s="47">
        <f>SUM(H396:H401)</f>
        <v>55608.72</v>
      </c>
      <c r="I402" s="47">
        <f>SUM(I396:I401)</f>
        <v>0</v>
      </c>
      <c r="J402" s="45" t="s">
        <v>288</v>
      </c>
      <c r="K402" s="45" t="s">
        <v>288</v>
      </c>
      <c r="L402" s="47">
        <f>SUM(L396:L401)</f>
        <v>155608.71999999997</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100000</v>
      </c>
      <c r="H409" s="47">
        <f>H394+H402+H408</f>
        <v>55608.72</v>
      </c>
      <c r="I409" s="47">
        <f>I394+I402+I408</f>
        <v>0</v>
      </c>
      <c r="J409" s="24" t="s">
        <v>288</v>
      </c>
      <c r="K409" s="24" t="s">
        <v>288</v>
      </c>
      <c r="L409" s="47">
        <f>L394+L402+L408</f>
        <v>155608.71999999997</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f>149228.87-8983.04+7252.94</f>
        <v>147498.76999999999</v>
      </c>
      <c r="I440" s="56">
        <f t="shared" ref="I440:I446" si="33">SUM(F440:H440)</f>
        <v>147498.76999999999</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v>13756</v>
      </c>
      <c r="I442" s="56">
        <f t="shared" si="33"/>
        <v>13756</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f>54419.34+352861.11+409093.73</f>
        <v>816374.17999999993</v>
      </c>
      <c r="H443" s="18">
        <v>927.91</v>
      </c>
      <c r="I443" s="56">
        <f t="shared" si="33"/>
        <v>817302.09</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816374.17999999993</v>
      </c>
      <c r="H447" s="13">
        <f>SUM(H440:H446)</f>
        <v>162182.68</v>
      </c>
      <c r="I447" s="13">
        <f>SUM(I440:I446)</f>
        <v>978556.86</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v>553.45000000000005</v>
      </c>
      <c r="I449" s="56">
        <f>SUM(F449:H449)</f>
        <v>553.45000000000005</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f>154001.83+7252.94</f>
        <v>161254.76999999999</v>
      </c>
      <c r="I452" s="56">
        <f>SUM(F452:H452)</f>
        <v>161254.76999999999</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161808.22</v>
      </c>
      <c r="I453" s="72">
        <f>SUM(I449:I452)</f>
        <v>161808.22</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f>660765.46+155608.72</f>
        <v>816374.17999999993</v>
      </c>
      <c r="H460" s="18">
        <v>374.46</v>
      </c>
      <c r="I460" s="56">
        <f t="shared" si="34"/>
        <v>816748.6399999999</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816374.17999999993</v>
      </c>
      <c r="H461" s="83">
        <f>SUM(H455:H460)</f>
        <v>374.46</v>
      </c>
      <c r="I461" s="83">
        <f>SUM(I455:I460)</f>
        <v>816748.6399999999</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816374.17999999993</v>
      </c>
      <c r="H462" s="42">
        <f>H453+H461</f>
        <v>162182.68</v>
      </c>
      <c r="I462" s="42">
        <f>I453+I461</f>
        <v>978556.85999999987</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670400.30000000005</v>
      </c>
      <c r="G466" s="18">
        <v>0</v>
      </c>
      <c r="H466" s="18">
        <v>37951.300000000003</v>
      </c>
      <c r="I466" s="18">
        <v>820.28</v>
      </c>
      <c r="J466" s="18">
        <v>659175.01</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F194</f>
        <v>18380083.349999998</v>
      </c>
      <c r="G469" s="18">
        <f t="shared" ref="G469:J469" si="35">G194</f>
        <v>325908.61</v>
      </c>
      <c r="H469" s="18">
        <f t="shared" si="35"/>
        <v>459032.38</v>
      </c>
      <c r="I469" s="18">
        <f t="shared" si="35"/>
        <v>0</v>
      </c>
      <c r="J469" s="18">
        <f t="shared" si="35"/>
        <v>155608.72</v>
      </c>
      <c r="K469" s="24" t="s">
        <v>288</v>
      </c>
      <c r="L469" s="24" t="s">
        <v>288</v>
      </c>
      <c r="N469" s="263"/>
    </row>
    <row r="470" spans="1:14" s="52" customFormat="1" ht="12.2" customHeight="1" x14ac:dyDescent="0.2">
      <c r="A470" s="93" t="s">
        <v>611</v>
      </c>
      <c r="B470" s="75">
        <v>19</v>
      </c>
      <c r="C470" s="80">
        <v>3</v>
      </c>
      <c r="D470" s="2" t="s">
        <v>432</v>
      </c>
      <c r="E470" s="80"/>
      <c r="F470" s="18">
        <v>820.28</v>
      </c>
      <c r="G470" s="18"/>
      <c r="H470" s="18"/>
      <c r="I470" s="18"/>
      <c r="J470" s="18">
        <v>1964.91</v>
      </c>
      <c r="K470" s="24" t="s">
        <v>288</v>
      </c>
      <c r="L470" s="24" t="s">
        <v>288</v>
      </c>
      <c r="N470" s="263"/>
    </row>
    <row r="471" spans="1:14" s="52" customFormat="1" ht="12.2" customHeight="1" x14ac:dyDescent="0.2">
      <c r="A471" s="92" t="s">
        <v>425</v>
      </c>
      <c r="B471" s="75">
        <v>19</v>
      </c>
      <c r="C471" s="80">
        <v>4</v>
      </c>
      <c r="D471" s="2" t="s">
        <v>432</v>
      </c>
      <c r="E471" s="80"/>
      <c r="F471" s="53">
        <f>SUM(F469:F470)</f>
        <v>18380903.629999999</v>
      </c>
      <c r="G471" s="53">
        <f>SUM(G469:G470)</f>
        <v>325908.61</v>
      </c>
      <c r="H471" s="53">
        <f>SUM(H469:H470)</f>
        <v>459032.38</v>
      </c>
      <c r="I471" s="53">
        <f>SUM(I469:I470)</f>
        <v>0</v>
      </c>
      <c r="J471" s="53">
        <f>SUM(J469:J470)</f>
        <v>157573.63</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L272</f>
        <v>17595157.850000005</v>
      </c>
      <c r="G473" s="18">
        <f>L363</f>
        <v>325908.61000000004</v>
      </c>
      <c r="H473" s="18">
        <f>L353</f>
        <v>418760.50000000006</v>
      </c>
      <c r="I473" s="18">
        <f>L383</f>
        <v>0</v>
      </c>
      <c r="J473" s="18">
        <f>L435</f>
        <v>0</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v>820.28</v>
      </c>
      <c r="J474" s="18"/>
      <c r="K474" s="24" t="s">
        <v>288</v>
      </c>
      <c r="L474" s="24" t="s">
        <v>288</v>
      </c>
      <c r="N474" s="263"/>
    </row>
    <row r="475" spans="1:14" s="52" customFormat="1" ht="12.2" customHeight="1" x14ac:dyDescent="0.2">
      <c r="A475" s="92" t="s">
        <v>426</v>
      </c>
      <c r="B475" s="75">
        <v>19</v>
      </c>
      <c r="C475" s="80">
        <v>7</v>
      </c>
      <c r="D475" s="2" t="s">
        <v>432</v>
      </c>
      <c r="E475" s="80"/>
      <c r="F475" s="53">
        <f>SUM(F473:F474)</f>
        <v>17595157.850000005</v>
      </c>
      <c r="G475" s="53">
        <f>SUM(G473:G474)</f>
        <v>325908.61000000004</v>
      </c>
      <c r="H475" s="53">
        <f>SUM(H473:H474)</f>
        <v>418760.50000000006</v>
      </c>
      <c r="I475" s="53">
        <f>SUM(I473:I474)</f>
        <v>820.28</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1456146.0799999945</v>
      </c>
      <c r="G477" s="53">
        <f>(G466+G471)- G475</f>
        <v>0</v>
      </c>
      <c r="H477" s="53">
        <f>(H466+H471)- H475</f>
        <v>78223.179999999935</v>
      </c>
      <c r="I477" s="53">
        <f>(I466+I471)- I475</f>
        <v>0</v>
      </c>
      <c r="J477" s="53">
        <f>(J466+J471)- J475</f>
        <v>816748.64</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t="s">
        <v>1675</v>
      </c>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8" t="s">
        <v>1675</v>
      </c>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7</v>
      </c>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1672</v>
      </c>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1673</v>
      </c>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1090000</v>
      </c>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2.14</v>
      </c>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155000</v>
      </c>
      <c r="G496" s="18"/>
      <c r="H496" s="18"/>
      <c r="I496" s="18"/>
      <c r="J496" s="18"/>
      <c r="K496" s="53">
        <f>SUM(F496:J496)</f>
        <v>155000</v>
      </c>
      <c r="L496" s="24" t="s">
        <v>288</v>
      </c>
      <c r="N496" s="263"/>
    </row>
    <row r="497" spans="1:14" s="52" customFormat="1" ht="12.2" customHeight="1" x14ac:dyDescent="0.2">
      <c r="A497" s="22" t="s">
        <v>620</v>
      </c>
      <c r="B497" s="75">
        <v>20</v>
      </c>
      <c r="C497" s="115">
        <v>7</v>
      </c>
      <c r="D497" s="2" t="s">
        <v>432</v>
      </c>
      <c r="E497" s="115"/>
      <c r="F497" s="18">
        <v>0</v>
      </c>
      <c r="G497" s="18"/>
      <c r="H497" s="18"/>
      <c r="I497" s="18"/>
      <c r="J497" s="18"/>
      <c r="K497" s="53">
        <f t="shared" ref="K497:K504" si="36">SUM(F497:J497)</f>
        <v>0</v>
      </c>
      <c r="L497" s="24" t="s">
        <v>288</v>
      </c>
      <c r="N497" s="263"/>
    </row>
    <row r="498" spans="1:14" s="52" customFormat="1" ht="12.2" customHeight="1" x14ac:dyDescent="0.2">
      <c r="A498" s="22" t="s">
        <v>621</v>
      </c>
      <c r="B498" s="75">
        <v>20</v>
      </c>
      <c r="C498" s="115">
        <v>8</v>
      </c>
      <c r="D498" s="2" t="s">
        <v>432</v>
      </c>
      <c r="E498" s="115"/>
      <c r="F498" s="18">
        <v>155000</v>
      </c>
      <c r="G498" s="18"/>
      <c r="H498" s="18"/>
      <c r="I498" s="18"/>
      <c r="J498" s="18"/>
      <c r="K498" s="53">
        <f t="shared" si="36"/>
        <v>155000</v>
      </c>
      <c r="L498" s="24" t="s">
        <v>288</v>
      </c>
      <c r="N498" s="263"/>
    </row>
    <row r="499" spans="1:14" s="52" customFormat="1" ht="12.2" customHeight="1" x14ac:dyDescent="0.2">
      <c r="A499" s="200" t="s">
        <v>622</v>
      </c>
      <c r="B499" s="201">
        <v>20</v>
      </c>
      <c r="C499" s="202">
        <v>9</v>
      </c>
      <c r="D499" s="203" t="s">
        <v>432</v>
      </c>
      <c r="E499" s="202"/>
      <c r="F499" s="204">
        <v>0</v>
      </c>
      <c r="G499" s="204"/>
      <c r="H499" s="204"/>
      <c r="I499" s="204"/>
      <c r="J499" s="204"/>
      <c r="K499" s="205">
        <f t="shared" si="36"/>
        <v>0</v>
      </c>
      <c r="L499" s="206" t="s">
        <v>288</v>
      </c>
      <c r="N499" s="263"/>
    </row>
    <row r="500" spans="1:14" s="52" customFormat="1" ht="12.2" customHeight="1" thickBot="1" x14ac:dyDescent="0.25">
      <c r="A500" s="22" t="s">
        <v>623</v>
      </c>
      <c r="B500" s="75">
        <v>20</v>
      </c>
      <c r="C500" s="115">
        <v>10</v>
      </c>
      <c r="D500" s="2" t="s">
        <v>432</v>
      </c>
      <c r="E500" s="115"/>
      <c r="F500" s="18">
        <v>0</v>
      </c>
      <c r="G500" s="18"/>
      <c r="H500" s="18"/>
      <c r="I500" s="18"/>
      <c r="J500" s="18"/>
      <c r="K500" s="53">
        <f t="shared" si="36"/>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6"/>
        <v>0</v>
      </c>
      <c r="L501" s="45" t="s">
        <v>288</v>
      </c>
      <c r="N501" s="263"/>
    </row>
    <row r="502" spans="1:14" s="52" customFormat="1" ht="12.2" customHeight="1" x14ac:dyDescent="0.2">
      <c r="A502" s="200" t="s">
        <v>651</v>
      </c>
      <c r="B502" s="201">
        <v>20</v>
      </c>
      <c r="C502" s="202">
        <v>12</v>
      </c>
      <c r="D502" s="203" t="s">
        <v>432</v>
      </c>
      <c r="E502" s="202"/>
      <c r="F502" s="204">
        <v>0</v>
      </c>
      <c r="G502" s="204"/>
      <c r="H502" s="204"/>
      <c r="I502" s="204"/>
      <c r="J502" s="204"/>
      <c r="K502" s="205">
        <f t="shared" si="36"/>
        <v>0</v>
      </c>
      <c r="L502" s="206" t="s">
        <v>288</v>
      </c>
      <c r="N502" s="263"/>
    </row>
    <row r="503" spans="1:14" s="52" customFormat="1" ht="12.2" customHeight="1" thickBot="1" x14ac:dyDescent="0.25">
      <c r="A503" s="22" t="s">
        <v>625</v>
      </c>
      <c r="B503" s="75">
        <v>20</v>
      </c>
      <c r="C503" s="115">
        <v>13</v>
      </c>
      <c r="D503" s="2" t="s">
        <v>432</v>
      </c>
      <c r="E503" s="115"/>
      <c r="F503" s="18">
        <v>0</v>
      </c>
      <c r="G503" s="18"/>
      <c r="H503" s="18"/>
      <c r="I503" s="18"/>
      <c r="J503" s="18"/>
      <c r="K503" s="53">
        <f t="shared" si="36"/>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6"/>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v>1570943.86</v>
      </c>
      <c r="G524" s="18">
        <v>804877.91</v>
      </c>
      <c r="H524" s="18">
        <f>820672.44-36578.97</f>
        <v>784093.47</v>
      </c>
      <c r="I524" s="18">
        <f>15005.59-57.45</f>
        <v>14948.14</v>
      </c>
      <c r="J524" s="18">
        <v>5972.88</v>
      </c>
      <c r="K524" s="18">
        <v>0</v>
      </c>
      <c r="L524" s="88">
        <f>SUM(F524:K524)</f>
        <v>3180836.2600000002</v>
      </c>
      <c r="N524" s="263"/>
    </row>
    <row r="525" spans="1:14" s="52" customFormat="1" ht="12.2" customHeight="1" thickTop="1" x14ac:dyDescent="0.2">
      <c r="A525" s="139" t="s">
        <v>63</v>
      </c>
      <c r="B525" s="107">
        <v>21</v>
      </c>
      <c r="C525" s="195">
        <v>4</v>
      </c>
      <c r="D525" s="196" t="s">
        <v>432</v>
      </c>
      <c r="E525" s="195"/>
      <c r="F525" s="108">
        <f>SUM(F522:F524)</f>
        <v>1570943.86</v>
      </c>
      <c r="G525" s="108">
        <f t="shared" ref="G525:L525" si="37">SUM(G522:G524)</f>
        <v>804877.91</v>
      </c>
      <c r="H525" s="108">
        <f t="shared" si="37"/>
        <v>784093.47</v>
      </c>
      <c r="I525" s="108">
        <f t="shared" si="37"/>
        <v>14948.14</v>
      </c>
      <c r="J525" s="108">
        <f t="shared" si="37"/>
        <v>5972.88</v>
      </c>
      <c r="K525" s="108">
        <f t="shared" si="37"/>
        <v>0</v>
      </c>
      <c r="L525" s="89">
        <f t="shared" si="37"/>
        <v>3180836.2600000002</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v>348056.72</v>
      </c>
      <c r="G529" s="18">
        <v>178200.25</v>
      </c>
      <c r="H529" s="18">
        <v>318704.44</v>
      </c>
      <c r="I529" s="18">
        <v>675.99</v>
      </c>
      <c r="J529" s="18">
        <v>0</v>
      </c>
      <c r="K529" s="18">
        <v>0</v>
      </c>
      <c r="L529" s="88">
        <f>SUM(F529:K529)</f>
        <v>845637.39999999991</v>
      </c>
      <c r="M529" s="8"/>
      <c r="N529" s="264"/>
    </row>
    <row r="530" spans="1:14" s="3" customFormat="1" ht="12.2" customHeight="1" thickTop="1" x14ac:dyDescent="0.15">
      <c r="A530" s="139" t="s">
        <v>65</v>
      </c>
      <c r="B530" s="107">
        <v>21</v>
      </c>
      <c r="C530" s="107">
        <v>8</v>
      </c>
      <c r="D530" s="158" t="s">
        <v>432</v>
      </c>
      <c r="E530" s="107"/>
      <c r="F530" s="89">
        <f>SUM(F527:F529)</f>
        <v>348056.72</v>
      </c>
      <c r="G530" s="89">
        <f t="shared" ref="G530:L530" si="38">SUM(G527:G529)</f>
        <v>178200.25</v>
      </c>
      <c r="H530" s="89">
        <f t="shared" si="38"/>
        <v>318704.44</v>
      </c>
      <c r="I530" s="89">
        <f t="shared" si="38"/>
        <v>675.99</v>
      </c>
      <c r="J530" s="89">
        <f t="shared" si="38"/>
        <v>0</v>
      </c>
      <c r="K530" s="89">
        <f t="shared" si="38"/>
        <v>0</v>
      </c>
      <c r="L530" s="89">
        <f t="shared" si="38"/>
        <v>845637.39999999991</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v>136136.6</v>
      </c>
      <c r="G534" s="18">
        <v>67089.09</v>
      </c>
      <c r="H534" s="18">
        <v>32655.38</v>
      </c>
      <c r="I534" s="18">
        <v>1389.54</v>
      </c>
      <c r="J534" s="18"/>
      <c r="K534" s="18"/>
      <c r="L534" s="88">
        <f>SUM(F534:K534)</f>
        <v>237270.61000000002</v>
      </c>
      <c r="M534" s="8"/>
      <c r="N534" s="264"/>
    </row>
    <row r="535" spans="1:14" s="3" customFormat="1" ht="12.2" customHeight="1" thickTop="1" x14ac:dyDescent="0.15">
      <c r="A535" s="139" t="s">
        <v>67</v>
      </c>
      <c r="B535" s="107">
        <v>21</v>
      </c>
      <c r="C535" s="107">
        <v>12</v>
      </c>
      <c r="D535" s="158" t="s">
        <v>432</v>
      </c>
      <c r="E535" s="107"/>
      <c r="F535" s="89">
        <f>SUM(F532:F534)</f>
        <v>136136.6</v>
      </c>
      <c r="G535" s="89">
        <f t="shared" ref="G535:L535" si="39">SUM(G532:G534)</f>
        <v>67089.09</v>
      </c>
      <c r="H535" s="89">
        <f t="shared" si="39"/>
        <v>32655.38</v>
      </c>
      <c r="I535" s="89">
        <f t="shared" si="39"/>
        <v>1389.54</v>
      </c>
      <c r="J535" s="89">
        <f t="shared" si="39"/>
        <v>0</v>
      </c>
      <c r="K535" s="89">
        <f t="shared" si="39"/>
        <v>0</v>
      </c>
      <c r="L535" s="89">
        <f t="shared" si="39"/>
        <v>237270.61000000002</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v>7087.57</v>
      </c>
      <c r="I539" s="18"/>
      <c r="J539" s="18"/>
      <c r="K539" s="18"/>
      <c r="L539" s="88">
        <f>SUM(F539:K539)</f>
        <v>7087.57</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40">SUM(G537:G539)</f>
        <v>0</v>
      </c>
      <c r="H540" s="89">
        <f t="shared" si="40"/>
        <v>7087.57</v>
      </c>
      <c r="I540" s="89">
        <f t="shared" si="40"/>
        <v>0</v>
      </c>
      <c r="J540" s="89">
        <f t="shared" si="40"/>
        <v>0</v>
      </c>
      <c r="K540" s="89">
        <f t="shared" si="40"/>
        <v>0</v>
      </c>
      <c r="L540" s="89">
        <f t="shared" si="40"/>
        <v>7087.57</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v>131807.23000000001</v>
      </c>
      <c r="I544" s="18"/>
      <c r="J544" s="18"/>
      <c r="K544" s="18"/>
      <c r="L544" s="88">
        <f>SUM(F544:K544)</f>
        <v>131807.23000000001</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1">SUM(G542:G544)</f>
        <v>0</v>
      </c>
      <c r="H545" s="193">
        <f t="shared" si="41"/>
        <v>131807.23000000001</v>
      </c>
      <c r="I545" s="193">
        <f t="shared" si="41"/>
        <v>0</v>
      </c>
      <c r="J545" s="193">
        <f t="shared" si="41"/>
        <v>0</v>
      </c>
      <c r="K545" s="193">
        <f t="shared" si="41"/>
        <v>0</v>
      </c>
      <c r="L545" s="193">
        <f t="shared" si="41"/>
        <v>131807.23000000001</v>
      </c>
      <c r="M545" s="8"/>
      <c r="N545" s="264"/>
    </row>
    <row r="546" spans="1:14" s="3" customFormat="1" ht="12.2" customHeight="1" thickTop="1" x14ac:dyDescent="0.15">
      <c r="A546" s="98" t="s">
        <v>72</v>
      </c>
      <c r="B546" s="107">
        <v>21</v>
      </c>
      <c r="C546" s="107">
        <v>21</v>
      </c>
      <c r="D546" s="158" t="s">
        <v>432</v>
      </c>
      <c r="E546" s="107"/>
      <c r="F546" s="89">
        <f>F525+F530+F535+F540+F545</f>
        <v>2055137.1800000002</v>
      </c>
      <c r="G546" s="89">
        <f t="shared" ref="G546:L546" si="42">G525+G530+G535+G540+G545</f>
        <v>1050167.25</v>
      </c>
      <c r="H546" s="89">
        <f t="shared" si="42"/>
        <v>1274348.0899999999</v>
      </c>
      <c r="I546" s="89">
        <f t="shared" si="42"/>
        <v>17013.669999999998</v>
      </c>
      <c r="J546" s="89">
        <f t="shared" si="42"/>
        <v>5972.88</v>
      </c>
      <c r="K546" s="89">
        <f t="shared" si="42"/>
        <v>0</v>
      </c>
      <c r="L546" s="89">
        <f t="shared" si="42"/>
        <v>4402639.0700000012</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0</v>
      </c>
      <c r="G550" s="87">
        <f>L527</f>
        <v>0</v>
      </c>
      <c r="H550" s="87">
        <f>L532</f>
        <v>0</v>
      </c>
      <c r="I550" s="87">
        <f>L537</f>
        <v>0</v>
      </c>
      <c r="J550" s="87">
        <f>L542</f>
        <v>0</v>
      </c>
      <c r="K550" s="87">
        <f>SUM(F550:J550)</f>
        <v>0</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3180836.2600000002</v>
      </c>
      <c r="G552" s="87">
        <f>L529</f>
        <v>845637.39999999991</v>
      </c>
      <c r="H552" s="87">
        <f>L534</f>
        <v>237270.61000000002</v>
      </c>
      <c r="I552" s="87">
        <f>L539</f>
        <v>7087.57</v>
      </c>
      <c r="J552" s="87">
        <f>L544</f>
        <v>131807.23000000001</v>
      </c>
      <c r="K552" s="87">
        <f>SUM(F552:J552)</f>
        <v>4402639.0700000012</v>
      </c>
      <c r="L552" s="24" t="s">
        <v>288</v>
      </c>
      <c r="M552" s="8"/>
      <c r="N552" s="264"/>
    </row>
    <row r="553" spans="1:14" s="3" customFormat="1" ht="12.2" customHeight="1" thickTop="1" x14ac:dyDescent="0.15">
      <c r="A553" s="172" t="s">
        <v>340</v>
      </c>
      <c r="B553" s="44">
        <v>21</v>
      </c>
      <c r="C553" s="44">
        <v>25</v>
      </c>
      <c r="D553" s="39" t="s">
        <v>432</v>
      </c>
      <c r="E553" s="44"/>
      <c r="F553" s="89">
        <f t="shared" ref="F553:K553" si="43">SUM(F550:F552)</f>
        <v>3180836.2600000002</v>
      </c>
      <c r="G553" s="89">
        <f t="shared" si="43"/>
        <v>845637.39999999991</v>
      </c>
      <c r="H553" s="89">
        <f t="shared" si="43"/>
        <v>237270.61000000002</v>
      </c>
      <c r="I553" s="89">
        <f t="shared" si="43"/>
        <v>7087.57</v>
      </c>
      <c r="J553" s="89">
        <f t="shared" si="43"/>
        <v>131807.23000000001</v>
      </c>
      <c r="K553" s="89">
        <f t="shared" si="43"/>
        <v>4402639.0700000012</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v>36578.97</v>
      </c>
      <c r="I565" s="18">
        <v>57.45</v>
      </c>
      <c r="J565" s="18"/>
      <c r="K565" s="18"/>
      <c r="L565" s="88">
        <f>SUM(F565:K565)</f>
        <v>36636.42</v>
      </c>
      <c r="M565" s="8"/>
      <c r="N565" s="264"/>
    </row>
    <row r="566" spans="1:14" s="3" customFormat="1" ht="12.2" customHeight="1" thickTop="1" x14ac:dyDescent="0.15">
      <c r="A566" s="139" t="s">
        <v>65</v>
      </c>
      <c r="B566" s="107">
        <v>22</v>
      </c>
      <c r="C566" s="107">
        <v>8</v>
      </c>
      <c r="D566" s="196" t="s">
        <v>432</v>
      </c>
      <c r="E566" s="107"/>
      <c r="F566" s="89">
        <f t="shared" ref="F566:L566" si="45">SUM(F563:F565)</f>
        <v>0</v>
      </c>
      <c r="G566" s="89">
        <f t="shared" si="45"/>
        <v>0</v>
      </c>
      <c r="H566" s="89">
        <f t="shared" si="45"/>
        <v>36578.97</v>
      </c>
      <c r="I566" s="89">
        <f t="shared" si="45"/>
        <v>57.45</v>
      </c>
      <c r="J566" s="89">
        <f t="shared" si="45"/>
        <v>0</v>
      </c>
      <c r="K566" s="89">
        <f t="shared" si="45"/>
        <v>0</v>
      </c>
      <c r="L566" s="89">
        <f t="shared" si="45"/>
        <v>36636.42</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6">SUM(G568:G570)</f>
        <v>0</v>
      </c>
      <c r="H571" s="193">
        <f t="shared" si="46"/>
        <v>0</v>
      </c>
      <c r="I571" s="193">
        <f t="shared" si="46"/>
        <v>0</v>
      </c>
      <c r="J571" s="193">
        <f t="shared" si="46"/>
        <v>0</v>
      </c>
      <c r="K571" s="193">
        <f t="shared" si="46"/>
        <v>0</v>
      </c>
      <c r="L571" s="193">
        <f t="shared" si="46"/>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7">G561+G566+G571</f>
        <v>0</v>
      </c>
      <c r="H572" s="89">
        <f t="shared" si="47"/>
        <v>36578.97</v>
      </c>
      <c r="I572" s="89">
        <f t="shared" si="47"/>
        <v>57.45</v>
      </c>
      <c r="J572" s="89">
        <f t="shared" si="47"/>
        <v>0</v>
      </c>
      <c r="K572" s="89">
        <f t="shared" si="47"/>
        <v>0</v>
      </c>
      <c r="L572" s="89">
        <f t="shared" si="47"/>
        <v>36636.42</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8">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8"/>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8"/>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8"/>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8"/>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8"/>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c r="G583" s="18"/>
      <c r="H583" s="18">
        <v>774262.31</v>
      </c>
      <c r="I583" s="87">
        <f t="shared" si="48"/>
        <v>774262.31</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v>2546.4</v>
      </c>
      <c r="I584" s="87">
        <f t="shared" si="48"/>
        <v>2546.4</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f>11816.46+1598.78</f>
        <v>13415.24</v>
      </c>
      <c r="I585" s="87">
        <f t="shared" si="48"/>
        <v>13415.24</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8"/>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8"/>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8"/>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c r="I592" s="18"/>
      <c r="J592" s="18">
        <v>246742.63</v>
      </c>
      <c r="K592" s="104">
        <f t="shared" ref="K592:K598" si="49">SUM(H592:J592)</f>
        <v>246742.63</v>
      </c>
      <c r="L592" s="24" t="s">
        <v>288</v>
      </c>
      <c r="M592" s="8"/>
      <c r="N592" s="264"/>
    </row>
    <row r="593" spans="1:14" s="3" customFormat="1" ht="12.2" customHeight="1" x14ac:dyDescent="0.15">
      <c r="A593" s="3" t="s">
        <v>638</v>
      </c>
      <c r="B593" s="75">
        <v>23</v>
      </c>
      <c r="C593" s="75">
        <v>2</v>
      </c>
      <c r="D593" s="2" t="s">
        <v>432</v>
      </c>
      <c r="E593" s="75"/>
      <c r="F593" s="102">
        <v>2722</v>
      </c>
      <c r="G593" s="103" t="s">
        <v>97</v>
      </c>
      <c r="H593" s="18"/>
      <c r="I593" s="18"/>
      <c r="J593" s="18">
        <f>131010.83+796.4</f>
        <v>131807.23000000001</v>
      </c>
      <c r="K593" s="104">
        <f t="shared" si="49"/>
        <v>131807.23000000001</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v>0</v>
      </c>
      <c r="K594" s="104">
        <f t="shared" si="49"/>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v>30489.03</v>
      </c>
      <c r="K595" s="104">
        <f t="shared" si="49"/>
        <v>30489.03</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v>6000</v>
      </c>
      <c r="K596" s="104">
        <f t="shared" si="49"/>
        <v>6000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9"/>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v>0</v>
      </c>
      <c r="K598" s="104">
        <f t="shared" si="49"/>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0</v>
      </c>
      <c r="I599" s="108">
        <f>SUM(I592:I598)</f>
        <v>0</v>
      </c>
      <c r="J599" s="108">
        <f>SUM(J592:J598)</f>
        <v>415038.89</v>
      </c>
      <c r="K599" s="108">
        <f>SUM(K592:K598)</f>
        <v>415038.89</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c r="I605" s="18"/>
      <c r="J605" s="18">
        <v>252720.58</v>
      </c>
      <c r="K605" s="104">
        <f>SUM(H605:J605)</f>
        <v>252720.58</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252720.58</v>
      </c>
      <c r="K606" s="108">
        <f>SUM(K603:K605)</f>
        <v>252720.58</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v>12625</v>
      </c>
      <c r="G614" s="18">
        <v>3039.32</v>
      </c>
      <c r="H614" s="18"/>
      <c r="I614" s="18"/>
      <c r="J614" s="18"/>
      <c r="K614" s="18"/>
      <c r="L614" s="88">
        <f>SUM(F614:K614)</f>
        <v>15664.32</v>
      </c>
      <c r="M614" s="8"/>
      <c r="N614" s="264"/>
    </row>
    <row r="615" spans="1:14" s="3" customFormat="1" ht="12.2" customHeight="1" thickTop="1" x14ac:dyDescent="0.15">
      <c r="A615" s="98" t="s">
        <v>340</v>
      </c>
      <c r="B615" s="107">
        <v>23</v>
      </c>
      <c r="C615" s="107">
        <v>16</v>
      </c>
      <c r="D615" s="39" t="s">
        <v>432</v>
      </c>
      <c r="E615" s="107"/>
      <c r="F615" s="108">
        <f t="shared" ref="F615:L615" si="50">SUM(F612:F614)</f>
        <v>12625</v>
      </c>
      <c r="G615" s="108">
        <f t="shared" si="50"/>
        <v>3039.32</v>
      </c>
      <c r="H615" s="108">
        <f t="shared" si="50"/>
        <v>0</v>
      </c>
      <c r="I615" s="108">
        <f t="shared" si="50"/>
        <v>0</v>
      </c>
      <c r="J615" s="108">
        <f t="shared" si="50"/>
        <v>0</v>
      </c>
      <c r="K615" s="108">
        <f t="shared" si="50"/>
        <v>0</v>
      </c>
      <c r="L615" s="89">
        <f t="shared" si="50"/>
        <v>15664.32</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1973102.6800000002</v>
      </c>
      <c r="H618" s="109">
        <f>SUM(F52)</f>
        <v>1973102.6800000016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41071.049999999996</v>
      </c>
      <c r="H619" s="109">
        <f>SUM(G52)</f>
        <v>41071.050000000003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122569.3</v>
      </c>
      <c r="H620" s="109">
        <f>SUM(H52)</f>
        <v>122569.29999999999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978556.86</v>
      </c>
      <c r="H622" s="109">
        <f>SUM(J52)</f>
        <v>978556.85999999987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1456146.0800000015</v>
      </c>
      <c r="H623" s="109">
        <f>F477</f>
        <v>1456146.0799999945</v>
      </c>
      <c r="I623" s="121" t="s">
        <v>101</v>
      </c>
      <c r="J623" s="109">
        <f t="shared" ref="J623:J656" si="51">G623-H623</f>
        <v>6.9849193096160889E-9</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1"/>
        <v>0</v>
      </c>
      <c r="K624" s="109"/>
      <c r="L624" s="109"/>
      <c r="M624" s="8"/>
    </row>
    <row r="625" spans="1:13" s="3" customFormat="1" ht="12.2" customHeight="1" x14ac:dyDescent="0.15">
      <c r="A625" s="97"/>
      <c r="B625" s="105"/>
      <c r="C625" s="105"/>
      <c r="D625" s="105"/>
      <c r="E625" s="105"/>
      <c r="F625" s="120" t="s">
        <v>867</v>
      </c>
      <c r="G625" s="109">
        <f>H51</f>
        <v>78223.179999999993</v>
      </c>
      <c r="H625" s="109">
        <f>H477</f>
        <v>78223.179999999935</v>
      </c>
      <c r="I625" s="121" t="s">
        <v>103</v>
      </c>
      <c r="J625" s="109">
        <f t="shared" si="51"/>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816748.6399999999</v>
      </c>
      <c r="H627" s="109">
        <f>J477</f>
        <v>816748.64</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18380083.349999998</v>
      </c>
      <c r="H628" s="104">
        <f>SUM(F469)</f>
        <v>18380083.349999998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325908.61</v>
      </c>
      <c r="H629" s="104">
        <f>SUM(G469)</f>
        <v>325908.61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459032.38</v>
      </c>
      <c r="H630" s="104">
        <f>SUM(H469)</f>
        <v>459032.38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155608.72</v>
      </c>
      <c r="H632" s="104">
        <f>SUM(J469)</f>
        <v>155608.72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17595157.850000005</v>
      </c>
      <c r="H633" s="104">
        <f>SUM(F473)</f>
        <v>17595157.850000005</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418760.50000000006</v>
      </c>
      <c r="H634" s="104">
        <f>SUM(H473)</f>
        <v>418760.50000000006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59931.26</v>
      </c>
      <c r="H635" s="104">
        <f>I370</f>
        <v>59931.26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325908.61000000004</v>
      </c>
      <c r="H636" s="104">
        <f>SUM(G473)</f>
        <v>325908.61000000004</v>
      </c>
      <c r="I636" s="140" t="s">
        <v>114</v>
      </c>
      <c r="J636" s="109">
        <f t="shared" si="51"/>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1"/>
        <v>0</v>
      </c>
      <c r="K637" s="85"/>
      <c r="L637" s="88"/>
      <c r="M637" s="8"/>
    </row>
    <row r="638" spans="1:13" s="3" customFormat="1" ht="12.2" customHeight="1" x14ac:dyDescent="0.15">
      <c r="A638" s="161"/>
      <c r="B638" s="162"/>
      <c r="C638" s="162"/>
      <c r="D638" s="162"/>
      <c r="E638" s="162"/>
      <c r="F638" s="163" t="s">
        <v>477</v>
      </c>
      <c r="G638" s="151">
        <f>SUM(L409)</f>
        <v>155608.71999999997</v>
      </c>
      <c r="H638" s="164">
        <f>SUM(J469)</f>
        <v>155608.72</v>
      </c>
      <c r="I638" s="165" t="s">
        <v>110</v>
      </c>
      <c r="J638" s="151">
        <f t="shared" si="51"/>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1"/>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816374.17999999993</v>
      </c>
      <c r="H641" s="104">
        <f>SUM(G462)</f>
        <v>816374.17999999993</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162182.68</v>
      </c>
      <c r="H642" s="104">
        <f>SUM(H462)</f>
        <v>162182.68</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978556.86</v>
      </c>
      <c r="H643" s="104">
        <f>SUM(I462)</f>
        <v>978556.85999999987</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55608.72</v>
      </c>
      <c r="H645" s="104">
        <f>H409</f>
        <v>55608.72</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100000</v>
      </c>
      <c r="H646" s="104">
        <f>G409</f>
        <v>100000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155608.72</v>
      </c>
      <c r="H647" s="104">
        <f>L409</f>
        <v>155608.71999999997</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415038.89</v>
      </c>
      <c r="H648" s="104">
        <f>L209+L227+L245</f>
        <v>415038.89</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252720.58</v>
      </c>
      <c r="H649" s="104">
        <f>(J258+J339)-(J256+J337)</f>
        <v>252720.57999999996</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0</v>
      </c>
      <c r="H650" s="104">
        <f>H599</f>
        <v>0</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415038.89</v>
      </c>
      <c r="H652" s="104">
        <f>J599</f>
        <v>415038.89</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f>
        <v>189558.69</v>
      </c>
      <c r="H653" s="104">
        <f>K264+K346</f>
        <v>189558.69</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100000</v>
      </c>
      <c r="H656" s="104">
        <f>K267+K348</f>
        <v>100000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0</v>
      </c>
      <c r="G661" s="19">
        <f>(L230+L310+L360)</f>
        <v>0</v>
      </c>
      <c r="H661" s="19">
        <f>(L248+L329+L361)</f>
        <v>17891122.020000003</v>
      </c>
      <c r="I661" s="19">
        <f>SUM(F661:H661)</f>
        <v>17891122.020000003</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61480.81</v>
      </c>
      <c r="I662" s="19">
        <f>SUM(F662:H662)</f>
        <v>61480.81</v>
      </c>
      <c r="J662"/>
      <c r="K662" s="13"/>
      <c r="L662" s="13"/>
      <c r="M662" s="8"/>
    </row>
    <row r="663" spans="1:13" s="3" customFormat="1" ht="12.2" customHeight="1" x14ac:dyDescent="0.2">
      <c r="A663" s="1" t="s">
        <v>128</v>
      </c>
      <c r="F663" s="19">
        <f>(L209+L288)-(J209+J288)</f>
        <v>0</v>
      </c>
      <c r="G663" s="19">
        <f>(L227+L307)-(J227+J307)</f>
        <v>0</v>
      </c>
      <c r="H663" s="19">
        <f>(L245+L326)-(J245+J326)</f>
        <v>428769.17000000004</v>
      </c>
      <c r="I663" s="19">
        <f>SUM(F663:H663)</f>
        <v>428769.17000000004</v>
      </c>
      <c r="J663"/>
      <c r="K663" s="13"/>
      <c r="L663" s="13"/>
      <c r="M663" s="9"/>
    </row>
    <row r="664" spans="1:13" s="3" customFormat="1" ht="12.2" customHeight="1" x14ac:dyDescent="0.15">
      <c r="A664" s="198" t="s">
        <v>129</v>
      </c>
      <c r="B664" s="169"/>
      <c r="C664" s="169"/>
      <c r="D664" s="169"/>
      <c r="E664" s="169"/>
      <c r="F664" s="199">
        <f>SUM(F576:F588)+SUM(H603:H605)+SUM(L612)</f>
        <v>0</v>
      </c>
      <c r="G664" s="199">
        <f>SUM(G576:G588)+SUM(I603:I605)+L613</f>
        <v>0</v>
      </c>
      <c r="H664" s="199">
        <f>SUM(H576:H588)+SUM(J603:J605)+L614</f>
        <v>1058608.8500000001</v>
      </c>
      <c r="I664" s="19">
        <f>SUM(F664:H664)</f>
        <v>1058608.8500000001</v>
      </c>
      <c r="J664" s="13"/>
      <c r="K664" s="13"/>
      <c r="L664" s="13"/>
      <c r="M664" s="9"/>
    </row>
    <row r="665" spans="1:13" s="3" customFormat="1" ht="12.2" customHeight="1" x14ac:dyDescent="0.15">
      <c r="A665" s="1" t="s">
        <v>130</v>
      </c>
      <c r="F665" s="19">
        <f>F661-SUM(F662:F664)</f>
        <v>0</v>
      </c>
      <c r="G665" s="19">
        <f>G661-SUM(G662:G664)</f>
        <v>0</v>
      </c>
      <c r="H665" s="19">
        <f>H661-SUM(H662:H664)</f>
        <v>16342263.190000003</v>
      </c>
      <c r="I665" s="19">
        <f>I661-SUM(I662:I664)</f>
        <v>16342263.190000003</v>
      </c>
      <c r="J665" s="13"/>
      <c r="K665" s="13"/>
      <c r="L665" s="13"/>
      <c r="M665" s="8"/>
    </row>
    <row r="666" spans="1:13" s="3" customFormat="1" ht="12.2" customHeight="1" x14ac:dyDescent="0.25">
      <c r="A666" s="1" t="s">
        <v>131</v>
      </c>
      <c r="F666" s="359">
        <v>0</v>
      </c>
      <c r="G666" s="359">
        <v>0</v>
      </c>
      <c r="H666" s="359">
        <v>705.01</v>
      </c>
      <c r="I666" s="19">
        <f>SUM(F666:H666)</f>
        <v>705.01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f>ROUND(H665/H666,2)</f>
        <v>23180.19</v>
      </c>
      <c r="I668" s="19">
        <f>ROUND(I665/I666,2)</f>
        <v>23180.19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-3</v>
      </c>
      <c r="I671" s="19">
        <f>SUM(F671:H671)</f>
        <v>-3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f>ROUND((H665+H670)/(H666+H671),2)</f>
        <v>23279.25</v>
      </c>
      <c r="I673" s="19">
        <f>ROUND((I665+I670)/(I666+I671),2)</f>
        <v>23279.25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80" zoomScaleNormal="80" workbookViewId="0">
      <selection activeCell="E23" sqref="E23"/>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13730.28</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149600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132828.6</v>
      </c>
      <c r="F22" s="346"/>
    </row>
    <row r="23" spans="2:8" x14ac:dyDescent="0.25">
      <c r="B23" s="346"/>
      <c r="C23" s="346"/>
      <c r="D23" s="346"/>
      <c r="E23" s="346"/>
      <c r="F23" s="346"/>
    </row>
    <row r="24" spans="2:8" ht="26.25" customHeight="1" x14ac:dyDescent="0.25">
      <c r="B24" s="346"/>
      <c r="C24" s="348" t="s">
        <v>1661</v>
      </c>
      <c r="D24" s="346"/>
      <c r="E24" s="341">
        <f>5514.6+155.76+1532.01</f>
        <v>7202.3700000000008</v>
      </c>
      <c r="F24" s="346"/>
    </row>
    <row r="25" spans="2:8" ht="18" x14ac:dyDescent="0.25">
      <c r="B25" s="346"/>
      <c r="C25" s="349"/>
      <c r="D25" s="346"/>
      <c r="E25" s="346"/>
      <c r="F25" s="346"/>
    </row>
    <row r="26" spans="2:8" ht="27.75" customHeight="1" x14ac:dyDescent="0.25">
      <c r="B26" s="346"/>
      <c r="C26" s="348" t="s">
        <v>1662</v>
      </c>
      <c r="D26" s="346"/>
      <c r="E26" s="341">
        <f>13730.28+125626.23</f>
        <v>139356.51</v>
      </c>
      <c r="F26" s="346"/>
    </row>
    <row r="27" spans="2:8" x14ac:dyDescent="0.25">
      <c r="B27" s="346"/>
      <c r="C27" s="348"/>
      <c r="D27" s="346"/>
      <c r="E27" s="346"/>
      <c r="F27" s="346"/>
    </row>
    <row r="28" spans="2:8" ht="15.75" customHeight="1" x14ac:dyDescent="0.25">
      <c r="B28" s="346"/>
      <c r="C28" s="348" t="s">
        <v>1663</v>
      </c>
      <c r="D28" s="346"/>
      <c r="E28" s="342">
        <v>4867.8</v>
      </c>
      <c r="F28" s="346"/>
    </row>
    <row r="29" spans="2:8" x14ac:dyDescent="0.25">
      <c r="B29" s="346"/>
      <c r="C29" s="346"/>
      <c r="D29" s="346"/>
      <c r="E29" s="346"/>
      <c r="F29" s="346"/>
    </row>
    <row r="30" spans="2:8" ht="16.5" customHeight="1" x14ac:dyDescent="0.25">
      <c r="B30" s="346"/>
      <c r="C30" s="348" t="s">
        <v>1664</v>
      </c>
      <c r="D30" s="346"/>
      <c r="E30" s="341">
        <f>11903.6</f>
        <v>11903.6</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6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7"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2" t="str">
        <f>'DOE25'!A2</f>
        <v xml:space="preserve">SOUHEGAN COOPERATIVE SCHOOL DISTRICT </v>
      </c>
      <c r="C5" s="363"/>
      <c r="D5" s="363"/>
      <c r="E5" s="363"/>
      <c r="F5" s="363"/>
    </row>
    <row r="8" spans="1:9" ht="18" x14ac:dyDescent="0.25">
      <c r="A8" s="317" t="s">
        <v>1576</v>
      </c>
      <c r="F8" s="324" t="s">
        <v>1594</v>
      </c>
    </row>
    <row r="9" spans="1:9" ht="15" x14ac:dyDescent="0.2">
      <c r="A9" s="315" t="s">
        <v>1577</v>
      </c>
      <c r="B9" s="318">
        <f>'DOE25'!G97</f>
        <v>61062.85</v>
      </c>
      <c r="F9" s="315" t="s">
        <v>1590</v>
      </c>
    </row>
    <row r="10" spans="1:9" ht="15" x14ac:dyDescent="0.2">
      <c r="A10" s="315" t="s">
        <v>1578</v>
      </c>
      <c r="B10" s="318">
        <f>'DOE25'!G112-'DOE25'!G97</f>
        <v>417.95999999999913</v>
      </c>
      <c r="F10" s="315" t="s">
        <v>1591</v>
      </c>
    </row>
    <row r="11" spans="1:9" ht="15" x14ac:dyDescent="0.2">
      <c r="A11" s="315" t="s">
        <v>1579</v>
      </c>
      <c r="B11" s="318">
        <f>'DOE25'!G140</f>
        <v>1530.87</v>
      </c>
      <c r="F11" s="315" t="s">
        <v>1592</v>
      </c>
    </row>
    <row r="12" spans="1:9" ht="15" x14ac:dyDescent="0.2">
      <c r="A12" s="315" t="s">
        <v>1580</v>
      </c>
      <c r="B12" s="318">
        <f>'DOE25'!G170</f>
        <v>73338.240000000005</v>
      </c>
      <c r="F12" s="315" t="s">
        <v>1593</v>
      </c>
    </row>
    <row r="13" spans="1:9" ht="15" x14ac:dyDescent="0.2">
      <c r="A13" s="315" t="s">
        <v>1581</v>
      </c>
      <c r="B13" s="318">
        <f>'DOE25'!G193-'DOE25'!G180</f>
        <v>0</v>
      </c>
      <c r="F13" s="315" t="s">
        <v>1603</v>
      </c>
    </row>
    <row r="14" spans="1:9" ht="18" x14ac:dyDescent="0.25">
      <c r="A14" s="317" t="s">
        <v>732</v>
      </c>
      <c r="B14" s="319">
        <f>SUM(B9:B13)</f>
        <v>136349.92000000001</v>
      </c>
    </row>
    <row r="16" spans="1:9" ht="18" x14ac:dyDescent="0.25">
      <c r="A16" s="317" t="s">
        <v>786</v>
      </c>
      <c r="F16" s="324" t="s">
        <v>1595</v>
      </c>
    </row>
    <row r="17" spans="1:6" ht="15" x14ac:dyDescent="0.2">
      <c r="A17" s="315" t="s">
        <v>1582</v>
      </c>
      <c r="B17" s="318">
        <f>'DOE25'!L363-'DOE25'!L362</f>
        <v>325908.61000000004</v>
      </c>
      <c r="F17" s="315" t="s">
        <v>1596</v>
      </c>
    </row>
    <row r="18" spans="1:6" ht="15" x14ac:dyDescent="0.2">
      <c r="A18" s="315" t="s">
        <v>1583</v>
      </c>
      <c r="B18" s="328"/>
      <c r="F18" s="324" t="s">
        <v>1620</v>
      </c>
    </row>
    <row r="19" spans="1:6" ht="18" x14ac:dyDescent="0.25">
      <c r="A19" s="317" t="s">
        <v>725</v>
      </c>
      <c r="B19" s="319">
        <f>SUM(B17:B18)</f>
        <v>325908.61000000004</v>
      </c>
    </row>
    <row r="21" spans="1:6" ht="18.75" thickBot="1" x14ac:dyDescent="0.3">
      <c r="A21" s="317" t="s">
        <v>1584</v>
      </c>
    </row>
    <row r="22" spans="1:6" ht="18.75" thickTop="1" x14ac:dyDescent="0.25">
      <c r="A22" s="317" t="s">
        <v>1585</v>
      </c>
      <c r="B22" s="323">
        <f>B14-B19</f>
        <v>-189558.69000000003</v>
      </c>
      <c r="F22" s="315" t="s">
        <v>1597</v>
      </c>
    </row>
    <row r="26" spans="1:6" ht="18" x14ac:dyDescent="0.25">
      <c r="A26" s="317" t="s">
        <v>186</v>
      </c>
    </row>
    <row r="27" spans="1:6" ht="15" x14ac:dyDescent="0.2">
      <c r="A27" s="315" t="s">
        <v>1586</v>
      </c>
      <c r="B27" s="318">
        <f>'DOE25'!G180</f>
        <v>189558.69</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0</v>
      </c>
      <c r="F33" s="315" t="s">
        <v>1601</v>
      </c>
    </row>
    <row r="36" spans="1:6" ht="15" x14ac:dyDescent="0.2">
      <c r="A36" s="315" t="s">
        <v>1587</v>
      </c>
      <c r="B36" s="329">
        <v>5611.36</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40" sqref="B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 xml:space="preserve">SOUHEGAN COOPERATIVE SCHOOL DISTRICT </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4599209.83</v>
      </c>
      <c r="C9" s="229">
        <f>'DOE25'!G198+'DOE25'!G216+'DOE25'!G234+'DOE25'!G277+'DOE25'!G296+'DOE25'!G315</f>
        <v>2070447.5699999998</v>
      </c>
    </row>
    <row r="10" spans="1:3" x14ac:dyDescent="0.2">
      <c r="A10" t="s">
        <v>775</v>
      </c>
      <c r="B10" s="240">
        <v>4415484.62</v>
      </c>
      <c r="C10" s="240">
        <f>(B10/B9)*C9</f>
        <v>1987739.1421063675</v>
      </c>
    </row>
    <row r="11" spans="1:3" x14ac:dyDescent="0.2">
      <c r="A11" t="s">
        <v>776</v>
      </c>
      <c r="B11" s="240">
        <v>42507.86</v>
      </c>
      <c r="C11" s="240">
        <f>(B11/B9)*C9</f>
        <v>19135.960022702464</v>
      </c>
    </row>
    <row r="12" spans="1:3" x14ac:dyDescent="0.2">
      <c r="A12" t="s">
        <v>777</v>
      </c>
      <c r="B12" s="240">
        <f>140656.78+560.57</f>
        <v>141217.35</v>
      </c>
      <c r="C12" s="240">
        <f>(B12/B9)*C9</f>
        <v>63572.467870929795</v>
      </c>
    </row>
    <row r="13" spans="1:3" x14ac:dyDescent="0.2">
      <c r="A13" t="str">
        <f>IF(B9=B13,IF(C9=C13,"Check Total OK","Check Total Error"),"Check Total Error")</f>
        <v>Check Total OK</v>
      </c>
      <c r="B13" s="231">
        <f>SUM(B10:B12)</f>
        <v>4599209.83</v>
      </c>
      <c r="C13" s="231">
        <f>SUM(C10:C12)</f>
        <v>2070447.5699999998</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1570943.86</v>
      </c>
      <c r="C18" s="229">
        <f>'DOE25'!G199+'DOE25'!G217+'DOE25'!G235+'DOE25'!G278+'DOE25'!G297+'DOE25'!G316</f>
        <v>804877.91</v>
      </c>
    </row>
    <row r="19" spans="1:3" x14ac:dyDescent="0.2">
      <c r="A19" t="s">
        <v>775</v>
      </c>
      <c r="B19" s="240">
        <v>779355</v>
      </c>
      <c r="C19" s="240">
        <f>(B19/B18)*C18</f>
        <v>399304.92713345593</v>
      </c>
    </row>
    <row r="20" spans="1:3" x14ac:dyDescent="0.2">
      <c r="A20" t="s">
        <v>776</v>
      </c>
      <c r="B20" s="240">
        <v>786274.61</v>
      </c>
      <c r="C20" s="240">
        <f>(B20/B18)*C18</f>
        <v>402850.21056249912</v>
      </c>
    </row>
    <row r="21" spans="1:3" x14ac:dyDescent="0.2">
      <c r="A21" t="s">
        <v>777</v>
      </c>
      <c r="B21" s="240">
        <v>5314.25</v>
      </c>
      <c r="C21" s="240">
        <f>(B21/B18)*C18</f>
        <v>2722.772304044971</v>
      </c>
    </row>
    <row r="22" spans="1:3" x14ac:dyDescent="0.2">
      <c r="A22" t="str">
        <f>IF(B18=B22,IF(C18=C22,"Check Total OK","Check Total Error"),"Check Total Error")</f>
        <v>Check Total OK</v>
      </c>
      <c r="B22" s="231">
        <f>SUM(B19:B21)</f>
        <v>1570943.8599999999</v>
      </c>
      <c r="C22" s="231">
        <f>SUM(C19:C21)</f>
        <v>804877.91</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338121.27</v>
      </c>
      <c r="C36" s="235">
        <f>'DOE25'!G201+'DOE25'!G219+'DOE25'!G237+'DOE25'!G280+'DOE25'!G299+'DOE25'!G318</f>
        <v>84297.53</v>
      </c>
    </row>
    <row r="37" spans="1:3" x14ac:dyDescent="0.2">
      <c r="A37" t="s">
        <v>775</v>
      </c>
      <c r="B37" s="240">
        <f>47671.27+8000</f>
        <v>55671.27</v>
      </c>
      <c r="C37" s="240">
        <f>(B37/B36)*C36</f>
        <v>13879.489311521571</v>
      </c>
    </row>
    <row r="38" spans="1:3" x14ac:dyDescent="0.2">
      <c r="A38" t="s">
        <v>776</v>
      </c>
      <c r="B38" s="240">
        <v>9238.0499999999993</v>
      </c>
      <c r="C38" s="240">
        <f>(B38/B36)*C36</f>
        <v>2303.1523483172173</v>
      </c>
    </row>
    <row r="39" spans="1:3" x14ac:dyDescent="0.2">
      <c r="A39" t="s">
        <v>777</v>
      </c>
      <c r="B39" s="240">
        <f>267345.49+5866.46</f>
        <v>273211.95</v>
      </c>
      <c r="C39" s="240">
        <f>(B39/B36)*C36</f>
        <v>68114.888340161211</v>
      </c>
    </row>
    <row r="40" spans="1:3" x14ac:dyDescent="0.2">
      <c r="A40" t="str">
        <f>IF(B36=B40,IF(C36=C40,"Check Total OK","Check Total Error"),"Check Total Error")</f>
        <v>Check Total OK</v>
      </c>
      <c r="B40" s="231">
        <f>SUM(B37:B39)</f>
        <v>338121.27</v>
      </c>
      <c r="C40" s="231">
        <f>SUM(C37:C39)</f>
        <v>84297.53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 xml:space="preserve">SOUHEGAN COOPERATIVE SCHOOL DISTRICT </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10498147.870000001</v>
      </c>
      <c r="D5" s="20">
        <f>SUM('DOE25'!L198:L201)+SUM('DOE25'!L216:L219)+SUM('DOE25'!L234:L237)-F5-G5-H5</f>
        <v>10321156.060000002</v>
      </c>
      <c r="E5" s="243"/>
      <c r="F5" s="244"/>
      <c r="G5" s="53">
        <f>SUM('DOE25'!J198:J201)+SUM('DOE25'!J216:J219)+SUM('DOE25'!J234:J237)</f>
        <v>161753.85999999999</v>
      </c>
      <c r="H5" s="53">
        <f>SUM('DOE25'!K198:K201)+SUM('DOE25'!K216:K219)+SUM('DOE25'!K234:K237)</f>
        <v>15237.95</v>
      </c>
      <c r="I5" s="254"/>
    </row>
    <row r="6" spans="1:9" x14ac:dyDescent="0.2">
      <c r="A6" s="32">
        <v>2100</v>
      </c>
      <c r="B6" t="s">
        <v>796</v>
      </c>
      <c r="C6" s="273">
        <f t="shared" si="0"/>
        <v>1880648.3</v>
      </c>
      <c r="D6" s="20">
        <f>'DOE25'!L203+'DOE25'!L221+'DOE25'!L239-F6-G6-H6</f>
        <v>1879569.3</v>
      </c>
      <c r="E6" s="243"/>
      <c r="F6" s="244"/>
      <c r="G6" s="53">
        <f>'DOE25'!J203+'DOE25'!J221+'DOE25'!J239</f>
        <v>0</v>
      </c>
      <c r="H6" s="53">
        <f>'DOE25'!K203+'DOE25'!K221+'DOE25'!K239</f>
        <v>1079</v>
      </c>
      <c r="I6" s="254"/>
    </row>
    <row r="7" spans="1:9" x14ac:dyDescent="0.2">
      <c r="A7" s="32">
        <v>2200</v>
      </c>
      <c r="B7" t="s">
        <v>821</v>
      </c>
      <c r="C7" s="273">
        <f t="shared" si="0"/>
        <v>419935.20999999996</v>
      </c>
      <c r="D7" s="20">
        <f>'DOE25'!L204+'DOE25'!L222+'DOE25'!L240-F7-G7-H7</f>
        <v>419613.20999999996</v>
      </c>
      <c r="E7" s="243"/>
      <c r="F7" s="244"/>
      <c r="G7" s="53">
        <f>'DOE25'!J204+'DOE25'!J222+'DOE25'!J240</f>
        <v>0</v>
      </c>
      <c r="H7" s="53">
        <f>'DOE25'!K204+'DOE25'!K222+'DOE25'!K240</f>
        <v>322</v>
      </c>
      <c r="I7" s="254"/>
    </row>
    <row r="8" spans="1:9" x14ac:dyDescent="0.2">
      <c r="A8" s="32">
        <v>2300</v>
      </c>
      <c r="B8" t="s">
        <v>797</v>
      </c>
      <c r="C8" s="273">
        <f t="shared" si="0"/>
        <v>1107929.3800000001</v>
      </c>
      <c r="D8" s="243"/>
      <c r="E8" s="20">
        <f>'DOE25'!L205+'DOE25'!L223+'DOE25'!L241-F8-G8-H8-D9-D11</f>
        <v>1100069.02</v>
      </c>
      <c r="F8" s="244"/>
      <c r="G8" s="53">
        <f>'DOE25'!J205+'DOE25'!J223+'DOE25'!J241</f>
        <v>0</v>
      </c>
      <c r="H8" s="53">
        <f>'DOE25'!K205+'DOE25'!K223+'DOE25'!K241</f>
        <v>7860.36</v>
      </c>
      <c r="I8" s="254"/>
    </row>
    <row r="9" spans="1:9" ht="14.25" x14ac:dyDescent="0.2">
      <c r="A9" s="32">
        <v>2310</v>
      </c>
      <c r="B9" s="185" t="s">
        <v>888</v>
      </c>
      <c r="C9" s="273">
        <f t="shared" si="0"/>
        <v>0</v>
      </c>
      <c r="D9" s="244"/>
      <c r="E9" s="243"/>
      <c r="F9" s="251"/>
      <c r="G9" s="251"/>
      <c r="H9" s="251"/>
      <c r="I9" s="254"/>
    </row>
    <row r="10" spans="1:9" ht="14.25" x14ac:dyDescent="0.2">
      <c r="A10" s="32">
        <v>2317</v>
      </c>
      <c r="B10" s="185" t="s">
        <v>889</v>
      </c>
      <c r="C10" s="273">
        <f t="shared" si="0"/>
        <v>0</v>
      </c>
      <c r="D10" s="243"/>
      <c r="E10" s="244"/>
      <c r="F10" s="251"/>
      <c r="G10" s="251"/>
      <c r="H10" s="251"/>
      <c r="I10" s="254"/>
    </row>
    <row r="11" spans="1:9" ht="14.25" x14ac:dyDescent="0.2">
      <c r="A11" s="32">
        <v>2321</v>
      </c>
      <c r="B11" s="185" t="s">
        <v>890</v>
      </c>
      <c r="C11" s="273">
        <f t="shared" si="0"/>
        <v>0</v>
      </c>
      <c r="D11" s="244"/>
      <c r="E11" s="243"/>
      <c r="F11" s="251"/>
      <c r="G11" s="251"/>
      <c r="H11" s="251"/>
      <c r="I11" s="254"/>
    </row>
    <row r="12" spans="1:9" x14ac:dyDescent="0.2">
      <c r="A12" s="32">
        <v>2400</v>
      </c>
      <c r="B12" t="s">
        <v>711</v>
      </c>
      <c r="C12" s="273">
        <f t="shared" si="0"/>
        <v>738158.76000000013</v>
      </c>
      <c r="D12" s="20">
        <f>'DOE25'!L206+'DOE25'!L224+'DOE25'!L242-F12-G12-H12</f>
        <v>726814.40000000014</v>
      </c>
      <c r="E12" s="243"/>
      <c r="F12" s="244"/>
      <c r="G12" s="53">
        <f>'DOE25'!J206+'DOE25'!J224+'DOE25'!J242</f>
        <v>6560.36</v>
      </c>
      <c r="H12" s="53">
        <f>'DOE25'!K206+'DOE25'!K224+'DOE25'!K242</f>
        <v>4784</v>
      </c>
      <c r="I12" s="254"/>
    </row>
    <row r="13" spans="1:9" x14ac:dyDescent="0.2">
      <c r="A13" s="32">
        <v>2500</v>
      </c>
      <c r="B13" t="s">
        <v>798</v>
      </c>
      <c r="C13" s="273">
        <f t="shared" si="0"/>
        <v>162</v>
      </c>
      <c r="D13" s="243"/>
      <c r="E13" s="20">
        <f>'DOE25'!L207+'DOE25'!L225+'DOE25'!L243-F13-G13-H13</f>
        <v>162</v>
      </c>
      <c r="F13" s="244"/>
      <c r="G13" s="53">
        <f>'DOE25'!J207+'DOE25'!J225+'DOE25'!J243</f>
        <v>0</v>
      </c>
      <c r="H13" s="53">
        <f>'DOE25'!K207+'DOE25'!K225+'DOE25'!K243</f>
        <v>0</v>
      </c>
      <c r="I13" s="254"/>
    </row>
    <row r="14" spans="1:9" x14ac:dyDescent="0.2">
      <c r="A14" s="32">
        <v>2600</v>
      </c>
      <c r="B14" t="s">
        <v>819</v>
      </c>
      <c r="C14" s="273">
        <f t="shared" si="0"/>
        <v>1775772.45</v>
      </c>
      <c r="D14" s="20">
        <f>'DOE25'!L208+'DOE25'!L226+'DOE25'!L244-F14-G14-H14</f>
        <v>1726856.8599999999</v>
      </c>
      <c r="E14" s="243"/>
      <c r="F14" s="244"/>
      <c r="G14" s="53">
        <f>'DOE25'!J208+'DOE25'!J226+'DOE25'!J244</f>
        <v>48815.59</v>
      </c>
      <c r="H14" s="53">
        <f>'DOE25'!K208+'DOE25'!K226+'DOE25'!K244</f>
        <v>100</v>
      </c>
      <c r="I14" s="254"/>
    </row>
    <row r="15" spans="1:9" x14ac:dyDescent="0.2">
      <c r="A15" s="32">
        <v>2700</v>
      </c>
      <c r="B15" t="s">
        <v>799</v>
      </c>
      <c r="C15" s="273">
        <f t="shared" si="0"/>
        <v>415038.89</v>
      </c>
      <c r="D15" s="20">
        <f>'DOE25'!L209+'DOE25'!L227+'DOE25'!L245-F15-G15-H15</f>
        <v>415038.89</v>
      </c>
      <c r="E15" s="243"/>
      <c r="F15" s="244"/>
      <c r="G15" s="53">
        <f>'DOE25'!J209+'DOE25'!J227+'DOE25'!J245</f>
        <v>0</v>
      </c>
      <c r="H15" s="53">
        <f>'DOE25'!K209+'DOE25'!K227+'DOE25'!K245</f>
        <v>0</v>
      </c>
      <c r="I15" s="254"/>
    </row>
    <row r="16" spans="1:9" x14ac:dyDescent="0.2">
      <c r="A16" s="32">
        <v>2800</v>
      </c>
      <c r="B16" t="s">
        <v>800</v>
      </c>
      <c r="C16" s="273">
        <f t="shared" si="0"/>
        <v>310660.05</v>
      </c>
      <c r="D16" s="243"/>
      <c r="E16" s="20">
        <f>'DOE25'!L210+'DOE25'!L228+'DOE25'!L246-F16-G16-H16</f>
        <v>294761.36</v>
      </c>
      <c r="F16" s="244"/>
      <c r="G16" s="53">
        <f>'DOE25'!J210+'DOE25'!J228+'DOE25'!J246</f>
        <v>15898.69</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159146.25</v>
      </c>
      <c r="D25" s="243"/>
      <c r="E25" s="243"/>
      <c r="F25" s="253"/>
      <c r="G25" s="251"/>
      <c r="H25" s="251"/>
      <c r="I25" s="252">
        <f>'DOE25'!L261+'DOE25'!L262+'DOE25'!L342+'DOE25'!L343</f>
        <v>159146.25</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270552.96000000002</v>
      </c>
      <c r="D29" s="281">
        <f>'DOE25'!L359+'DOE25'!L360+'DOE25'!L361-'DOE25'!I368-F29-G29-H29</f>
        <v>270319.62</v>
      </c>
      <c r="E29" s="243"/>
      <c r="F29" s="244"/>
      <c r="G29" s="53">
        <f>'DOE25'!J359+'DOE25'!J360+'DOE25'!J361</f>
        <v>0</v>
      </c>
      <c r="H29" s="53">
        <f>'DOE25'!K359+'DOE25'!K360+'DOE25'!K361</f>
        <v>233.34</v>
      </c>
      <c r="I29" s="254"/>
    </row>
    <row r="30" spans="1:9" x14ac:dyDescent="0.2">
      <c r="A30" s="32"/>
      <c r="C30" s="274"/>
      <c r="D30" s="20"/>
      <c r="E30" s="278"/>
      <c r="F30" s="268"/>
      <c r="G30" s="53"/>
      <c r="H30" s="53"/>
      <c r="I30" s="254"/>
    </row>
    <row r="31" spans="1:9" x14ac:dyDescent="0.2">
      <c r="A31" s="32" t="s">
        <v>818</v>
      </c>
      <c r="B31" t="s">
        <v>817</v>
      </c>
      <c r="C31" s="273">
        <f>SUM(D31:I31)</f>
        <v>418760.50000000006</v>
      </c>
      <c r="D31" s="20">
        <f>'DOE25'!L291+'DOE25'!L310+'DOE25'!L329+'DOE25'!L334+'DOE25'!L335+'DOE25'!L336-F31-G31-H31</f>
        <v>395068.42000000004</v>
      </c>
      <c r="E31" s="243"/>
      <c r="F31" s="244"/>
      <c r="G31" s="53">
        <f>'DOE25'!J291+'DOE25'!J310+'DOE25'!J329+'DOE25'!J334+'DOE25'!J335+'DOE25'!J336</f>
        <v>19692.080000000002</v>
      </c>
      <c r="H31" s="53">
        <f>'DOE25'!K291+'DOE25'!K310+'DOE25'!K329+'DOE25'!K334+'DOE25'!K335+'DOE25'!K336</f>
        <v>4000</v>
      </c>
      <c r="I31" s="254"/>
    </row>
    <row r="32" spans="1:9" ht="12" thickBot="1" x14ac:dyDescent="0.25">
      <c r="C32" s="274"/>
      <c r="G32" s="249"/>
      <c r="H32" s="249"/>
      <c r="I32" s="256"/>
    </row>
    <row r="33" spans="1:9" ht="12" thickTop="1" x14ac:dyDescent="0.2">
      <c r="B33" t="s">
        <v>809</v>
      </c>
      <c r="D33" s="245">
        <f t="shared" ref="D33:I33" si="1">SUM(D5:D31)</f>
        <v>16154436.760000004</v>
      </c>
      <c r="E33" s="245">
        <f t="shared" si="1"/>
        <v>1394992.38</v>
      </c>
      <c r="F33" s="245">
        <f t="shared" si="1"/>
        <v>0</v>
      </c>
      <c r="G33" s="245">
        <f t="shared" si="1"/>
        <v>252720.57999999996</v>
      </c>
      <c r="H33" s="245">
        <f t="shared" si="1"/>
        <v>33616.65</v>
      </c>
      <c r="I33" s="245">
        <f t="shared" si="1"/>
        <v>159146.25</v>
      </c>
    </row>
    <row r="35" spans="1:9" ht="12" thickBot="1" x14ac:dyDescent="0.25">
      <c r="B35" s="249" t="s">
        <v>831</v>
      </c>
      <c r="D35" s="250">
        <f>E33</f>
        <v>1394992.38</v>
      </c>
      <c r="E35" s="246"/>
      <c r="F35" s="333" t="s">
        <v>1632</v>
      </c>
      <c r="G35" s="334"/>
      <c r="H35" s="334"/>
      <c r="I35" s="334"/>
    </row>
    <row r="36" spans="1:9" ht="12" thickTop="1" x14ac:dyDescent="0.2">
      <c r="B36" t="s">
        <v>810</v>
      </c>
      <c r="D36" s="20">
        <f>D33</f>
        <v>16154436.760000004</v>
      </c>
      <c r="F36" s="336" t="s">
        <v>1622</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N</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 xml:space="preserve">SOUHEGAN COOPERATIVE SCHOOL DISTRICT </v>
      </c>
      <c r="B2" s="126">
        <f>'DOE25'!B2</f>
        <v>493</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0</v>
      </c>
      <c r="G4" s="300">
        <f>'DOE25'!L212+'DOE25'!L291</f>
        <v>0</v>
      </c>
      <c r="H4" s="353">
        <f>F4-G4</f>
        <v>0</v>
      </c>
      <c r="I4" s="371" t="str">
        <f>IF(H4=0,"","ISSUES!! Please review page 7 and 11 totals in comparison with total on this page")</f>
        <v/>
      </c>
      <c r="N4"/>
    </row>
    <row r="5" spans="1:18" x14ac:dyDescent="0.2">
      <c r="A5" s="21"/>
      <c r="B5" s="301" t="str">
        <f>IFERROR(VLOOKUP(A5,'School Tables'!$C$3:$D$365,2,FALSE),"")</f>
        <v/>
      </c>
      <c r="C5" s="294" t="str">
        <f>IFERROR(INDEX('School Tables'!$B$3:$B$365,MATCH('School Level Expenditures'!B5,'School Tables'!$D$3:$D$365,0)),"")</f>
        <v/>
      </c>
      <c r="D5" s="291"/>
      <c r="E5" s="291"/>
      <c r="F5" s="304">
        <f>D5+E5</f>
        <v>0</v>
      </c>
      <c r="G5" s="294"/>
      <c r="H5" s="294"/>
      <c r="I5" s="372"/>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0</v>
      </c>
      <c r="E21" s="351">
        <f>SUM(E5:E20)</f>
        <v>0</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1"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17565213.410000004</v>
      </c>
      <c r="G36" s="300">
        <f>'DOE25'!L248+'DOE25'!L329</f>
        <v>17565213.410000004</v>
      </c>
      <c r="H36" s="353" t="str">
        <f>IF(AND(D43='DOE25'!L248,'School Level Expenditures'!E43='DOE25'!L329),'School Level Expenditures'!F36-'School Level Expenditures'!G36,"Does not match page 7 or 11 totals!!")</f>
        <v>Does not match page 7 or 11 totals!!</v>
      </c>
      <c r="I36" s="371" t="str">
        <f>IF(H36=0,"","ISSUES!! Please review page 9 and 13 totals in comparison with total on this page")</f>
        <v>ISSUES!! Please review page 9 and 13 totals in comparison with total on this page</v>
      </c>
      <c r="N36"/>
    </row>
    <row r="37" spans="1:14" x14ac:dyDescent="0.2">
      <c r="A37" s="21" t="s">
        <v>1424</v>
      </c>
      <c r="B37" s="301">
        <f>IFERROR(VLOOKUP(A37,'School Tables'!$O$3:$P$118,2,FALSE),"")</f>
        <v>26860</v>
      </c>
      <c r="C37" s="294" t="str">
        <f t="array" ref="C37">IFERROR(INDEX('School Tables'!$N$3:$N$118,MATCH('School Level Expenditures'!B37,'School Tables'!$P$3:$P$118,0)),"")</f>
        <v>Souhegan Cooperative</v>
      </c>
      <c r="D37" s="291">
        <f>G36-E37</f>
        <v>17097910.180000003</v>
      </c>
      <c r="E37" s="291">
        <v>467303.23</v>
      </c>
      <c r="F37" s="304">
        <f t="shared" ref="F37:F42" si="2">D37+E37</f>
        <v>17565213.410000004</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17097910.180000003</v>
      </c>
      <c r="E43" s="352">
        <f>SUM(E37:E42)</f>
        <v>467303.23</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7" operator="equal">
      <formula>0</formula>
    </cfRule>
    <cfRule type="cellIs" dxfId="8" priority="18" operator="notEqual">
      <formula>0</formula>
    </cfRule>
  </conditionalFormatting>
  <conditionalFormatting sqref="H36">
    <cfRule type="cellIs" dxfId="7" priority="9" operator="equal">
      <formula>0</formula>
    </cfRule>
    <cfRule type="cellIs" dxfId="6" priority="10" operator="notEqual">
      <formula>0</formula>
    </cfRule>
  </conditionalFormatting>
  <conditionalFormatting sqref="H24">
    <cfRule type="cellIs" dxfId="5" priority="3" operator="equal">
      <formula>0</formula>
    </cfRule>
    <cfRule type="cellIs" dxfId="4" priority="4" operator="notEqual">
      <formula>0</formula>
    </cfRule>
  </conditionalFormatting>
  <pageMargins left="0.7" right="0.7" top="0.75" bottom="0.75" header="0.3" footer="0.3"/>
  <pageSetup scale="81"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 xml:space="preserve">SOUHEGAN COOPERATIVE SCHOOL DISTRICT </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1895862.6</v>
      </c>
      <c r="D8" s="95">
        <f>'DOE25'!G9</f>
        <v>800</v>
      </c>
      <c r="E8" s="95">
        <f>'DOE25'!H9</f>
        <v>59629.8</v>
      </c>
      <c r="F8" s="95">
        <f>'DOE25'!I9</f>
        <v>0</v>
      </c>
      <c r="G8" s="95">
        <f>'DOE25'!J9</f>
        <v>147498.76999999999</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53450.89</v>
      </c>
      <c r="D11" s="95">
        <f>'DOE25'!G12</f>
        <v>0</v>
      </c>
      <c r="E11" s="95">
        <f>'DOE25'!H12</f>
        <v>0</v>
      </c>
      <c r="F11" s="95">
        <f>'DOE25'!I12</f>
        <v>0</v>
      </c>
      <c r="G11" s="95">
        <f>'DOE25'!J12</f>
        <v>13756</v>
      </c>
      <c r="H11" s="124"/>
      <c r="I11" s="124"/>
    </row>
    <row r="12" spans="1:9" x14ac:dyDescent="0.2">
      <c r="A12" s="1" t="s">
        <v>143</v>
      </c>
      <c r="B12" s="6">
        <v>140</v>
      </c>
      <c r="C12" s="95">
        <f>'DOE25'!F13</f>
        <v>20003.830000000002</v>
      </c>
      <c r="D12" s="95">
        <f>'DOE25'!G13</f>
        <v>40244.199999999997</v>
      </c>
      <c r="E12" s="95">
        <f>'DOE25'!H13</f>
        <v>62939.5</v>
      </c>
      <c r="F12" s="95">
        <f>'DOE25'!I13</f>
        <v>0</v>
      </c>
      <c r="G12" s="95">
        <f>'DOE25'!J13</f>
        <v>817302.09</v>
      </c>
      <c r="H12" s="124"/>
      <c r="I12" s="124"/>
    </row>
    <row r="13" spans="1:9" x14ac:dyDescent="0.2">
      <c r="A13" s="1" t="s">
        <v>144</v>
      </c>
      <c r="B13" s="6">
        <v>150</v>
      </c>
      <c r="C13" s="95">
        <f>'DOE25'!F14</f>
        <v>3785.36</v>
      </c>
      <c r="D13" s="95">
        <f>'DOE25'!G14</f>
        <v>26.85</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1973102.6800000002</v>
      </c>
      <c r="D18" s="41">
        <f>SUM(D8:D17)</f>
        <v>41071.049999999996</v>
      </c>
      <c r="E18" s="41">
        <f>SUM(E8:E17)</f>
        <v>122569.3</v>
      </c>
      <c r="F18" s="41">
        <f>SUM(F8:F17)</f>
        <v>0</v>
      </c>
      <c r="G18" s="41">
        <f>SUM(G8:G17)</f>
        <v>978556.86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21111.15</v>
      </c>
      <c r="E21" s="95">
        <f>'DOE25'!H22</f>
        <v>31786.29</v>
      </c>
      <c r="F21" s="95">
        <f>'DOE25'!I22</f>
        <v>0</v>
      </c>
      <c r="G21" s="95">
        <f>'DOE25'!J22</f>
        <v>553.45000000000005</v>
      </c>
      <c r="H21" s="124"/>
      <c r="I21" s="124"/>
    </row>
    <row r="22" spans="1:9" x14ac:dyDescent="0.2">
      <c r="A22" s="1" t="s">
        <v>151</v>
      </c>
      <c r="B22" s="6">
        <v>410</v>
      </c>
      <c r="C22" s="95">
        <f>'DOE25'!F23</f>
        <v>212708.06</v>
      </c>
      <c r="D22" s="95">
        <f>'DOE25'!G23</f>
        <v>0</v>
      </c>
      <c r="E22" s="95">
        <f>'DOE25'!H23</f>
        <v>0</v>
      </c>
      <c r="F22" s="95">
        <f>'DOE25'!I23</f>
        <v>0</v>
      </c>
      <c r="G22" s="95">
        <f>'DOE25'!J23</f>
        <v>0</v>
      </c>
      <c r="H22" s="124"/>
      <c r="I22" s="124"/>
    </row>
    <row r="23" spans="1:9" x14ac:dyDescent="0.2">
      <c r="A23" s="1" t="s">
        <v>152</v>
      </c>
      <c r="B23" s="6">
        <v>420</v>
      </c>
      <c r="C23" s="95">
        <f>'DOE25'!F24</f>
        <v>179003.86</v>
      </c>
      <c r="D23" s="95">
        <f>'DOE25'!G24</f>
        <v>563.54</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107044.3</v>
      </c>
      <c r="D27" s="95">
        <f>'DOE25'!G28</f>
        <v>0</v>
      </c>
      <c r="E27" s="95">
        <f>'DOE25'!H28</f>
        <v>0</v>
      </c>
      <c r="F27" s="95">
        <f>'DOE25'!I28</f>
        <v>0</v>
      </c>
      <c r="G27" s="24" t="s">
        <v>288</v>
      </c>
      <c r="H27" s="124"/>
      <c r="I27" s="124"/>
    </row>
    <row r="28" spans="1:9" x14ac:dyDescent="0.2">
      <c r="A28" s="1" t="s">
        <v>157</v>
      </c>
      <c r="B28" s="6">
        <v>470</v>
      </c>
      <c r="C28" s="95">
        <f>'DOE25'!F29</f>
        <v>17156.900000000001</v>
      </c>
      <c r="D28" s="95">
        <f>'DOE25'!G29</f>
        <v>0</v>
      </c>
      <c r="E28" s="95">
        <f>'DOE25'!H29</f>
        <v>0</v>
      </c>
      <c r="F28" s="95">
        <f>'DOE25'!I29</f>
        <v>0</v>
      </c>
      <c r="G28" s="24" t="s">
        <v>288</v>
      </c>
      <c r="H28" s="124"/>
      <c r="I28" s="124"/>
    </row>
    <row r="29" spans="1:9" x14ac:dyDescent="0.2">
      <c r="A29" s="1" t="s">
        <v>158</v>
      </c>
      <c r="B29" s="6">
        <v>480</v>
      </c>
      <c r="C29" s="95">
        <f>'DOE25'!F30</f>
        <v>1043.48</v>
      </c>
      <c r="D29" s="95">
        <f>'DOE25'!G30</f>
        <v>19396.36</v>
      </c>
      <c r="E29" s="95">
        <f>'DOE25'!H30</f>
        <v>12559.83</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161254.76999999999</v>
      </c>
      <c r="H30" s="124"/>
      <c r="I30" s="124"/>
    </row>
    <row r="31" spans="1:9" ht="12" thickTop="1" x14ac:dyDescent="0.2">
      <c r="A31" s="38" t="s">
        <v>160</v>
      </c>
      <c r="B31" s="2"/>
      <c r="C31" s="41">
        <f>SUM(C21:C30)</f>
        <v>516956.6</v>
      </c>
      <c r="D31" s="41">
        <f>SUM(D21:D30)</f>
        <v>41071.050000000003</v>
      </c>
      <c r="E31" s="41">
        <f>SUM(E21:E30)</f>
        <v>44346.12</v>
      </c>
      <c r="F31" s="41">
        <f>SUM(F21:F30)</f>
        <v>0</v>
      </c>
      <c r="G31" s="41">
        <f>SUM(G21:G30)</f>
        <v>161808.22</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85000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78223.179999999993</v>
      </c>
      <c r="F47" s="95">
        <f>'DOE25'!I48</f>
        <v>0</v>
      </c>
      <c r="G47" s="95">
        <f>'DOE25'!J48</f>
        <v>816748.6399999999</v>
      </c>
      <c r="H47" s="124"/>
      <c r="I47" s="124"/>
    </row>
    <row r="48" spans="1:9" x14ac:dyDescent="0.2">
      <c r="A48" s="1" t="s">
        <v>882</v>
      </c>
      <c r="B48" s="6">
        <v>753</v>
      </c>
      <c r="C48" s="95">
        <f>'DOE25'!F49</f>
        <v>313439.83</v>
      </c>
      <c r="D48" s="95">
        <f>'DOE25'!G49</f>
        <v>0</v>
      </c>
      <c r="E48" s="95">
        <f>'DOE25'!H49</f>
        <v>0</v>
      </c>
      <c r="F48" s="95">
        <f>'DOE25'!I49</f>
        <v>0</v>
      </c>
      <c r="G48" s="95">
        <f>'DOE25'!J49</f>
        <v>0</v>
      </c>
      <c r="H48" s="124"/>
      <c r="I48" s="124"/>
    </row>
    <row r="49" spans="1:9" ht="12" thickBot="1" x14ac:dyDescent="0.25">
      <c r="A49" s="29" t="s">
        <v>883</v>
      </c>
      <c r="B49" s="71">
        <v>770</v>
      </c>
      <c r="C49" s="95">
        <f>'DOE25'!F50</f>
        <v>1057706.2500000014</v>
      </c>
      <c r="D49" s="24" t="s">
        <v>288</v>
      </c>
      <c r="E49" s="24" t="s">
        <v>288</v>
      </c>
      <c r="F49" s="24" t="s">
        <v>288</v>
      </c>
      <c r="G49" s="24" t="s">
        <v>288</v>
      </c>
      <c r="H49" s="124"/>
      <c r="I49" s="124"/>
    </row>
    <row r="50" spans="1:9" ht="12.75" thickTop="1" thickBot="1" x14ac:dyDescent="0.25">
      <c r="A50" s="38" t="s">
        <v>884</v>
      </c>
      <c r="B50" s="48"/>
      <c r="C50" s="41">
        <f>SUM(C34:C49)</f>
        <v>1456146.0800000015</v>
      </c>
      <c r="D50" s="41">
        <f>SUM(D34:D49)</f>
        <v>0</v>
      </c>
      <c r="E50" s="41">
        <f>SUM(E34:E49)</f>
        <v>78223.179999999993</v>
      </c>
      <c r="F50" s="41">
        <f>SUM(F34:F49)</f>
        <v>0</v>
      </c>
      <c r="G50" s="41">
        <f>SUM(G34:G49)</f>
        <v>816748.6399999999</v>
      </c>
      <c r="H50" s="124"/>
      <c r="I50" s="124"/>
    </row>
    <row r="51" spans="1:9" ht="12" thickTop="1" x14ac:dyDescent="0.2">
      <c r="A51" s="38" t="s">
        <v>885</v>
      </c>
      <c r="B51" s="2"/>
      <c r="C51" s="41">
        <f>C50+C31</f>
        <v>1973102.6800000016</v>
      </c>
      <c r="D51" s="41">
        <f>D50+D31</f>
        <v>41071.050000000003</v>
      </c>
      <c r="E51" s="41">
        <f>E50+E31</f>
        <v>122569.29999999999</v>
      </c>
      <c r="F51" s="41">
        <f>F50+F31</f>
        <v>0</v>
      </c>
      <c r="G51" s="41">
        <f>G50+G31</f>
        <v>978556.85999999987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14598203</v>
      </c>
      <c r="D56" s="95">
        <f>'DOE25'!G60</f>
        <v>0</v>
      </c>
      <c r="E56" s="95">
        <f>'DOE25'!H60</f>
        <v>0</v>
      </c>
      <c r="F56" s="95">
        <f>'DOE25'!I60</f>
        <v>0</v>
      </c>
      <c r="G56" s="95">
        <f>'DOE25'!J60</f>
        <v>0</v>
      </c>
      <c r="H56"/>
      <c r="I56"/>
    </row>
    <row r="57" spans="1:9" x14ac:dyDescent="0.2">
      <c r="A57" s="1" t="s">
        <v>164</v>
      </c>
      <c r="B57" s="6" t="s">
        <v>165</v>
      </c>
      <c r="C57" s="95">
        <f>'DOE25'!F79</f>
        <v>45956.23</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4001.32</v>
      </c>
      <c r="D59" s="95">
        <f>'DOE25'!G96</f>
        <v>0</v>
      </c>
      <c r="E59" s="95">
        <f>'DOE25'!H96</f>
        <v>87.34</v>
      </c>
      <c r="F59" s="95">
        <f>'DOE25'!I96</f>
        <v>0</v>
      </c>
      <c r="G59" s="95">
        <f>'DOE25'!J96</f>
        <v>55608.72</v>
      </c>
      <c r="H59"/>
      <c r="I59"/>
    </row>
    <row r="60" spans="1:9" x14ac:dyDescent="0.2">
      <c r="A60" s="1" t="s">
        <v>170</v>
      </c>
      <c r="B60" s="118" t="s">
        <v>171</v>
      </c>
      <c r="C60" s="24" t="s">
        <v>288</v>
      </c>
      <c r="D60" s="95">
        <f>'DOE25'!G97</f>
        <v>61062.85</v>
      </c>
      <c r="E60" s="24" t="s">
        <v>288</v>
      </c>
      <c r="F60" s="24" t="s">
        <v>288</v>
      </c>
      <c r="G60" s="24" t="s">
        <v>288</v>
      </c>
      <c r="H60"/>
      <c r="I60"/>
    </row>
    <row r="61" spans="1:9" ht="12" thickBot="1" x14ac:dyDescent="0.25">
      <c r="A61" s="1" t="s">
        <v>172</v>
      </c>
      <c r="B61" s="118" t="s">
        <v>173</v>
      </c>
      <c r="C61" s="95">
        <f>SUM('DOE25'!F98:F110)</f>
        <v>231883.26</v>
      </c>
      <c r="D61" s="95">
        <f>SUM('DOE25'!G98:G110)</f>
        <v>417.96000000000004</v>
      </c>
      <c r="E61" s="95">
        <f>SUM('DOE25'!H98:H110)</f>
        <v>49374.94</v>
      </c>
      <c r="F61" s="95">
        <f>SUM('DOE25'!I98:I110)</f>
        <v>0</v>
      </c>
      <c r="G61" s="95">
        <f>SUM('DOE25'!J98:J110)</f>
        <v>0</v>
      </c>
      <c r="H61"/>
      <c r="I61"/>
    </row>
    <row r="62" spans="1:9" ht="12.75" thickTop="1" thickBot="1" x14ac:dyDescent="0.25">
      <c r="A62" s="29" t="s">
        <v>174</v>
      </c>
      <c r="B62" s="6"/>
      <c r="C62" s="130">
        <f>SUM(C57:C61)</f>
        <v>281840.81</v>
      </c>
      <c r="D62" s="130">
        <f>SUM(D57:D61)</f>
        <v>61480.81</v>
      </c>
      <c r="E62" s="130">
        <f>SUM(E57:E61)</f>
        <v>49462.28</v>
      </c>
      <c r="F62" s="130">
        <f>SUM(F57:F61)</f>
        <v>0</v>
      </c>
      <c r="G62" s="130">
        <f>SUM(G57:G61)</f>
        <v>55608.72</v>
      </c>
      <c r="H62"/>
      <c r="I62"/>
    </row>
    <row r="63" spans="1:9" ht="12" thickTop="1" x14ac:dyDescent="0.2">
      <c r="A63" s="29" t="s">
        <v>175</v>
      </c>
      <c r="B63" s="6"/>
      <c r="C63" s="22">
        <f>C56+C62</f>
        <v>14880043.810000001</v>
      </c>
      <c r="D63" s="22">
        <f>D56+D62</f>
        <v>61480.81</v>
      </c>
      <c r="E63" s="22">
        <f>E56+E62</f>
        <v>49462.28</v>
      </c>
      <c r="F63" s="22">
        <f>F56+F62</f>
        <v>0</v>
      </c>
      <c r="G63" s="22">
        <f>G56+G62</f>
        <v>55608.72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1753032.57</v>
      </c>
      <c r="D66" s="24" t="s">
        <v>288</v>
      </c>
      <c r="E66" s="24" t="s">
        <v>288</v>
      </c>
      <c r="F66" s="24" t="s">
        <v>288</v>
      </c>
      <c r="G66" s="24" t="s">
        <v>288</v>
      </c>
      <c r="H66"/>
      <c r="I66"/>
    </row>
    <row r="67" spans="1:9" x14ac:dyDescent="0.2">
      <c r="A67" s="1" t="s">
        <v>770</v>
      </c>
      <c r="B67" s="6">
        <v>3112</v>
      </c>
      <c r="C67" s="95">
        <f>'DOE25'!F118</f>
        <v>1427280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3180312.5700000003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260491.55</v>
      </c>
      <c r="D75" s="24" t="s">
        <v>288</v>
      </c>
      <c r="E75" s="24" t="s">
        <v>288</v>
      </c>
      <c r="F75" s="24" t="s">
        <v>288</v>
      </c>
      <c r="G75" s="24" t="s">
        <v>288</v>
      </c>
      <c r="H75"/>
      <c r="I75"/>
    </row>
    <row r="76" spans="1:9" x14ac:dyDescent="0.2">
      <c r="A76" s="1" t="s">
        <v>257</v>
      </c>
      <c r="B76" s="6" t="s">
        <v>179</v>
      </c>
      <c r="C76" s="95">
        <f>SUM('DOE25'!F127:F130)</f>
        <v>1502.29</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1530.87</v>
      </c>
      <c r="E77" s="95">
        <f>SUM('DOE25'!H131:H135)</f>
        <v>0</v>
      </c>
      <c r="F77" s="95">
        <f>SUM('DOE25'!I131:I135)</f>
        <v>0</v>
      </c>
      <c r="G77" s="95">
        <f>SUM('DOE25'!J131:J135)</f>
        <v>0</v>
      </c>
      <c r="H77"/>
      <c r="I77"/>
    </row>
    <row r="78" spans="1:9" ht="12.75" thickTop="1" thickBot="1" x14ac:dyDescent="0.25">
      <c r="A78" s="29" t="s">
        <v>259</v>
      </c>
      <c r="B78" s="6"/>
      <c r="C78" s="130">
        <f>SUM(C72:C77)</f>
        <v>261993.84</v>
      </c>
      <c r="D78" s="130">
        <f>SUM(D72:D77)</f>
        <v>1530.87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3442306.41</v>
      </c>
      <c r="D81" s="130">
        <f>SUM(D79:D80)+D78+D70</f>
        <v>1530.87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57733.13</v>
      </c>
      <c r="D88" s="331">
        <f>SUM('DOE25'!G153:G162)</f>
        <v>73338.240000000005</v>
      </c>
      <c r="E88" s="331">
        <f>SUM('DOE25'!H153:H162)</f>
        <v>409570.10000000003</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57733.13</v>
      </c>
      <c r="D91" s="131">
        <f>SUM(D85:D90)</f>
        <v>73338.240000000005</v>
      </c>
      <c r="E91" s="131">
        <f>SUM(E85:E90)</f>
        <v>409570.10000000003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189558.69</v>
      </c>
      <c r="E96" s="95">
        <f>'DOE25'!H180</f>
        <v>0</v>
      </c>
      <c r="F96" s="95">
        <f>'DOE25'!I180</f>
        <v>0</v>
      </c>
      <c r="G96" s="95">
        <f>'DOE25'!J180</f>
        <v>100000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189558.69</v>
      </c>
      <c r="E103" s="86">
        <f>SUM(E93:E102)</f>
        <v>0</v>
      </c>
      <c r="F103" s="86">
        <f>SUM(F93:F102)</f>
        <v>0</v>
      </c>
      <c r="G103" s="86">
        <f>SUM(G93:G102)</f>
        <v>100000</v>
      </c>
    </row>
    <row r="104" spans="1:7" ht="12.75" thickTop="1" thickBot="1" x14ac:dyDescent="0.25">
      <c r="A104" s="33" t="s">
        <v>761</v>
      </c>
      <c r="C104" s="86">
        <f>C63+C81+C91+C103</f>
        <v>18380083.349999998</v>
      </c>
      <c r="D104" s="86">
        <f>D63+D81+D91+D103</f>
        <v>325908.61</v>
      </c>
      <c r="E104" s="86">
        <f>E63+E81+E91+E103</f>
        <v>459032.38</v>
      </c>
      <c r="F104" s="86">
        <f>F63+F81+F91+F103</f>
        <v>0</v>
      </c>
      <c r="G104" s="86">
        <f>G63+G81+G103</f>
        <v>155608.72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6835491.5899999999</v>
      </c>
      <c r="D109" s="24" t="s">
        <v>288</v>
      </c>
      <c r="E109" s="95">
        <f>('DOE25'!L277)+('DOE25'!L296)+('DOE25'!L315)</f>
        <v>22787.279999999999</v>
      </c>
      <c r="F109" s="24" t="s">
        <v>288</v>
      </c>
      <c r="G109" s="24" t="s">
        <v>288</v>
      </c>
    </row>
    <row r="110" spans="1:7" x14ac:dyDescent="0.2">
      <c r="A110" t="s">
        <v>198</v>
      </c>
      <c r="B110" s="32" t="s">
        <v>199</v>
      </c>
      <c r="C110" s="95">
        <f>('DOE25'!L199)+('DOE25'!L217)+('DOE25'!L235)</f>
        <v>3027902.2100000004</v>
      </c>
      <c r="D110" s="24" t="s">
        <v>288</v>
      </c>
      <c r="E110" s="95">
        <f>('DOE25'!L278)+('DOE25'!L297)+('DOE25'!L316)</f>
        <v>189570.47</v>
      </c>
      <c r="F110" s="24" t="s">
        <v>288</v>
      </c>
      <c r="G110" s="24" t="s">
        <v>288</v>
      </c>
    </row>
    <row r="111" spans="1:7" x14ac:dyDescent="0.2">
      <c r="A111" t="s">
        <v>200</v>
      </c>
      <c r="B111" s="32" t="s">
        <v>165</v>
      </c>
      <c r="C111" s="95">
        <f>('DOE25'!L200)+('DOE25'!L218)+('DOE25'!L236)</f>
        <v>13415.24</v>
      </c>
      <c r="D111" s="24" t="s">
        <v>288</v>
      </c>
      <c r="E111" s="95">
        <f>('DOE25'!L279)+('DOE25'!L298)+('DOE25'!L317)</f>
        <v>0</v>
      </c>
      <c r="F111" s="24" t="s">
        <v>288</v>
      </c>
      <c r="G111" s="24" t="s">
        <v>288</v>
      </c>
    </row>
    <row r="112" spans="1:7" x14ac:dyDescent="0.2">
      <c r="A112" t="s">
        <v>201</v>
      </c>
      <c r="B112" s="32" t="s">
        <v>167</v>
      </c>
      <c r="C112" s="95">
        <f>('DOE25'!L201)+('DOE25'!L219)+('DOE25'!L237)</f>
        <v>621338.83000000007</v>
      </c>
      <c r="D112" s="24" t="s">
        <v>288</v>
      </c>
      <c r="E112" s="95">
        <f>+('DOE25'!L280)+('DOE25'!L299)+('DOE25'!L318)</f>
        <v>1532.01</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10498147.870000001</v>
      </c>
      <c r="D115" s="86">
        <f>SUM(D109:D114)</f>
        <v>0</v>
      </c>
      <c r="E115" s="86">
        <f>SUM(E109:E114)</f>
        <v>213889.76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1880648.3</v>
      </c>
      <c r="D118" s="24" t="s">
        <v>288</v>
      </c>
      <c r="E118" s="95">
        <f>+('DOE25'!L282)+('DOE25'!L301)+('DOE25'!L320)</f>
        <v>21729.100000000002</v>
      </c>
      <c r="F118" s="24" t="s">
        <v>288</v>
      </c>
      <c r="G118" s="24" t="s">
        <v>288</v>
      </c>
    </row>
    <row r="119" spans="1:7" x14ac:dyDescent="0.2">
      <c r="A119" t="s">
        <v>208</v>
      </c>
      <c r="B119" s="32" t="s">
        <v>209</v>
      </c>
      <c r="C119" s="95">
        <f>('DOE25'!L204)+('DOE25'!L222)+('DOE25'!L240)</f>
        <v>419935.20999999996</v>
      </c>
      <c r="D119" s="24" t="s">
        <v>288</v>
      </c>
      <c r="E119" s="95">
        <f>+('DOE25'!L283)+('DOE25'!L302)+('DOE25'!L321)</f>
        <v>41910.480000000003</v>
      </c>
      <c r="F119" s="24" t="s">
        <v>288</v>
      </c>
      <c r="G119" s="24" t="s">
        <v>288</v>
      </c>
    </row>
    <row r="120" spans="1:7" x14ac:dyDescent="0.2">
      <c r="A120" t="s">
        <v>210</v>
      </c>
      <c r="B120" s="32" t="s">
        <v>211</v>
      </c>
      <c r="C120" s="95">
        <f>('DOE25'!L205)+('DOE25'!L223)+('DOE25'!L241)</f>
        <v>1107929.3800000001</v>
      </c>
      <c r="D120" s="24" t="s">
        <v>288</v>
      </c>
      <c r="E120" s="95">
        <f>+('DOE25'!L284)+('DOE25'!L303)+('DOE25'!L322)</f>
        <v>1940</v>
      </c>
      <c r="F120" s="24" t="s">
        <v>288</v>
      </c>
      <c r="G120" s="24" t="s">
        <v>288</v>
      </c>
    </row>
    <row r="121" spans="1:7" x14ac:dyDescent="0.2">
      <c r="A121" t="s">
        <v>212</v>
      </c>
      <c r="B121" s="32" t="s">
        <v>213</v>
      </c>
      <c r="C121" s="95">
        <f>('DOE25'!L206)+('DOE25'!L224)+('DOE25'!L242)</f>
        <v>738158.76000000013</v>
      </c>
      <c r="D121" s="24" t="s">
        <v>288</v>
      </c>
      <c r="E121" s="95">
        <f>+('DOE25'!L285)+('DOE25'!L304)+('DOE25'!L323)</f>
        <v>0</v>
      </c>
      <c r="F121" s="24" t="s">
        <v>288</v>
      </c>
      <c r="G121" s="24" t="s">
        <v>288</v>
      </c>
    </row>
    <row r="122" spans="1:7" x14ac:dyDescent="0.2">
      <c r="A122" t="s">
        <v>214</v>
      </c>
      <c r="B122" s="32" t="s">
        <v>215</v>
      </c>
      <c r="C122" s="95">
        <f>('DOE25'!L207)+('DOE25'!L225)+('DOE25'!L243)</f>
        <v>162</v>
      </c>
      <c r="D122" s="24" t="s">
        <v>288</v>
      </c>
      <c r="E122" s="95">
        <f>+('DOE25'!L286)+('DOE25'!L305)+('DOE25'!L324)</f>
        <v>0</v>
      </c>
      <c r="F122" s="24" t="s">
        <v>288</v>
      </c>
      <c r="G122" s="24" t="s">
        <v>288</v>
      </c>
    </row>
    <row r="123" spans="1:7" x14ac:dyDescent="0.2">
      <c r="A123" t="s">
        <v>216</v>
      </c>
      <c r="B123" s="32" t="s">
        <v>217</v>
      </c>
      <c r="C123" s="95">
        <f>('DOE25'!L208)+('DOE25'!L226)+('DOE25'!L244)</f>
        <v>1775772.45</v>
      </c>
      <c r="D123" s="24" t="s">
        <v>288</v>
      </c>
      <c r="E123" s="95">
        <f>+('DOE25'!L287)+('DOE25'!L306)+('DOE25'!L325)</f>
        <v>125560.88</v>
      </c>
      <c r="F123" s="24" t="s">
        <v>288</v>
      </c>
      <c r="G123" s="24" t="s">
        <v>288</v>
      </c>
    </row>
    <row r="124" spans="1:7" x14ac:dyDescent="0.2">
      <c r="A124" t="s">
        <v>218</v>
      </c>
      <c r="B124" s="32" t="s">
        <v>219</v>
      </c>
      <c r="C124" s="95">
        <f>('DOE25'!L209)+('DOE25'!L227)+('DOE25'!L245+'DOE25'!L255)</f>
        <v>415038.89</v>
      </c>
      <c r="D124" s="24" t="s">
        <v>288</v>
      </c>
      <c r="E124" s="95">
        <f>+('DOE25'!L288)+('DOE25'!L307)+('DOE25'!L326)</f>
        <v>13730.28</v>
      </c>
      <c r="F124" s="24" t="s">
        <v>288</v>
      </c>
      <c r="G124" s="24" t="s">
        <v>288</v>
      </c>
    </row>
    <row r="125" spans="1:7" x14ac:dyDescent="0.2">
      <c r="A125" t="s">
        <v>220</v>
      </c>
      <c r="B125" s="32" t="s">
        <v>221</v>
      </c>
      <c r="C125" s="95">
        <f>('DOE25'!L210)+('DOE25'!L228)+('DOE25'!L246)</f>
        <v>310660.05</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325908.61000000004</v>
      </c>
      <c r="E127" s="24" t="s">
        <v>288</v>
      </c>
      <c r="F127" s="24" t="s">
        <v>288</v>
      </c>
      <c r="G127" s="24" t="s">
        <v>288</v>
      </c>
    </row>
    <row r="128" spans="1:7" ht="12.75" thickTop="1" thickBot="1" x14ac:dyDescent="0.25">
      <c r="A128" s="33" t="s">
        <v>226</v>
      </c>
      <c r="C128" s="86">
        <f>SUM(C118:C127)</f>
        <v>6648305.0399999991</v>
      </c>
      <c r="D128" s="86">
        <f>SUM(D118:D127)</f>
        <v>325908.61000000004</v>
      </c>
      <c r="E128" s="86">
        <f>SUM(E118:E127)</f>
        <v>204870.74000000002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155000</v>
      </c>
      <c r="D131" s="24" t="s">
        <v>288</v>
      </c>
      <c r="E131" s="129">
        <f>'DOE25'!L342</f>
        <v>0</v>
      </c>
      <c r="F131" s="24" t="s">
        <v>288</v>
      </c>
      <c r="G131" s="24" t="s">
        <v>288</v>
      </c>
    </row>
    <row r="132" spans="1:7" x14ac:dyDescent="0.2">
      <c r="A132" t="s">
        <v>230</v>
      </c>
      <c r="B132" s="32">
        <v>5120</v>
      </c>
      <c r="C132" s="95">
        <f>'DOE25'!L262</f>
        <v>4146.25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189558.69</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155608.71999999997</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-55608.719999999972</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448704.94</v>
      </c>
      <c r="D144" s="141">
        <f>SUM(D130:D143)</f>
        <v>0</v>
      </c>
      <c r="E144" s="141">
        <f>SUM(E130:E143)</f>
        <v>0</v>
      </c>
      <c r="F144" s="141">
        <f>SUM(F130:F143)</f>
        <v>0</v>
      </c>
      <c r="G144" s="141">
        <f>SUM(G130:G143)</f>
        <v>0</v>
      </c>
    </row>
    <row r="145" spans="1:9" ht="12.75" thickTop="1" thickBot="1" x14ac:dyDescent="0.25">
      <c r="A145" s="33" t="s">
        <v>244</v>
      </c>
      <c r="C145" s="86">
        <f>(C115+C128+C144)</f>
        <v>17595157.850000001</v>
      </c>
      <c r="D145" s="86">
        <f>(D115+D128+D144)</f>
        <v>325908.61000000004</v>
      </c>
      <c r="E145" s="86">
        <f>(E115+E128+E144)</f>
        <v>418760.5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7</v>
      </c>
      <c r="C151" s="153">
        <f>'DOE25'!G491</f>
        <v>0</v>
      </c>
      <c r="D151" s="153">
        <f>'DOE25'!H491</f>
        <v>0</v>
      </c>
      <c r="E151" s="153">
        <f>'DOE25'!I491</f>
        <v>0</v>
      </c>
      <c r="F151" s="153">
        <f>'DOE25'!J491</f>
        <v>0</v>
      </c>
      <c r="G151" s="24" t="s">
        <v>288</v>
      </c>
    </row>
    <row r="152" spans="1:9" x14ac:dyDescent="0.2">
      <c r="A152" s="136" t="s">
        <v>28</v>
      </c>
      <c r="B152" s="152" t="str">
        <f>'DOE25'!F492</f>
        <v>07/13</v>
      </c>
      <c r="C152" s="152">
        <f>'DOE25'!G492</f>
        <v>0</v>
      </c>
      <c r="D152" s="152">
        <f>'DOE25'!H492</f>
        <v>0</v>
      </c>
      <c r="E152" s="152">
        <f>'DOE25'!I492</f>
        <v>0</v>
      </c>
      <c r="F152" s="152">
        <f>'DOE25'!J492</f>
        <v>0</v>
      </c>
      <c r="G152" s="24" t="s">
        <v>288</v>
      </c>
    </row>
    <row r="153" spans="1:9" x14ac:dyDescent="0.2">
      <c r="A153" s="136" t="s">
        <v>29</v>
      </c>
      <c r="B153" s="152" t="str">
        <f>'DOE25'!F493</f>
        <v>08/20</v>
      </c>
      <c r="C153" s="152">
        <f>'DOE25'!G493</f>
        <v>0</v>
      </c>
      <c r="D153" s="152">
        <f>'DOE25'!H493</f>
        <v>0</v>
      </c>
      <c r="E153" s="152">
        <f>'DOE25'!I493</f>
        <v>0</v>
      </c>
      <c r="F153" s="152">
        <f>'DOE25'!J493</f>
        <v>0</v>
      </c>
      <c r="G153" s="24" t="s">
        <v>288</v>
      </c>
    </row>
    <row r="154" spans="1:9" x14ac:dyDescent="0.2">
      <c r="A154" s="136" t="s">
        <v>30</v>
      </c>
      <c r="B154" s="137">
        <f>'DOE25'!F494</f>
        <v>1090000</v>
      </c>
      <c r="C154" s="137">
        <f>'DOE25'!G494</f>
        <v>0</v>
      </c>
      <c r="D154" s="137">
        <f>'DOE25'!H494</f>
        <v>0</v>
      </c>
      <c r="E154" s="137">
        <f>'DOE25'!I494</f>
        <v>0</v>
      </c>
      <c r="F154" s="137">
        <f>'DOE25'!J494</f>
        <v>0</v>
      </c>
      <c r="G154" s="24" t="s">
        <v>288</v>
      </c>
    </row>
    <row r="155" spans="1:9" x14ac:dyDescent="0.2">
      <c r="A155" s="136" t="s">
        <v>31</v>
      </c>
      <c r="B155" s="137">
        <f>'DOE25'!F495</f>
        <v>2.14</v>
      </c>
      <c r="C155" s="137">
        <f>'DOE25'!G495</f>
        <v>0</v>
      </c>
      <c r="D155" s="137">
        <f>'DOE25'!H495</f>
        <v>0</v>
      </c>
      <c r="E155" s="137">
        <f>'DOE25'!I495</f>
        <v>0</v>
      </c>
      <c r="F155" s="137">
        <f>'DOE25'!J495</f>
        <v>0</v>
      </c>
      <c r="G155" s="24" t="s">
        <v>288</v>
      </c>
    </row>
    <row r="156" spans="1:9" x14ac:dyDescent="0.2">
      <c r="A156" s="22" t="s">
        <v>32</v>
      </c>
      <c r="B156" s="137">
        <f>'DOE25'!F496</f>
        <v>155000</v>
      </c>
      <c r="C156" s="137">
        <f>'DOE25'!G496</f>
        <v>0</v>
      </c>
      <c r="D156" s="137">
        <f>'DOE25'!H496</f>
        <v>0</v>
      </c>
      <c r="E156" s="137">
        <f>'DOE25'!I496</f>
        <v>0</v>
      </c>
      <c r="F156" s="137">
        <f>'DOE25'!J496</f>
        <v>0</v>
      </c>
      <c r="G156" s="138">
        <f>SUM(B156:F156)</f>
        <v>155000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155000</v>
      </c>
      <c r="C158" s="137">
        <f>'DOE25'!G498</f>
        <v>0</v>
      </c>
      <c r="D158" s="137">
        <f>'DOE25'!H498</f>
        <v>0</v>
      </c>
      <c r="E158" s="137">
        <f>'DOE25'!I498</f>
        <v>0</v>
      </c>
      <c r="F158" s="137">
        <f>'DOE25'!J498</f>
        <v>0</v>
      </c>
      <c r="G158" s="138">
        <f t="shared" si="0"/>
        <v>155000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 xml:space="preserve">SOUHEGAN COOPERATIVE SCHOOL DISTRICT </v>
      </c>
    </row>
    <row r="3" spans="1:4" x14ac:dyDescent="0.2">
      <c r="B3" s="188" t="s">
        <v>1666</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23279</v>
      </c>
    </row>
    <row r="7" spans="1:4" x14ac:dyDescent="0.2">
      <c r="B7" t="s">
        <v>701</v>
      </c>
      <c r="C7" s="179">
        <f>IF('DOE25'!I666+'DOE25'!I671=0,0,ROUND('DOE25'!I673,0))</f>
        <v>23279</v>
      </c>
    </row>
    <row r="9" spans="1:4" x14ac:dyDescent="0.2">
      <c r="A9" s="187" t="s">
        <v>94</v>
      </c>
      <c r="B9" s="188" t="s">
        <v>1671</v>
      </c>
      <c r="C9" s="181" t="s">
        <v>720</v>
      </c>
      <c r="D9" s="181" t="s">
        <v>721</v>
      </c>
    </row>
    <row r="10" spans="1:4" x14ac:dyDescent="0.2">
      <c r="A10">
        <v>1100</v>
      </c>
      <c r="B10" t="s">
        <v>702</v>
      </c>
      <c r="C10" s="179">
        <f>ROUND('DOE25'!L198+'DOE25'!L216+'DOE25'!L234+'DOE25'!L277+'DOE25'!L296+'DOE25'!L315,0)</f>
        <v>6858279</v>
      </c>
      <c r="D10" s="182">
        <f>ROUND((C10/$C$28)*100,1)</f>
        <v>38.5</v>
      </c>
    </row>
    <row r="11" spans="1:4" x14ac:dyDescent="0.2">
      <c r="A11">
        <v>1200</v>
      </c>
      <c r="B11" t="s">
        <v>703</v>
      </c>
      <c r="C11" s="179">
        <f>ROUND('DOE25'!L199+'DOE25'!L217+'DOE25'!L235+'DOE25'!L278+'DOE25'!L297+'DOE25'!L316,0)</f>
        <v>3217473</v>
      </c>
      <c r="D11" s="182">
        <f>ROUND((C11/$C$28)*100,1)</f>
        <v>18</v>
      </c>
    </row>
    <row r="12" spans="1:4" x14ac:dyDescent="0.2">
      <c r="A12">
        <v>1300</v>
      </c>
      <c r="B12" t="s">
        <v>704</v>
      </c>
      <c r="C12" s="179">
        <f>ROUND('DOE25'!L200+'DOE25'!L218+'DOE25'!L236+'DOE25'!L279+'DOE25'!L298+'DOE25'!L317,0)</f>
        <v>13415</v>
      </c>
      <c r="D12" s="182">
        <f>ROUND((C12/$C$28)*100,1)</f>
        <v>0.1</v>
      </c>
    </row>
    <row r="13" spans="1:4" x14ac:dyDescent="0.2">
      <c r="A13">
        <v>1400</v>
      </c>
      <c r="B13" t="s">
        <v>705</v>
      </c>
      <c r="C13" s="179">
        <f>ROUND('DOE25'!L201+'DOE25'!L219+'DOE25'!L237+'DOE25'!L280+'DOE25'!L299+'DOE25'!L318,0)</f>
        <v>622871</v>
      </c>
      <c r="D13" s="182">
        <f>ROUND((C13/$C$28)*100,1)</f>
        <v>3.5</v>
      </c>
    </row>
    <row r="14" spans="1:4" x14ac:dyDescent="0.2">
      <c r="D14" s="182"/>
    </row>
    <row r="15" spans="1:4" x14ac:dyDescent="0.2">
      <c r="A15">
        <v>2100</v>
      </c>
      <c r="B15" t="s">
        <v>706</v>
      </c>
      <c r="C15" s="179">
        <f>ROUND('DOE25'!L203+'DOE25'!L221+'DOE25'!L239+'DOE25'!L282+'DOE25'!L301+'DOE25'!L320,0)</f>
        <v>1902377</v>
      </c>
      <c r="D15" s="182">
        <f t="shared" ref="D15:D27" si="0">ROUND((C15/$C$28)*100,1)</f>
        <v>10.7</v>
      </c>
    </row>
    <row r="16" spans="1:4" x14ac:dyDescent="0.2">
      <c r="A16">
        <v>2200</v>
      </c>
      <c r="B16" t="s">
        <v>707</v>
      </c>
      <c r="C16" s="179">
        <f>ROUND('DOE25'!L204+'DOE25'!L222+'DOE25'!L240+'DOE25'!L283+'DOE25'!L302+'DOE25'!L321,0)</f>
        <v>461846</v>
      </c>
      <c r="D16" s="182">
        <f t="shared" si="0"/>
        <v>2.6</v>
      </c>
    </row>
    <row r="17" spans="1:4" x14ac:dyDescent="0.2">
      <c r="A17" s="183" t="s">
        <v>723</v>
      </c>
      <c r="B17" t="s">
        <v>738</v>
      </c>
      <c r="C17" s="179">
        <f>ROUND('DOE25'!L205+'DOE25'!L210+'DOE25'!L223+'DOE25'!L228+'DOE25'!L241+'DOE25'!L246+'DOE25'!L284+'DOE25'!L289+'DOE25'!L303+'DOE25'!L308+'DOE25'!L322+'DOE25'!L327,0)</f>
        <v>1420529</v>
      </c>
      <c r="D17" s="182">
        <f t="shared" si="0"/>
        <v>8</v>
      </c>
    </row>
    <row r="18" spans="1:4" x14ac:dyDescent="0.2">
      <c r="A18">
        <v>2400</v>
      </c>
      <c r="B18" t="s">
        <v>711</v>
      </c>
      <c r="C18" s="179">
        <f>ROUND('DOE25'!L206+'DOE25'!L224+'DOE25'!L242+'DOE25'!L285+'DOE25'!L304+'DOE25'!L323,0)</f>
        <v>738159</v>
      </c>
      <c r="D18" s="182">
        <f t="shared" si="0"/>
        <v>4.0999999999999996</v>
      </c>
    </row>
    <row r="19" spans="1:4" x14ac:dyDescent="0.2">
      <c r="A19">
        <v>2500</v>
      </c>
      <c r="B19" t="s">
        <v>708</v>
      </c>
      <c r="C19" s="179">
        <f>ROUND('DOE25'!L207+'DOE25'!L225+'DOE25'!L243+'DOE25'!L286+'DOE25'!L305+'DOE25'!L324,0)</f>
        <v>162</v>
      </c>
      <c r="D19" s="182">
        <f t="shared" si="0"/>
        <v>0</v>
      </c>
    </row>
    <row r="20" spans="1:4" x14ac:dyDescent="0.2">
      <c r="A20">
        <v>2600</v>
      </c>
      <c r="B20" t="s">
        <v>709</v>
      </c>
      <c r="C20" s="179">
        <f>ROUND('DOE25'!L208+'DOE25'!L226+'DOE25'!L244+'DOE25'!L287+'DOE25'!L306+'DOE25'!L325,0)</f>
        <v>1901333</v>
      </c>
      <c r="D20" s="182">
        <f t="shared" si="0"/>
        <v>10.7</v>
      </c>
    </row>
    <row r="21" spans="1:4" x14ac:dyDescent="0.2">
      <c r="A21">
        <v>2700</v>
      </c>
      <c r="B21" t="s">
        <v>710</v>
      </c>
      <c r="C21" s="179">
        <f>ROUND('DOE25'!L209+'DOE25'!L227+'DOE25'!L245+'DOE25'!L288+'DOE25'!L307+'DOE25'!L326,0)</f>
        <v>428769</v>
      </c>
      <c r="D21" s="182">
        <f t="shared" si="0"/>
        <v>2.4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4146</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264428.19</v>
      </c>
      <c r="D27" s="182">
        <f t="shared" si="0"/>
        <v>1.5</v>
      </c>
    </row>
    <row r="28" spans="1:4" x14ac:dyDescent="0.2">
      <c r="B28" s="187" t="s">
        <v>719</v>
      </c>
      <c r="C28" s="180">
        <f>SUM(C10:C27)</f>
        <v>17833787.190000001</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17833787.190000001</v>
      </c>
    </row>
    <row r="31" spans="1:4" x14ac:dyDescent="0.2">
      <c r="B31" s="33"/>
      <c r="C31" s="180"/>
    </row>
    <row r="32" spans="1:4" x14ac:dyDescent="0.2">
      <c r="A32">
        <v>5100</v>
      </c>
      <c r="B32" s="33" t="s">
        <v>726</v>
      </c>
      <c r="C32" s="180">
        <f>ROUND('DOE25'!L261+'DOE25'!L342,0)</f>
        <v>155000</v>
      </c>
    </row>
    <row r="34" spans="1:4" x14ac:dyDescent="0.2">
      <c r="A34" s="187" t="s">
        <v>94</v>
      </c>
      <c r="B34" s="188" t="s">
        <v>1667</v>
      </c>
      <c r="C34" s="181" t="s">
        <v>720</v>
      </c>
      <c r="D34" s="181" t="s">
        <v>721</v>
      </c>
    </row>
    <row r="35" spans="1:4" x14ac:dyDescent="0.2">
      <c r="A35">
        <v>1100</v>
      </c>
      <c r="B35" s="185" t="s">
        <v>727</v>
      </c>
      <c r="C35" s="179">
        <f>ROUND('DOE25'!F60+'DOE25'!G60+'DOE25'!H60+'DOE25'!I60+'DOE25'!J60,0)</f>
        <v>14598203</v>
      </c>
      <c r="D35" s="182">
        <f t="shared" ref="D35:D40" si="1">ROUND((C35/$C$41)*100,1)</f>
        <v>77</v>
      </c>
    </row>
    <row r="36" spans="1:4" x14ac:dyDescent="0.2">
      <c r="B36" s="185" t="s">
        <v>739</v>
      </c>
      <c r="C36" s="179">
        <f>SUM('DOE25'!F112:J112)-SUM('DOE25'!G97:G110)+('DOE25'!F175+'DOE25'!F176+'DOE25'!I175+'DOE25'!I176)-C35</f>
        <v>386911.81000000052</v>
      </c>
      <c r="D36" s="182">
        <f t="shared" si="1"/>
        <v>2</v>
      </c>
    </row>
    <row r="37" spans="1:4" x14ac:dyDescent="0.2">
      <c r="A37" s="183" t="s">
        <v>835</v>
      </c>
      <c r="B37" s="185" t="s">
        <v>728</v>
      </c>
      <c r="C37" s="179">
        <f>ROUND('DOE25'!F117+'DOE25'!F118,0)</f>
        <v>3180313</v>
      </c>
      <c r="D37" s="182">
        <f t="shared" si="1"/>
        <v>16.8</v>
      </c>
    </row>
    <row r="38" spans="1:4" x14ac:dyDescent="0.2">
      <c r="A38" s="183" t="s">
        <v>734</v>
      </c>
      <c r="B38" s="185" t="s">
        <v>729</v>
      </c>
      <c r="C38" s="179">
        <f>ROUND(SUM('DOE25'!F140:J140)-SUM('DOE25'!F117:F119),0)</f>
        <v>263525</v>
      </c>
      <c r="D38" s="182">
        <f t="shared" si="1"/>
        <v>1.4</v>
      </c>
    </row>
    <row r="39" spans="1:4" x14ac:dyDescent="0.2">
      <c r="A39">
        <v>4000</v>
      </c>
      <c r="B39" s="185" t="s">
        <v>730</v>
      </c>
      <c r="C39" s="179">
        <f>ROUND('DOE25'!F170+'DOE25'!G170+'DOE25'!H170+'DOE25'!I170,0)</f>
        <v>540641</v>
      </c>
      <c r="D39" s="182">
        <f t="shared" si="1"/>
        <v>2.9</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18969593.810000002</v>
      </c>
      <c r="D41" s="184">
        <f>SUM(D35:D40)</f>
        <v>100.10000000000001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5" sqref="C5:M5"/>
    </sheetView>
  </sheetViews>
  <sheetFormatPr defaultRowHeight="11.25" x14ac:dyDescent="0.2"/>
  <cols>
    <col min="1" max="1" width="10.33203125" customWidth="1"/>
    <col min="14" max="14" width="6.1640625" customWidth="1"/>
  </cols>
  <sheetData>
    <row r="1" spans="1:26" ht="16.5" thickTop="1" x14ac:dyDescent="0.25">
      <c r="A1" s="384" t="s">
        <v>766</v>
      </c>
      <c r="B1" s="385"/>
      <c r="C1" s="385"/>
      <c r="D1" s="385"/>
      <c r="E1" s="385"/>
      <c r="F1" s="385"/>
      <c r="G1" s="385"/>
      <c r="H1" s="385"/>
      <c r="I1" s="385"/>
      <c r="J1" s="213"/>
      <c r="K1" s="213"/>
      <c r="L1" s="213"/>
      <c r="M1" s="214"/>
    </row>
    <row r="2" spans="1:26" ht="12.75" x14ac:dyDescent="0.2">
      <c r="A2" s="390" t="s">
        <v>763</v>
      </c>
      <c r="B2" s="391"/>
      <c r="C2" s="391"/>
      <c r="D2" s="391"/>
      <c r="E2" s="391"/>
      <c r="F2" s="388" t="str">
        <f>'DOE25'!A2</f>
        <v xml:space="preserve">SOUHEGAN COOPERATIVE SCHOOL DISTRICT </v>
      </c>
      <c r="G2" s="389"/>
      <c r="H2" s="389"/>
      <c r="I2" s="389"/>
      <c r="J2" s="52"/>
      <c r="K2" s="52"/>
      <c r="L2" s="52"/>
      <c r="M2" s="215"/>
    </row>
    <row r="3" spans="1:26" x14ac:dyDescent="0.2">
      <c r="A3" s="216" t="s">
        <v>764</v>
      </c>
      <c r="B3" s="217" t="s">
        <v>765</v>
      </c>
      <c r="C3" s="386" t="s">
        <v>767</v>
      </c>
      <c r="D3" s="386"/>
      <c r="E3" s="386"/>
      <c r="F3" s="386"/>
      <c r="G3" s="386"/>
      <c r="H3" s="386"/>
      <c r="I3" s="386"/>
      <c r="J3" s="386"/>
      <c r="K3" s="386"/>
      <c r="L3" s="386"/>
      <c r="M3" s="387"/>
    </row>
    <row r="4" spans="1:26" x14ac:dyDescent="0.2">
      <c r="A4" s="218">
        <v>23</v>
      </c>
      <c r="B4" s="219">
        <v>3</v>
      </c>
      <c r="C4" s="375" t="s">
        <v>1676</v>
      </c>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81"/>
      <c r="Q29" s="381"/>
      <c r="R29" s="381"/>
      <c r="S29" s="381"/>
      <c r="T29" s="381"/>
      <c r="U29" s="381"/>
      <c r="V29" s="381"/>
      <c r="W29" s="381"/>
      <c r="X29" s="381"/>
      <c r="Y29" s="381"/>
      <c r="Z29" s="381"/>
      <c r="AA29" s="207"/>
      <c r="AB29" s="207"/>
      <c r="AC29" s="380"/>
      <c r="AD29" s="380"/>
      <c r="AE29" s="380"/>
      <c r="AF29" s="380"/>
      <c r="AG29" s="380"/>
      <c r="AH29" s="380"/>
      <c r="AI29" s="380"/>
      <c r="AJ29" s="380"/>
      <c r="AK29" s="380"/>
      <c r="AL29" s="380"/>
      <c r="AM29" s="380"/>
      <c r="AN29" s="207"/>
      <c r="AO29" s="207"/>
      <c r="AP29" s="380"/>
      <c r="AQ29" s="380"/>
      <c r="AR29" s="380"/>
      <c r="AS29" s="380"/>
      <c r="AT29" s="380"/>
      <c r="AU29" s="380"/>
      <c r="AV29" s="380"/>
      <c r="AW29" s="380"/>
      <c r="AX29" s="380"/>
      <c r="AY29" s="380"/>
      <c r="AZ29" s="380"/>
      <c r="BA29" s="207"/>
      <c r="BB29" s="207"/>
      <c r="BC29" s="380"/>
      <c r="BD29" s="380"/>
      <c r="BE29" s="380"/>
      <c r="BF29" s="380"/>
      <c r="BG29" s="380"/>
      <c r="BH29" s="380"/>
      <c r="BI29" s="380"/>
      <c r="BJ29" s="380"/>
      <c r="BK29" s="380"/>
      <c r="BL29" s="380"/>
      <c r="BM29" s="380"/>
      <c r="BN29" s="207"/>
      <c r="BO29" s="207"/>
      <c r="BP29" s="380"/>
      <c r="BQ29" s="380"/>
      <c r="BR29" s="380"/>
      <c r="BS29" s="380"/>
      <c r="BT29" s="380"/>
      <c r="BU29" s="380"/>
      <c r="BV29" s="380"/>
      <c r="BW29" s="380"/>
      <c r="BX29" s="380"/>
      <c r="BY29" s="380"/>
      <c r="BZ29" s="380"/>
      <c r="CA29" s="207"/>
      <c r="CB29" s="207"/>
      <c r="CC29" s="380"/>
      <c r="CD29" s="380"/>
      <c r="CE29" s="380"/>
      <c r="CF29" s="380"/>
      <c r="CG29" s="380"/>
      <c r="CH29" s="380"/>
      <c r="CI29" s="380"/>
      <c r="CJ29" s="380"/>
      <c r="CK29" s="380"/>
      <c r="CL29" s="380"/>
      <c r="CM29" s="380"/>
      <c r="CN29" s="207"/>
      <c r="CO29" s="207"/>
      <c r="CP29" s="380"/>
      <c r="CQ29" s="380"/>
      <c r="CR29" s="380"/>
      <c r="CS29" s="380"/>
      <c r="CT29" s="380"/>
      <c r="CU29" s="380"/>
      <c r="CV29" s="380"/>
      <c r="CW29" s="380"/>
      <c r="CX29" s="380"/>
      <c r="CY29" s="380"/>
      <c r="CZ29" s="380"/>
      <c r="DA29" s="207"/>
      <c r="DB29" s="207"/>
      <c r="DC29" s="380"/>
      <c r="DD29" s="380"/>
      <c r="DE29" s="380"/>
      <c r="DF29" s="380"/>
      <c r="DG29" s="380"/>
      <c r="DH29" s="380"/>
      <c r="DI29" s="380"/>
      <c r="DJ29" s="380"/>
      <c r="DK29" s="380"/>
      <c r="DL29" s="380"/>
      <c r="DM29" s="380"/>
      <c r="DN29" s="207"/>
      <c r="DO29" s="207"/>
      <c r="DP29" s="380"/>
      <c r="DQ29" s="380"/>
      <c r="DR29" s="380"/>
      <c r="DS29" s="380"/>
      <c r="DT29" s="380"/>
      <c r="DU29" s="380"/>
      <c r="DV29" s="380"/>
      <c r="DW29" s="380"/>
      <c r="DX29" s="380"/>
      <c r="DY29" s="380"/>
      <c r="DZ29" s="380"/>
      <c r="EA29" s="207"/>
      <c r="EB29" s="207"/>
      <c r="EC29" s="380"/>
      <c r="ED29" s="380"/>
      <c r="EE29" s="380"/>
      <c r="EF29" s="380"/>
      <c r="EG29" s="380"/>
      <c r="EH29" s="380"/>
      <c r="EI29" s="380"/>
      <c r="EJ29" s="380"/>
      <c r="EK29" s="380"/>
      <c r="EL29" s="380"/>
      <c r="EM29" s="380"/>
      <c r="EN29" s="207"/>
      <c r="EO29" s="207"/>
      <c r="EP29" s="380"/>
      <c r="EQ29" s="380"/>
      <c r="ER29" s="380"/>
      <c r="ES29" s="380"/>
      <c r="ET29" s="380"/>
      <c r="EU29" s="380"/>
      <c r="EV29" s="380"/>
      <c r="EW29" s="380"/>
      <c r="EX29" s="380"/>
      <c r="EY29" s="380"/>
      <c r="EZ29" s="380"/>
      <c r="FA29" s="207"/>
      <c r="FB29" s="207"/>
      <c r="FC29" s="380"/>
      <c r="FD29" s="380"/>
      <c r="FE29" s="380"/>
      <c r="FF29" s="380"/>
      <c r="FG29" s="380"/>
      <c r="FH29" s="380"/>
      <c r="FI29" s="380"/>
      <c r="FJ29" s="380"/>
      <c r="FK29" s="380"/>
      <c r="FL29" s="380"/>
      <c r="FM29" s="380"/>
      <c r="FN29" s="207"/>
      <c r="FO29" s="207"/>
      <c r="FP29" s="380"/>
      <c r="FQ29" s="380"/>
      <c r="FR29" s="380"/>
      <c r="FS29" s="380"/>
      <c r="FT29" s="380"/>
      <c r="FU29" s="380"/>
      <c r="FV29" s="380"/>
      <c r="FW29" s="380"/>
      <c r="FX29" s="380"/>
      <c r="FY29" s="380"/>
      <c r="FZ29" s="380"/>
      <c r="GA29" s="207"/>
      <c r="GB29" s="207"/>
      <c r="GC29" s="380"/>
      <c r="GD29" s="380"/>
      <c r="GE29" s="380"/>
      <c r="GF29" s="380"/>
      <c r="GG29" s="380"/>
      <c r="GH29" s="380"/>
      <c r="GI29" s="380"/>
      <c r="GJ29" s="380"/>
      <c r="GK29" s="380"/>
      <c r="GL29" s="380"/>
      <c r="GM29" s="380"/>
      <c r="GN29" s="207"/>
      <c r="GO29" s="207"/>
      <c r="GP29" s="380"/>
      <c r="GQ29" s="380"/>
      <c r="GR29" s="380"/>
      <c r="GS29" s="380"/>
      <c r="GT29" s="380"/>
      <c r="GU29" s="380"/>
      <c r="GV29" s="380"/>
      <c r="GW29" s="380"/>
      <c r="GX29" s="380"/>
      <c r="GY29" s="380"/>
      <c r="GZ29" s="380"/>
      <c r="HA29" s="207"/>
      <c r="HB29" s="207"/>
      <c r="HC29" s="380"/>
      <c r="HD29" s="380"/>
      <c r="HE29" s="380"/>
      <c r="HF29" s="380"/>
      <c r="HG29" s="380"/>
      <c r="HH29" s="380"/>
      <c r="HI29" s="380"/>
      <c r="HJ29" s="380"/>
      <c r="HK29" s="380"/>
      <c r="HL29" s="380"/>
      <c r="HM29" s="380"/>
      <c r="HN29" s="207"/>
      <c r="HO29" s="207"/>
      <c r="HP29" s="380"/>
      <c r="HQ29" s="380"/>
      <c r="HR29" s="380"/>
      <c r="HS29" s="380"/>
      <c r="HT29" s="380"/>
      <c r="HU29" s="380"/>
      <c r="HV29" s="380"/>
      <c r="HW29" s="380"/>
      <c r="HX29" s="380"/>
      <c r="HY29" s="380"/>
      <c r="HZ29" s="380"/>
      <c r="IA29" s="207"/>
      <c r="IB29" s="207"/>
      <c r="IC29" s="380"/>
      <c r="ID29" s="380"/>
      <c r="IE29" s="380"/>
      <c r="IF29" s="380"/>
      <c r="IG29" s="380"/>
      <c r="IH29" s="380"/>
      <c r="II29" s="380"/>
      <c r="IJ29" s="380"/>
      <c r="IK29" s="380"/>
      <c r="IL29" s="380"/>
      <c r="IM29" s="380"/>
      <c r="IN29" s="207"/>
      <c r="IO29" s="207"/>
      <c r="IP29" s="380"/>
      <c r="IQ29" s="380"/>
      <c r="IR29" s="380"/>
      <c r="IS29" s="380"/>
      <c r="IT29" s="380"/>
      <c r="IU29" s="380"/>
      <c r="IV29" s="380"/>
    </row>
    <row r="30" spans="1:256" x14ac:dyDescent="0.2">
      <c r="A30" s="218"/>
      <c r="B30" s="219"/>
      <c r="C30" s="375"/>
      <c r="D30" s="375"/>
      <c r="E30" s="375"/>
      <c r="F30" s="375"/>
      <c r="G30" s="375"/>
      <c r="H30" s="375"/>
      <c r="I30" s="375"/>
      <c r="J30" s="375"/>
      <c r="K30" s="375"/>
      <c r="L30" s="375"/>
      <c r="M30" s="376"/>
      <c r="N30" s="211"/>
      <c r="O30" s="211"/>
      <c r="P30" s="381"/>
      <c r="Q30" s="381"/>
      <c r="R30" s="381"/>
      <c r="S30" s="381"/>
      <c r="T30" s="381"/>
      <c r="U30" s="381"/>
      <c r="V30" s="381"/>
      <c r="W30" s="381"/>
      <c r="X30" s="381"/>
      <c r="Y30" s="381"/>
      <c r="Z30" s="381"/>
      <c r="AA30" s="207"/>
      <c r="AB30" s="207"/>
      <c r="AC30" s="380"/>
      <c r="AD30" s="380"/>
      <c r="AE30" s="380"/>
      <c r="AF30" s="380"/>
      <c r="AG30" s="380"/>
      <c r="AH30" s="380"/>
      <c r="AI30" s="380"/>
      <c r="AJ30" s="380"/>
      <c r="AK30" s="380"/>
      <c r="AL30" s="380"/>
      <c r="AM30" s="380"/>
      <c r="AN30" s="207"/>
      <c r="AO30" s="207"/>
      <c r="AP30" s="380"/>
      <c r="AQ30" s="380"/>
      <c r="AR30" s="380"/>
      <c r="AS30" s="380"/>
      <c r="AT30" s="380"/>
      <c r="AU30" s="380"/>
      <c r="AV30" s="380"/>
      <c r="AW30" s="380"/>
      <c r="AX30" s="380"/>
      <c r="AY30" s="380"/>
      <c r="AZ30" s="380"/>
      <c r="BA30" s="207"/>
      <c r="BB30" s="207"/>
      <c r="BC30" s="380"/>
      <c r="BD30" s="380"/>
      <c r="BE30" s="380"/>
      <c r="BF30" s="380"/>
      <c r="BG30" s="380"/>
      <c r="BH30" s="380"/>
      <c r="BI30" s="380"/>
      <c r="BJ30" s="380"/>
      <c r="BK30" s="380"/>
      <c r="BL30" s="380"/>
      <c r="BM30" s="380"/>
      <c r="BN30" s="207"/>
      <c r="BO30" s="207"/>
      <c r="BP30" s="380"/>
      <c r="BQ30" s="380"/>
      <c r="BR30" s="380"/>
      <c r="BS30" s="380"/>
      <c r="BT30" s="380"/>
      <c r="BU30" s="380"/>
      <c r="BV30" s="380"/>
      <c r="BW30" s="380"/>
      <c r="BX30" s="380"/>
      <c r="BY30" s="380"/>
      <c r="BZ30" s="380"/>
      <c r="CA30" s="207"/>
      <c r="CB30" s="207"/>
      <c r="CC30" s="380"/>
      <c r="CD30" s="380"/>
      <c r="CE30" s="380"/>
      <c r="CF30" s="380"/>
      <c r="CG30" s="380"/>
      <c r="CH30" s="380"/>
      <c r="CI30" s="380"/>
      <c r="CJ30" s="380"/>
      <c r="CK30" s="380"/>
      <c r="CL30" s="380"/>
      <c r="CM30" s="380"/>
      <c r="CN30" s="207"/>
      <c r="CO30" s="207"/>
      <c r="CP30" s="380"/>
      <c r="CQ30" s="380"/>
      <c r="CR30" s="380"/>
      <c r="CS30" s="380"/>
      <c r="CT30" s="380"/>
      <c r="CU30" s="380"/>
      <c r="CV30" s="380"/>
      <c r="CW30" s="380"/>
      <c r="CX30" s="380"/>
      <c r="CY30" s="380"/>
      <c r="CZ30" s="380"/>
      <c r="DA30" s="207"/>
      <c r="DB30" s="207"/>
      <c r="DC30" s="380"/>
      <c r="DD30" s="380"/>
      <c r="DE30" s="380"/>
      <c r="DF30" s="380"/>
      <c r="DG30" s="380"/>
      <c r="DH30" s="380"/>
      <c r="DI30" s="380"/>
      <c r="DJ30" s="380"/>
      <c r="DK30" s="380"/>
      <c r="DL30" s="380"/>
      <c r="DM30" s="380"/>
      <c r="DN30" s="207"/>
      <c r="DO30" s="207"/>
      <c r="DP30" s="380"/>
      <c r="DQ30" s="380"/>
      <c r="DR30" s="380"/>
      <c r="DS30" s="380"/>
      <c r="DT30" s="380"/>
      <c r="DU30" s="380"/>
      <c r="DV30" s="380"/>
      <c r="DW30" s="380"/>
      <c r="DX30" s="380"/>
      <c r="DY30" s="380"/>
      <c r="DZ30" s="380"/>
      <c r="EA30" s="207"/>
      <c r="EB30" s="207"/>
      <c r="EC30" s="380"/>
      <c r="ED30" s="380"/>
      <c r="EE30" s="380"/>
      <c r="EF30" s="380"/>
      <c r="EG30" s="380"/>
      <c r="EH30" s="380"/>
      <c r="EI30" s="380"/>
      <c r="EJ30" s="380"/>
      <c r="EK30" s="380"/>
      <c r="EL30" s="380"/>
      <c r="EM30" s="380"/>
      <c r="EN30" s="207"/>
      <c r="EO30" s="207"/>
      <c r="EP30" s="380"/>
      <c r="EQ30" s="380"/>
      <c r="ER30" s="380"/>
      <c r="ES30" s="380"/>
      <c r="ET30" s="380"/>
      <c r="EU30" s="380"/>
      <c r="EV30" s="380"/>
      <c r="EW30" s="380"/>
      <c r="EX30" s="380"/>
      <c r="EY30" s="380"/>
      <c r="EZ30" s="380"/>
      <c r="FA30" s="207"/>
      <c r="FB30" s="207"/>
      <c r="FC30" s="380"/>
      <c r="FD30" s="380"/>
      <c r="FE30" s="380"/>
      <c r="FF30" s="380"/>
      <c r="FG30" s="380"/>
      <c r="FH30" s="380"/>
      <c r="FI30" s="380"/>
      <c r="FJ30" s="380"/>
      <c r="FK30" s="380"/>
      <c r="FL30" s="380"/>
      <c r="FM30" s="380"/>
      <c r="FN30" s="207"/>
      <c r="FO30" s="207"/>
      <c r="FP30" s="380"/>
      <c r="FQ30" s="380"/>
      <c r="FR30" s="380"/>
      <c r="FS30" s="380"/>
      <c r="FT30" s="380"/>
      <c r="FU30" s="380"/>
      <c r="FV30" s="380"/>
      <c r="FW30" s="380"/>
      <c r="FX30" s="380"/>
      <c r="FY30" s="380"/>
      <c r="FZ30" s="380"/>
      <c r="GA30" s="207"/>
      <c r="GB30" s="207"/>
      <c r="GC30" s="380"/>
      <c r="GD30" s="380"/>
      <c r="GE30" s="380"/>
      <c r="GF30" s="380"/>
      <c r="GG30" s="380"/>
      <c r="GH30" s="380"/>
      <c r="GI30" s="380"/>
      <c r="GJ30" s="380"/>
      <c r="GK30" s="380"/>
      <c r="GL30" s="380"/>
      <c r="GM30" s="380"/>
      <c r="GN30" s="207"/>
      <c r="GO30" s="207"/>
      <c r="GP30" s="380"/>
      <c r="GQ30" s="380"/>
      <c r="GR30" s="380"/>
      <c r="GS30" s="380"/>
      <c r="GT30" s="380"/>
      <c r="GU30" s="380"/>
      <c r="GV30" s="380"/>
      <c r="GW30" s="380"/>
      <c r="GX30" s="380"/>
      <c r="GY30" s="380"/>
      <c r="GZ30" s="380"/>
      <c r="HA30" s="207"/>
      <c r="HB30" s="207"/>
      <c r="HC30" s="380"/>
      <c r="HD30" s="380"/>
      <c r="HE30" s="380"/>
      <c r="HF30" s="380"/>
      <c r="HG30" s="380"/>
      <c r="HH30" s="380"/>
      <c r="HI30" s="380"/>
      <c r="HJ30" s="380"/>
      <c r="HK30" s="380"/>
      <c r="HL30" s="380"/>
      <c r="HM30" s="380"/>
      <c r="HN30" s="207"/>
      <c r="HO30" s="207"/>
      <c r="HP30" s="380"/>
      <c r="HQ30" s="380"/>
      <c r="HR30" s="380"/>
      <c r="HS30" s="380"/>
      <c r="HT30" s="380"/>
      <c r="HU30" s="380"/>
      <c r="HV30" s="380"/>
      <c r="HW30" s="380"/>
      <c r="HX30" s="380"/>
      <c r="HY30" s="380"/>
      <c r="HZ30" s="380"/>
      <c r="IA30" s="207"/>
      <c r="IB30" s="207"/>
      <c r="IC30" s="380"/>
      <c r="ID30" s="380"/>
      <c r="IE30" s="380"/>
      <c r="IF30" s="380"/>
      <c r="IG30" s="380"/>
      <c r="IH30" s="380"/>
      <c r="II30" s="380"/>
      <c r="IJ30" s="380"/>
      <c r="IK30" s="380"/>
      <c r="IL30" s="380"/>
      <c r="IM30" s="380"/>
      <c r="IN30" s="207"/>
      <c r="IO30" s="207"/>
      <c r="IP30" s="380"/>
      <c r="IQ30" s="380"/>
      <c r="IR30" s="380"/>
      <c r="IS30" s="380"/>
      <c r="IT30" s="380"/>
      <c r="IU30" s="380"/>
      <c r="IV30" s="380"/>
    </row>
    <row r="31" spans="1:256" x14ac:dyDescent="0.2">
      <c r="A31" s="218"/>
      <c r="B31" s="219"/>
      <c r="C31" s="375"/>
      <c r="D31" s="375"/>
      <c r="E31" s="375"/>
      <c r="F31" s="375"/>
      <c r="G31" s="375"/>
      <c r="H31" s="375"/>
      <c r="I31" s="375"/>
      <c r="J31" s="375"/>
      <c r="K31" s="375"/>
      <c r="L31" s="375"/>
      <c r="M31" s="376"/>
      <c r="N31" s="211"/>
      <c r="O31" s="211"/>
      <c r="P31" s="381"/>
      <c r="Q31" s="381"/>
      <c r="R31" s="381"/>
      <c r="S31" s="381"/>
      <c r="T31" s="381"/>
      <c r="U31" s="381"/>
      <c r="V31" s="381"/>
      <c r="W31" s="381"/>
      <c r="X31" s="381"/>
      <c r="Y31" s="381"/>
      <c r="Z31" s="381"/>
      <c r="AA31" s="207"/>
      <c r="AB31" s="207"/>
      <c r="AC31" s="380"/>
      <c r="AD31" s="380"/>
      <c r="AE31" s="380"/>
      <c r="AF31" s="380"/>
      <c r="AG31" s="380"/>
      <c r="AH31" s="380"/>
      <c r="AI31" s="380"/>
      <c r="AJ31" s="380"/>
      <c r="AK31" s="380"/>
      <c r="AL31" s="380"/>
      <c r="AM31" s="380"/>
      <c r="AN31" s="207"/>
      <c r="AO31" s="207"/>
      <c r="AP31" s="380"/>
      <c r="AQ31" s="380"/>
      <c r="AR31" s="380"/>
      <c r="AS31" s="380"/>
      <c r="AT31" s="380"/>
      <c r="AU31" s="380"/>
      <c r="AV31" s="380"/>
      <c r="AW31" s="380"/>
      <c r="AX31" s="380"/>
      <c r="AY31" s="380"/>
      <c r="AZ31" s="380"/>
      <c r="BA31" s="207"/>
      <c r="BB31" s="207"/>
      <c r="BC31" s="380"/>
      <c r="BD31" s="380"/>
      <c r="BE31" s="380"/>
      <c r="BF31" s="380"/>
      <c r="BG31" s="380"/>
      <c r="BH31" s="380"/>
      <c r="BI31" s="380"/>
      <c r="BJ31" s="380"/>
      <c r="BK31" s="380"/>
      <c r="BL31" s="380"/>
      <c r="BM31" s="380"/>
      <c r="BN31" s="207"/>
      <c r="BO31" s="207"/>
      <c r="BP31" s="380"/>
      <c r="BQ31" s="380"/>
      <c r="BR31" s="380"/>
      <c r="BS31" s="380"/>
      <c r="BT31" s="380"/>
      <c r="BU31" s="380"/>
      <c r="BV31" s="380"/>
      <c r="BW31" s="380"/>
      <c r="BX31" s="380"/>
      <c r="BY31" s="380"/>
      <c r="BZ31" s="380"/>
      <c r="CA31" s="207"/>
      <c r="CB31" s="207"/>
      <c r="CC31" s="380"/>
      <c r="CD31" s="380"/>
      <c r="CE31" s="380"/>
      <c r="CF31" s="380"/>
      <c r="CG31" s="380"/>
      <c r="CH31" s="380"/>
      <c r="CI31" s="380"/>
      <c r="CJ31" s="380"/>
      <c r="CK31" s="380"/>
      <c r="CL31" s="380"/>
      <c r="CM31" s="380"/>
      <c r="CN31" s="207"/>
      <c r="CO31" s="207"/>
      <c r="CP31" s="380"/>
      <c r="CQ31" s="380"/>
      <c r="CR31" s="380"/>
      <c r="CS31" s="380"/>
      <c r="CT31" s="380"/>
      <c r="CU31" s="380"/>
      <c r="CV31" s="380"/>
      <c r="CW31" s="380"/>
      <c r="CX31" s="380"/>
      <c r="CY31" s="380"/>
      <c r="CZ31" s="380"/>
      <c r="DA31" s="207"/>
      <c r="DB31" s="207"/>
      <c r="DC31" s="380"/>
      <c r="DD31" s="380"/>
      <c r="DE31" s="380"/>
      <c r="DF31" s="380"/>
      <c r="DG31" s="380"/>
      <c r="DH31" s="380"/>
      <c r="DI31" s="380"/>
      <c r="DJ31" s="380"/>
      <c r="DK31" s="380"/>
      <c r="DL31" s="380"/>
      <c r="DM31" s="380"/>
      <c r="DN31" s="207"/>
      <c r="DO31" s="207"/>
      <c r="DP31" s="380"/>
      <c r="DQ31" s="380"/>
      <c r="DR31" s="380"/>
      <c r="DS31" s="380"/>
      <c r="DT31" s="380"/>
      <c r="DU31" s="380"/>
      <c r="DV31" s="380"/>
      <c r="DW31" s="380"/>
      <c r="DX31" s="380"/>
      <c r="DY31" s="380"/>
      <c r="DZ31" s="380"/>
      <c r="EA31" s="207"/>
      <c r="EB31" s="207"/>
      <c r="EC31" s="380"/>
      <c r="ED31" s="380"/>
      <c r="EE31" s="380"/>
      <c r="EF31" s="380"/>
      <c r="EG31" s="380"/>
      <c r="EH31" s="380"/>
      <c r="EI31" s="380"/>
      <c r="EJ31" s="380"/>
      <c r="EK31" s="380"/>
      <c r="EL31" s="380"/>
      <c r="EM31" s="380"/>
      <c r="EN31" s="207"/>
      <c r="EO31" s="207"/>
      <c r="EP31" s="380"/>
      <c r="EQ31" s="380"/>
      <c r="ER31" s="380"/>
      <c r="ES31" s="380"/>
      <c r="ET31" s="380"/>
      <c r="EU31" s="380"/>
      <c r="EV31" s="380"/>
      <c r="EW31" s="380"/>
      <c r="EX31" s="380"/>
      <c r="EY31" s="380"/>
      <c r="EZ31" s="380"/>
      <c r="FA31" s="207"/>
      <c r="FB31" s="207"/>
      <c r="FC31" s="380"/>
      <c r="FD31" s="380"/>
      <c r="FE31" s="380"/>
      <c r="FF31" s="380"/>
      <c r="FG31" s="380"/>
      <c r="FH31" s="380"/>
      <c r="FI31" s="380"/>
      <c r="FJ31" s="380"/>
      <c r="FK31" s="380"/>
      <c r="FL31" s="380"/>
      <c r="FM31" s="380"/>
      <c r="FN31" s="207"/>
      <c r="FO31" s="207"/>
      <c r="FP31" s="380"/>
      <c r="FQ31" s="380"/>
      <c r="FR31" s="380"/>
      <c r="FS31" s="380"/>
      <c r="FT31" s="380"/>
      <c r="FU31" s="380"/>
      <c r="FV31" s="380"/>
      <c r="FW31" s="380"/>
      <c r="FX31" s="380"/>
      <c r="FY31" s="380"/>
      <c r="FZ31" s="380"/>
      <c r="GA31" s="207"/>
      <c r="GB31" s="207"/>
      <c r="GC31" s="380"/>
      <c r="GD31" s="380"/>
      <c r="GE31" s="380"/>
      <c r="GF31" s="380"/>
      <c r="GG31" s="380"/>
      <c r="GH31" s="380"/>
      <c r="GI31" s="380"/>
      <c r="GJ31" s="380"/>
      <c r="GK31" s="380"/>
      <c r="GL31" s="380"/>
      <c r="GM31" s="380"/>
      <c r="GN31" s="207"/>
      <c r="GO31" s="207"/>
      <c r="GP31" s="380"/>
      <c r="GQ31" s="380"/>
      <c r="GR31" s="380"/>
      <c r="GS31" s="380"/>
      <c r="GT31" s="380"/>
      <c r="GU31" s="380"/>
      <c r="GV31" s="380"/>
      <c r="GW31" s="380"/>
      <c r="GX31" s="380"/>
      <c r="GY31" s="380"/>
      <c r="GZ31" s="380"/>
      <c r="HA31" s="207"/>
      <c r="HB31" s="207"/>
      <c r="HC31" s="380"/>
      <c r="HD31" s="380"/>
      <c r="HE31" s="380"/>
      <c r="HF31" s="380"/>
      <c r="HG31" s="380"/>
      <c r="HH31" s="380"/>
      <c r="HI31" s="380"/>
      <c r="HJ31" s="380"/>
      <c r="HK31" s="380"/>
      <c r="HL31" s="380"/>
      <c r="HM31" s="380"/>
      <c r="HN31" s="207"/>
      <c r="HO31" s="207"/>
      <c r="HP31" s="380"/>
      <c r="HQ31" s="380"/>
      <c r="HR31" s="380"/>
      <c r="HS31" s="380"/>
      <c r="HT31" s="380"/>
      <c r="HU31" s="380"/>
      <c r="HV31" s="380"/>
      <c r="HW31" s="380"/>
      <c r="HX31" s="380"/>
      <c r="HY31" s="380"/>
      <c r="HZ31" s="380"/>
      <c r="IA31" s="207"/>
      <c r="IB31" s="207"/>
      <c r="IC31" s="380"/>
      <c r="ID31" s="380"/>
      <c r="IE31" s="380"/>
      <c r="IF31" s="380"/>
      <c r="IG31" s="380"/>
      <c r="IH31" s="380"/>
      <c r="II31" s="380"/>
      <c r="IJ31" s="380"/>
      <c r="IK31" s="380"/>
      <c r="IL31" s="380"/>
      <c r="IM31" s="380"/>
      <c r="IN31" s="207"/>
      <c r="IO31" s="207"/>
      <c r="IP31" s="380"/>
      <c r="IQ31" s="380"/>
      <c r="IR31" s="380"/>
      <c r="IS31" s="380"/>
      <c r="IT31" s="380"/>
      <c r="IU31" s="380"/>
      <c r="IV31" s="380"/>
    </row>
    <row r="32" spans="1:256" x14ac:dyDescent="0.2">
      <c r="A32" s="218"/>
      <c r="B32" s="219"/>
      <c r="C32" s="375"/>
      <c r="D32" s="375"/>
      <c r="E32" s="375"/>
      <c r="F32" s="375"/>
      <c r="G32" s="375"/>
      <c r="H32" s="375"/>
      <c r="I32" s="375"/>
      <c r="J32" s="375"/>
      <c r="K32" s="375"/>
      <c r="L32" s="375"/>
      <c r="M32" s="376"/>
      <c r="N32" s="223"/>
      <c r="O32" s="223"/>
      <c r="P32" s="382"/>
      <c r="Q32" s="382"/>
      <c r="R32" s="382"/>
      <c r="S32" s="382"/>
      <c r="T32" s="382"/>
      <c r="U32" s="382"/>
      <c r="V32" s="382"/>
      <c r="W32" s="382"/>
      <c r="X32" s="382"/>
      <c r="Y32" s="382"/>
      <c r="Z32" s="383"/>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81"/>
      <c r="Q38" s="381"/>
      <c r="R38" s="381"/>
      <c r="S38" s="381"/>
      <c r="T38" s="381"/>
      <c r="U38" s="381"/>
      <c r="V38" s="381"/>
      <c r="W38" s="381"/>
      <c r="X38" s="381"/>
      <c r="Y38" s="381"/>
      <c r="Z38" s="381"/>
      <c r="AA38" s="207"/>
      <c r="AB38" s="207"/>
      <c r="AC38" s="380"/>
      <c r="AD38" s="380"/>
      <c r="AE38" s="380"/>
      <c r="AF38" s="380"/>
      <c r="AG38" s="380"/>
      <c r="AH38" s="380"/>
      <c r="AI38" s="380"/>
      <c r="AJ38" s="380"/>
      <c r="AK38" s="380"/>
      <c r="AL38" s="380"/>
      <c r="AM38" s="380"/>
      <c r="AN38" s="207"/>
      <c r="AO38" s="207"/>
      <c r="AP38" s="380"/>
      <c r="AQ38" s="380"/>
      <c r="AR38" s="380"/>
      <c r="AS38" s="380"/>
      <c r="AT38" s="380"/>
      <c r="AU38" s="380"/>
      <c r="AV38" s="380"/>
      <c r="AW38" s="380"/>
      <c r="AX38" s="380"/>
      <c r="AY38" s="380"/>
      <c r="AZ38" s="380"/>
      <c r="BA38" s="207"/>
      <c r="BB38" s="207"/>
      <c r="BC38" s="380"/>
      <c r="BD38" s="380"/>
      <c r="BE38" s="380"/>
      <c r="BF38" s="380"/>
      <c r="BG38" s="380"/>
      <c r="BH38" s="380"/>
      <c r="BI38" s="380"/>
      <c r="BJ38" s="380"/>
      <c r="BK38" s="380"/>
      <c r="BL38" s="380"/>
      <c r="BM38" s="380"/>
      <c r="BN38" s="207"/>
      <c r="BO38" s="207"/>
      <c r="BP38" s="380"/>
      <c r="BQ38" s="380"/>
      <c r="BR38" s="380"/>
      <c r="BS38" s="380"/>
      <c r="BT38" s="380"/>
      <c r="BU38" s="380"/>
      <c r="BV38" s="380"/>
      <c r="BW38" s="380"/>
      <c r="BX38" s="380"/>
      <c r="BY38" s="380"/>
      <c r="BZ38" s="380"/>
      <c r="CA38" s="207"/>
      <c r="CB38" s="207"/>
      <c r="CC38" s="380"/>
      <c r="CD38" s="380"/>
      <c r="CE38" s="380"/>
      <c r="CF38" s="380"/>
      <c r="CG38" s="380"/>
      <c r="CH38" s="380"/>
      <c r="CI38" s="380"/>
      <c r="CJ38" s="380"/>
      <c r="CK38" s="380"/>
      <c r="CL38" s="380"/>
      <c r="CM38" s="380"/>
      <c r="CN38" s="207"/>
      <c r="CO38" s="207"/>
      <c r="CP38" s="380"/>
      <c r="CQ38" s="380"/>
      <c r="CR38" s="380"/>
      <c r="CS38" s="380"/>
      <c r="CT38" s="380"/>
      <c r="CU38" s="380"/>
      <c r="CV38" s="380"/>
      <c r="CW38" s="380"/>
      <c r="CX38" s="380"/>
      <c r="CY38" s="380"/>
      <c r="CZ38" s="380"/>
      <c r="DA38" s="207"/>
      <c r="DB38" s="207"/>
      <c r="DC38" s="380"/>
      <c r="DD38" s="380"/>
      <c r="DE38" s="380"/>
      <c r="DF38" s="380"/>
      <c r="DG38" s="380"/>
      <c r="DH38" s="380"/>
      <c r="DI38" s="380"/>
      <c r="DJ38" s="380"/>
      <c r="DK38" s="380"/>
      <c r="DL38" s="380"/>
      <c r="DM38" s="380"/>
      <c r="DN38" s="207"/>
      <c r="DO38" s="207"/>
      <c r="DP38" s="380"/>
      <c r="DQ38" s="380"/>
      <c r="DR38" s="380"/>
      <c r="DS38" s="380"/>
      <c r="DT38" s="380"/>
      <c r="DU38" s="380"/>
      <c r="DV38" s="380"/>
      <c r="DW38" s="380"/>
      <c r="DX38" s="380"/>
      <c r="DY38" s="380"/>
      <c r="DZ38" s="380"/>
      <c r="EA38" s="207"/>
      <c r="EB38" s="207"/>
      <c r="EC38" s="380"/>
      <c r="ED38" s="380"/>
      <c r="EE38" s="380"/>
      <c r="EF38" s="380"/>
      <c r="EG38" s="380"/>
      <c r="EH38" s="380"/>
      <c r="EI38" s="380"/>
      <c r="EJ38" s="380"/>
      <c r="EK38" s="380"/>
      <c r="EL38" s="380"/>
      <c r="EM38" s="380"/>
      <c r="EN38" s="207"/>
      <c r="EO38" s="207"/>
      <c r="EP38" s="380"/>
      <c r="EQ38" s="380"/>
      <c r="ER38" s="380"/>
      <c r="ES38" s="380"/>
      <c r="ET38" s="380"/>
      <c r="EU38" s="380"/>
      <c r="EV38" s="380"/>
      <c r="EW38" s="380"/>
      <c r="EX38" s="380"/>
      <c r="EY38" s="380"/>
      <c r="EZ38" s="380"/>
      <c r="FA38" s="207"/>
      <c r="FB38" s="207"/>
      <c r="FC38" s="380"/>
      <c r="FD38" s="380"/>
      <c r="FE38" s="380"/>
      <c r="FF38" s="380"/>
      <c r="FG38" s="380"/>
      <c r="FH38" s="380"/>
      <c r="FI38" s="380"/>
      <c r="FJ38" s="380"/>
      <c r="FK38" s="380"/>
      <c r="FL38" s="380"/>
      <c r="FM38" s="380"/>
      <c r="FN38" s="207"/>
      <c r="FO38" s="207"/>
      <c r="FP38" s="380"/>
      <c r="FQ38" s="380"/>
      <c r="FR38" s="380"/>
      <c r="FS38" s="380"/>
      <c r="FT38" s="380"/>
      <c r="FU38" s="380"/>
      <c r="FV38" s="380"/>
      <c r="FW38" s="380"/>
      <c r="FX38" s="380"/>
      <c r="FY38" s="380"/>
      <c r="FZ38" s="380"/>
      <c r="GA38" s="207"/>
      <c r="GB38" s="207"/>
      <c r="GC38" s="380"/>
      <c r="GD38" s="380"/>
      <c r="GE38" s="380"/>
      <c r="GF38" s="380"/>
      <c r="GG38" s="380"/>
      <c r="GH38" s="380"/>
      <c r="GI38" s="380"/>
      <c r="GJ38" s="380"/>
      <c r="GK38" s="380"/>
      <c r="GL38" s="380"/>
      <c r="GM38" s="380"/>
      <c r="GN38" s="207"/>
      <c r="GO38" s="207"/>
      <c r="GP38" s="380"/>
      <c r="GQ38" s="380"/>
      <c r="GR38" s="380"/>
      <c r="GS38" s="380"/>
      <c r="GT38" s="380"/>
      <c r="GU38" s="380"/>
      <c r="GV38" s="380"/>
      <c r="GW38" s="380"/>
      <c r="GX38" s="380"/>
      <c r="GY38" s="380"/>
      <c r="GZ38" s="380"/>
      <c r="HA38" s="207"/>
      <c r="HB38" s="207"/>
      <c r="HC38" s="380"/>
      <c r="HD38" s="380"/>
      <c r="HE38" s="380"/>
      <c r="HF38" s="380"/>
      <c r="HG38" s="380"/>
      <c r="HH38" s="380"/>
      <c r="HI38" s="380"/>
      <c r="HJ38" s="380"/>
      <c r="HK38" s="380"/>
      <c r="HL38" s="380"/>
      <c r="HM38" s="380"/>
      <c r="HN38" s="207"/>
      <c r="HO38" s="207"/>
      <c r="HP38" s="380"/>
      <c r="HQ38" s="380"/>
      <c r="HR38" s="380"/>
      <c r="HS38" s="380"/>
      <c r="HT38" s="380"/>
      <c r="HU38" s="380"/>
      <c r="HV38" s="380"/>
      <c r="HW38" s="380"/>
      <c r="HX38" s="380"/>
      <c r="HY38" s="380"/>
      <c r="HZ38" s="380"/>
      <c r="IA38" s="207"/>
      <c r="IB38" s="207"/>
      <c r="IC38" s="380"/>
      <c r="ID38" s="380"/>
      <c r="IE38" s="380"/>
      <c r="IF38" s="380"/>
      <c r="IG38" s="380"/>
      <c r="IH38" s="380"/>
      <c r="II38" s="380"/>
      <c r="IJ38" s="380"/>
      <c r="IK38" s="380"/>
      <c r="IL38" s="380"/>
      <c r="IM38" s="380"/>
      <c r="IN38" s="207"/>
      <c r="IO38" s="207"/>
      <c r="IP38" s="380"/>
      <c r="IQ38" s="380"/>
      <c r="IR38" s="380"/>
      <c r="IS38" s="380"/>
      <c r="IT38" s="380"/>
      <c r="IU38" s="380"/>
      <c r="IV38" s="380"/>
    </row>
    <row r="39" spans="1:256" x14ac:dyDescent="0.2">
      <c r="A39" s="218"/>
      <c r="B39" s="219"/>
      <c r="C39" s="375"/>
      <c r="D39" s="375"/>
      <c r="E39" s="375"/>
      <c r="F39" s="375"/>
      <c r="G39" s="375"/>
      <c r="H39" s="375"/>
      <c r="I39" s="375"/>
      <c r="J39" s="375"/>
      <c r="K39" s="375"/>
      <c r="L39" s="375"/>
      <c r="M39" s="376"/>
      <c r="N39" s="211"/>
      <c r="O39" s="211"/>
      <c r="P39" s="381"/>
      <c r="Q39" s="381"/>
      <c r="R39" s="381"/>
      <c r="S39" s="381"/>
      <c r="T39" s="381"/>
      <c r="U39" s="381"/>
      <c r="V39" s="381"/>
      <c r="W39" s="381"/>
      <c r="X39" s="381"/>
      <c r="Y39" s="381"/>
      <c r="Z39" s="381"/>
      <c r="AA39" s="207"/>
      <c r="AB39" s="207"/>
      <c r="AC39" s="380"/>
      <c r="AD39" s="380"/>
      <c r="AE39" s="380"/>
      <c r="AF39" s="380"/>
      <c r="AG39" s="380"/>
      <c r="AH39" s="380"/>
      <c r="AI39" s="380"/>
      <c r="AJ39" s="380"/>
      <c r="AK39" s="380"/>
      <c r="AL39" s="380"/>
      <c r="AM39" s="380"/>
      <c r="AN39" s="207"/>
      <c r="AO39" s="207"/>
      <c r="AP39" s="380"/>
      <c r="AQ39" s="380"/>
      <c r="AR39" s="380"/>
      <c r="AS39" s="380"/>
      <c r="AT39" s="380"/>
      <c r="AU39" s="380"/>
      <c r="AV39" s="380"/>
      <c r="AW39" s="380"/>
      <c r="AX39" s="380"/>
      <c r="AY39" s="380"/>
      <c r="AZ39" s="380"/>
      <c r="BA39" s="207"/>
      <c r="BB39" s="207"/>
      <c r="BC39" s="380"/>
      <c r="BD39" s="380"/>
      <c r="BE39" s="380"/>
      <c r="BF39" s="380"/>
      <c r="BG39" s="380"/>
      <c r="BH39" s="380"/>
      <c r="BI39" s="380"/>
      <c r="BJ39" s="380"/>
      <c r="BK39" s="380"/>
      <c r="BL39" s="380"/>
      <c r="BM39" s="380"/>
      <c r="BN39" s="207"/>
      <c r="BO39" s="207"/>
      <c r="BP39" s="380"/>
      <c r="BQ39" s="380"/>
      <c r="BR39" s="380"/>
      <c r="BS39" s="380"/>
      <c r="BT39" s="380"/>
      <c r="BU39" s="380"/>
      <c r="BV39" s="380"/>
      <c r="BW39" s="380"/>
      <c r="BX39" s="380"/>
      <c r="BY39" s="380"/>
      <c r="BZ39" s="380"/>
      <c r="CA39" s="207"/>
      <c r="CB39" s="207"/>
      <c r="CC39" s="380"/>
      <c r="CD39" s="380"/>
      <c r="CE39" s="380"/>
      <c r="CF39" s="380"/>
      <c r="CG39" s="380"/>
      <c r="CH39" s="380"/>
      <c r="CI39" s="380"/>
      <c r="CJ39" s="380"/>
      <c r="CK39" s="380"/>
      <c r="CL39" s="380"/>
      <c r="CM39" s="380"/>
      <c r="CN39" s="207"/>
      <c r="CO39" s="207"/>
      <c r="CP39" s="380"/>
      <c r="CQ39" s="380"/>
      <c r="CR39" s="380"/>
      <c r="CS39" s="380"/>
      <c r="CT39" s="380"/>
      <c r="CU39" s="380"/>
      <c r="CV39" s="380"/>
      <c r="CW39" s="380"/>
      <c r="CX39" s="380"/>
      <c r="CY39" s="380"/>
      <c r="CZ39" s="380"/>
      <c r="DA39" s="207"/>
      <c r="DB39" s="207"/>
      <c r="DC39" s="380"/>
      <c r="DD39" s="380"/>
      <c r="DE39" s="380"/>
      <c r="DF39" s="380"/>
      <c r="DG39" s="380"/>
      <c r="DH39" s="380"/>
      <c r="DI39" s="380"/>
      <c r="DJ39" s="380"/>
      <c r="DK39" s="380"/>
      <c r="DL39" s="380"/>
      <c r="DM39" s="380"/>
      <c r="DN39" s="207"/>
      <c r="DO39" s="207"/>
      <c r="DP39" s="380"/>
      <c r="DQ39" s="380"/>
      <c r="DR39" s="380"/>
      <c r="DS39" s="380"/>
      <c r="DT39" s="380"/>
      <c r="DU39" s="380"/>
      <c r="DV39" s="380"/>
      <c r="DW39" s="380"/>
      <c r="DX39" s="380"/>
      <c r="DY39" s="380"/>
      <c r="DZ39" s="380"/>
      <c r="EA39" s="207"/>
      <c r="EB39" s="207"/>
      <c r="EC39" s="380"/>
      <c r="ED39" s="380"/>
      <c r="EE39" s="380"/>
      <c r="EF39" s="380"/>
      <c r="EG39" s="380"/>
      <c r="EH39" s="380"/>
      <c r="EI39" s="380"/>
      <c r="EJ39" s="380"/>
      <c r="EK39" s="380"/>
      <c r="EL39" s="380"/>
      <c r="EM39" s="380"/>
      <c r="EN39" s="207"/>
      <c r="EO39" s="207"/>
      <c r="EP39" s="380"/>
      <c r="EQ39" s="380"/>
      <c r="ER39" s="380"/>
      <c r="ES39" s="380"/>
      <c r="ET39" s="380"/>
      <c r="EU39" s="380"/>
      <c r="EV39" s="380"/>
      <c r="EW39" s="380"/>
      <c r="EX39" s="380"/>
      <c r="EY39" s="380"/>
      <c r="EZ39" s="380"/>
      <c r="FA39" s="207"/>
      <c r="FB39" s="207"/>
      <c r="FC39" s="380"/>
      <c r="FD39" s="380"/>
      <c r="FE39" s="380"/>
      <c r="FF39" s="380"/>
      <c r="FG39" s="380"/>
      <c r="FH39" s="380"/>
      <c r="FI39" s="380"/>
      <c r="FJ39" s="380"/>
      <c r="FK39" s="380"/>
      <c r="FL39" s="380"/>
      <c r="FM39" s="380"/>
      <c r="FN39" s="207"/>
      <c r="FO39" s="207"/>
      <c r="FP39" s="380"/>
      <c r="FQ39" s="380"/>
      <c r="FR39" s="380"/>
      <c r="FS39" s="380"/>
      <c r="FT39" s="380"/>
      <c r="FU39" s="380"/>
      <c r="FV39" s="380"/>
      <c r="FW39" s="380"/>
      <c r="FX39" s="380"/>
      <c r="FY39" s="380"/>
      <c r="FZ39" s="380"/>
      <c r="GA39" s="207"/>
      <c r="GB39" s="207"/>
      <c r="GC39" s="380"/>
      <c r="GD39" s="380"/>
      <c r="GE39" s="380"/>
      <c r="GF39" s="380"/>
      <c r="GG39" s="380"/>
      <c r="GH39" s="380"/>
      <c r="GI39" s="380"/>
      <c r="GJ39" s="380"/>
      <c r="GK39" s="380"/>
      <c r="GL39" s="380"/>
      <c r="GM39" s="380"/>
      <c r="GN39" s="207"/>
      <c r="GO39" s="207"/>
      <c r="GP39" s="380"/>
      <c r="GQ39" s="380"/>
      <c r="GR39" s="380"/>
      <c r="GS39" s="380"/>
      <c r="GT39" s="380"/>
      <c r="GU39" s="380"/>
      <c r="GV39" s="380"/>
      <c r="GW39" s="380"/>
      <c r="GX39" s="380"/>
      <c r="GY39" s="380"/>
      <c r="GZ39" s="380"/>
      <c r="HA39" s="207"/>
      <c r="HB39" s="207"/>
      <c r="HC39" s="380"/>
      <c r="HD39" s="380"/>
      <c r="HE39" s="380"/>
      <c r="HF39" s="380"/>
      <c r="HG39" s="380"/>
      <c r="HH39" s="380"/>
      <c r="HI39" s="380"/>
      <c r="HJ39" s="380"/>
      <c r="HK39" s="380"/>
      <c r="HL39" s="380"/>
      <c r="HM39" s="380"/>
      <c r="HN39" s="207"/>
      <c r="HO39" s="207"/>
      <c r="HP39" s="380"/>
      <c r="HQ39" s="380"/>
      <c r="HR39" s="380"/>
      <c r="HS39" s="380"/>
      <c r="HT39" s="380"/>
      <c r="HU39" s="380"/>
      <c r="HV39" s="380"/>
      <c r="HW39" s="380"/>
      <c r="HX39" s="380"/>
      <c r="HY39" s="380"/>
      <c r="HZ39" s="380"/>
      <c r="IA39" s="207"/>
      <c r="IB39" s="207"/>
      <c r="IC39" s="380"/>
      <c r="ID39" s="380"/>
      <c r="IE39" s="380"/>
      <c r="IF39" s="380"/>
      <c r="IG39" s="380"/>
      <c r="IH39" s="380"/>
      <c r="II39" s="380"/>
      <c r="IJ39" s="380"/>
      <c r="IK39" s="380"/>
      <c r="IL39" s="380"/>
      <c r="IM39" s="380"/>
      <c r="IN39" s="207"/>
      <c r="IO39" s="207"/>
      <c r="IP39" s="380"/>
      <c r="IQ39" s="380"/>
      <c r="IR39" s="380"/>
      <c r="IS39" s="380"/>
      <c r="IT39" s="380"/>
      <c r="IU39" s="380"/>
      <c r="IV39" s="380"/>
    </row>
    <row r="40" spans="1:256" x14ac:dyDescent="0.2">
      <c r="A40" s="218"/>
      <c r="B40" s="219"/>
      <c r="C40" s="375"/>
      <c r="D40" s="375"/>
      <c r="E40" s="375"/>
      <c r="F40" s="375"/>
      <c r="G40" s="375"/>
      <c r="H40" s="375"/>
      <c r="I40" s="375"/>
      <c r="J40" s="375"/>
      <c r="K40" s="375"/>
      <c r="L40" s="375"/>
      <c r="M40" s="376"/>
      <c r="N40" s="211"/>
      <c r="O40" s="211"/>
      <c r="P40" s="381"/>
      <c r="Q40" s="381"/>
      <c r="R40" s="381"/>
      <c r="S40" s="381"/>
      <c r="T40" s="381"/>
      <c r="U40" s="381"/>
      <c r="V40" s="381"/>
      <c r="W40" s="381"/>
      <c r="X40" s="381"/>
      <c r="Y40" s="381"/>
      <c r="Z40" s="381"/>
      <c r="AA40" s="207"/>
      <c r="AB40" s="207"/>
      <c r="AC40" s="380"/>
      <c r="AD40" s="380"/>
      <c r="AE40" s="380"/>
      <c r="AF40" s="380"/>
      <c r="AG40" s="380"/>
      <c r="AH40" s="380"/>
      <c r="AI40" s="380"/>
      <c r="AJ40" s="380"/>
      <c r="AK40" s="380"/>
      <c r="AL40" s="380"/>
      <c r="AM40" s="380"/>
      <c r="AN40" s="207"/>
      <c r="AO40" s="207"/>
      <c r="AP40" s="380"/>
      <c r="AQ40" s="380"/>
      <c r="AR40" s="380"/>
      <c r="AS40" s="380"/>
      <c r="AT40" s="380"/>
      <c r="AU40" s="380"/>
      <c r="AV40" s="380"/>
      <c r="AW40" s="380"/>
      <c r="AX40" s="380"/>
      <c r="AY40" s="380"/>
      <c r="AZ40" s="380"/>
      <c r="BA40" s="207"/>
      <c r="BB40" s="207"/>
      <c r="BC40" s="380"/>
      <c r="BD40" s="380"/>
      <c r="BE40" s="380"/>
      <c r="BF40" s="380"/>
      <c r="BG40" s="380"/>
      <c r="BH40" s="380"/>
      <c r="BI40" s="380"/>
      <c r="BJ40" s="380"/>
      <c r="BK40" s="380"/>
      <c r="BL40" s="380"/>
      <c r="BM40" s="380"/>
      <c r="BN40" s="207"/>
      <c r="BO40" s="207"/>
      <c r="BP40" s="380"/>
      <c r="BQ40" s="380"/>
      <c r="BR40" s="380"/>
      <c r="BS40" s="380"/>
      <c r="BT40" s="380"/>
      <c r="BU40" s="380"/>
      <c r="BV40" s="380"/>
      <c r="BW40" s="380"/>
      <c r="BX40" s="380"/>
      <c r="BY40" s="380"/>
      <c r="BZ40" s="380"/>
      <c r="CA40" s="207"/>
      <c r="CB40" s="207"/>
      <c r="CC40" s="380"/>
      <c r="CD40" s="380"/>
      <c r="CE40" s="380"/>
      <c r="CF40" s="380"/>
      <c r="CG40" s="380"/>
      <c r="CH40" s="380"/>
      <c r="CI40" s="380"/>
      <c r="CJ40" s="380"/>
      <c r="CK40" s="380"/>
      <c r="CL40" s="380"/>
      <c r="CM40" s="380"/>
      <c r="CN40" s="207"/>
      <c r="CO40" s="207"/>
      <c r="CP40" s="380"/>
      <c r="CQ40" s="380"/>
      <c r="CR40" s="380"/>
      <c r="CS40" s="380"/>
      <c r="CT40" s="380"/>
      <c r="CU40" s="380"/>
      <c r="CV40" s="380"/>
      <c r="CW40" s="380"/>
      <c r="CX40" s="380"/>
      <c r="CY40" s="380"/>
      <c r="CZ40" s="380"/>
      <c r="DA40" s="207"/>
      <c r="DB40" s="207"/>
      <c r="DC40" s="380"/>
      <c r="DD40" s="380"/>
      <c r="DE40" s="380"/>
      <c r="DF40" s="380"/>
      <c r="DG40" s="380"/>
      <c r="DH40" s="380"/>
      <c r="DI40" s="380"/>
      <c r="DJ40" s="380"/>
      <c r="DK40" s="380"/>
      <c r="DL40" s="380"/>
      <c r="DM40" s="380"/>
      <c r="DN40" s="207"/>
      <c r="DO40" s="207"/>
      <c r="DP40" s="380"/>
      <c r="DQ40" s="380"/>
      <c r="DR40" s="380"/>
      <c r="DS40" s="380"/>
      <c r="DT40" s="380"/>
      <c r="DU40" s="380"/>
      <c r="DV40" s="380"/>
      <c r="DW40" s="380"/>
      <c r="DX40" s="380"/>
      <c r="DY40" s="380"/>
      <c r="DZ40" s="380"/>
      <c r="EA40" s="207"/>
      <c r="EB40" s="207"/>
      <c r="EC40" s="380"/>
      <c r="ED40" s="380"/>
      <c r="EE40" s="380"/>
      <c r="EF40" s="380"/>
      <c r="EG40" s="380"/>
      <c r="EH40" s="380"/>
      <c r="EI40" s="380"/>
      <c r="EJ40" s="380"/>
      <c r="EK40" s="380"/>
      <c r="EL40" s="380"/>
      <c r="EM40" s="380"/>
      <c r="EN40" s="207"/>
      <c r="EO40" s="207"/>
      <c r="EP40" s="380"/>
      <c r="EQ40" s="380"/>
      <c r="ER40" s="380"/>
      <c r="ES40" s="380"/>
      <c r="ET40" s="380"/>
      <c r="EU40" s="380"/>
      <c r="EV40" s="380"/>
      <c r="EW40" s="380"/>
      <c r="EX40" s="380"/>
      <c r="EY40" s="380"/>
      <c r="EZ40" s="380"/>
      <c r="FA40" s="207"/>
      <c r="FB40" s="207"/>
      <c r="FC40" s="380"/>
      <c r="FD40" s="380"/>
      <c r="FE40" s="380"/>
      <c r="FF40" s="380"/>
      <c r="FG40" s="380"/>
      <c r="FH40" s="380"/>
      <c r="FI40" s="380"/>
      <c r="FJ40" s="380"/>
      <c r="FK40" s="380"/>
      <c r="FL40" s="380"/>
      <c r="FM40" s="380"/>
      <c r="FN40" s="207"/>
      <c r="FO40" s="207"/>
      <c r="FP40" s="380"/>
      <c r="FQ40" s="380"/>
      <c r="FR40" s="380"/>
      <c r="FS40" s="380"/>
      <c r="FT40" s="380"/>
      <c r="FU40" s="380"/>
      <c r="FV40" s="380"/>
      <c r="FW40" s="380"/>
      <c r="FX40" s="380"/>
      <c r="FY40" s="380"/>
      <c r="FZ40" s="380"/>
      <c r="GA40" s="207"/>
      <c r="GB40" s="207"/>
      <c r="GC40" s="380"/>
      <c r="GD40" s="380"/>
      <c r="GE40" s="380"/>
      <c r="GF40" s="380"/>
      <c r="GG40" s="380"/>
      <c r="GH40" s="380"/>
      <c r="GI40" s="380"/>
      <c r="GJ40" s="380"/>
      <c r="GK40" s="380"/>
      <c r="GL40" s="380"/>
      <c r="GM40" s="380"/>
      <c r="GN40" s="207"/>
      <c r="GO40" s="207"/>
      <c r="GP40" s="380"/>
      <c r="GQ40" s="380"/>
      <c r="GR40" s="380"/>
      <c r="GS40" s="380"/>
      <c r="GT40" s="380"/>
      <c r="GU40" s="380"/>
      <c r="GV40" s="380"/>
      <c r="GW40" s="380"/>
      <c r="GX40" s="380"/>
      <c r="GY40" s="380"/>
      <c r="GZ40" s="380"/>
      <c r="HA40" s="207"/>
      <c r="HB40" s="207"/>
      <c r="HC40" s="380"/>
      <c r="HD40" s="380"/>
      <c r="HE40" s="380"/>
      <c r="HF40" s="380"/>
      <c r="HG40" s="380"/>
      <c r="HH40" s="380"/>
      <c r="HI40" s="380"/>
      <c r="HJ40" s="380"/>
      <c r="HK40" s="380"/>
      <c r="HL40" s="380"/>
      <c r="HM40" s="380"/>
      <c r="HN40" s="207"/>
      <c r="HO40" s="207"/>
      <c r="HP40" s="380"/>
      <c r="HQ40" s="380"/>
      <c r="HR40" s="380"/>
      <c r="HS40" s="380"/>
      <c r="HT40" s="380"/>
      <c r="HU40" s="380"/>
      <c r="HV40" s="380"/>
      <c r="HW40" s="380"/>
      <c r="HX40" s="380"/>
      <c r="HY40" s="380"/>
      <c r="HZ40" s="380"/>
      <c r="IA40" s="207"/>
      <c r="IB40" s="207"/>
      <c r="IC40" s="380"/>
      <c r="ID40" s="380"/>
      <c r="IE40" s="380"/>
      <c r="IF40" s="380"/>
      <c r="IG40" s="380"/>
      <c r="IH40" s="380"/>
      <c r="II40" s="380"/>
      <c r="IJ40" s="380"/>
      <c r="IK40" s="380"/>
      <c r="IL40" s="380"/>
      <c r="IM40" s="380"/>
      <c r="IN40" s="207"/>
      <c r="IO40" s="207"/>
      <c r="IP40" s="380"/>
      <c r="IQ40" s="380"/>
      <c r="IR40" s="380"/>
      <c r="IS40" s="380"/>
      <c r="IT40" s="380"/>
      <c r="IU40" s="380"/>
      <c r="IV40" s="380"/>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77"/>
      <c r="D70" s="377"/>
      <c r="E70" s="377"/>
      <c r="F70" s="377"/>
      <c r="G70" s="377"/>
      <c r="H70" s="377"/>
      <c r="I70" s="377"/>
      <c r="J70" s="377"/>
      <c r="K70" s="377"/>
      <c r="L70" s="377"/>
      <c r="M70" s="378"/>
    </row>
    <row r="71" spans="1:13" ht="12" thickTop="1" x14ac:dyDescent="0.2">
      <c r="A71" s="208"/>
      <c r="B71" s="208"/>
      <c r="C71" s="209"/>
      <c r="D71" s="209"/>
      <c r="E71" s="209"/>
      <c r="F71" s="209"/>
      <c r="G71" s="209"/>
      <c r="H71" s="209"/>
      <c r="I71" s="209"/>
      <c r="J71" s="209"/>
      <c r="K71" s="209"/>
      <c r="L71" s="209"/>
    </row>
    <row r="72" spans="1:13" ht="12.75" x14ac:dyDescent="0.2">
      <c r="A72" s="379" t="s">
        <v>832</v>
      </c>
      <c r="B72" s="379"/>
      <c r="C72" s="379"/>
      <c r="D72" s="379"/>
      <c r="E72" s="379"/>
      <c r="F72" s="126"/>
      <c r="G72" s="126"/>
      <c r="H72" s="126"/>
      <c r="I72" s="126"/>
      <c r="J72" s="126"/>
      <c r="K72" s="126"/>
      <c r="L72" s="126"/>
      <c r="M72" s="126"/>
    </row>
    <row r="73" spans="1:13" x14ac:dyDescent="0.2">
      <c r="A73" s="210" t="s">
        <v>764</v>
      </c>
      <c r="B73" s="210" t="s">
        <v>765</v>
      </c>
      <c r="C73" s="374"/>
      <c r="D73" s="374"/>
      <c r="E73" s="374"/>
      <c r="F73" s="374"/>
      <c r="G73" s="374"/>
      <c r="H73" s="374"/>
      <c r="I73" s="374"/>
      <c r="J73" s="374"/>
      <c r="K73" s="374"/>
      <c r="L73" s="374"/>
      <c r="M73" s="374"/>
    </row>
    <row r="74" spans="1:13" x14ac:dyDescent="0.2">
      <c r="A74" s="211"/>
      <c r="B74" s="211"/>
      <c r="C74" s="374"/>
      <c r="D74" s="374"/>
      <c r="E74" s="374"/>
      <c r="F74" s="374"/>
      <c r="G74" s="374"/>
      <c r="H74" s="374"/>
      <c r="I74" s="374"/>
      <c r="J74" s="374"/>
      <c r="K74" s="374"/>
      <c r="L74" s="374"/>
      <c r="M74" s="374"/>
    </row>
    <row r="75" spans="1:13" x14ac:dyDescent="0.2">
      <c r="A75" s="211"/>
      <c r="B75" s="211"/>
      <c r="C75" s="374"/>
      <c r="D75" s="374"/>
      <c r="E75" s="374"/>
      <c r="F75" s="374"/>
      <c r="G75" s="374"/>
      <c r="H75" s="374"/>
      <c r="I75" s="374"/>
      <c r="J75" s="374"/>
      <c r="K75" s="374"/>
      <c r="L75" s="374"/>
      <c r="M75" s="374"/>
    </row>
    <row r="76" spans="1:13" x14ac:dyDescent="0.2">
      <c r="A76" s="211"/>
      <c r="B76" s="211"/>
      <c r="C76" s="374"/>
      <c r="D76" s="374"/>
      <c r="E76" s="374"/>
      <c r="F76" s="374"/>
      <c r="G76" s="374"/>
      <c r="H76" s="374"/>
      <c r="I76" s="374"/>
      <c r="J76" s="374"/>
      <c r="K76" s="374"/>
      <c r="L76" s="374"/>
      <c r="M76" s="374"/>
    </row>
    <row r="77" spans="1:13" x14ac:dyDescent="0.2">
      <c r="A77" s="211"/>
      <c r="B77" s="211"/>
      <c r="C77" s="374"/>
      <c r="D77" s="374"/>
      <c r="E77" s="374"/>
      <c r="F77" s="374"/>
      <c r="G77" s="374"/>
      <c r="H77" s="374"/>
      <c r="I77" s="374"/>
      <c r="J77" s="374"/>
      <c r="K77" s="374"/>
      <c r="L77" s="374"/>
      <c r="M77" s="374"/>
    </row>
    <row r="78" spans="1:13" x14ac:dyDescent="0.2">
      <c r="A78" s="211"/>
      <c r="B78" s="211"/>
      <c r="C78" s="374"/>
      <c r="D78" s="374"/>
      <c r="E78" s="374"/>
      <c r="F78" s="374"/>
      <c r="G78" s="374"/>
      <c r="H78" s="374"/>
      <c r="I78" s="374"/>
      <c r="J78" s="374"/>
      <c r="K78" s="374"/>
      <c r="L78" s="374"/>
      <c r="M78" s="374"/>
    </row>
    <row r="79" spans="1:13" x14ac:dyDescent="0.2">
      <c r="A79" s="211"/>
      <c r="B79" s="211"/>
      <c r="C79" s="374"/>
      <c r="D79" s="374"/>
      <c r="E79" s="374"/>
      <c r="F79" s="374"/>
      <c r="G79" s="374"/>
      <c r="H79" s="374"/>
      <c r="I79" s="374"/>
      <c r="J79" s="374"/>
      <c r="K79" s="374"/>
      <c r="L79" s="374"/>
      <c r="M79" s="374"/>
    </row>
    <row r="80" spans="1:13" x14ac:dyDescent="0.2">
      <c r="A80" s="211"/>
      <c r="B80" s="211"/>
      <c r="C80" s="374"/>
      <c r="D80" s="374"/>
      <c r="E80" s="374"/>
      <c r="F80" s="374"/>
      <c r="G80" s="374"/>
      <c r="H80" s="374"/>
      <c r="I80" s="374"/>
      <c r="J80" s="374"/>
      <c r="K80" s="374"/>
      <c r="L80" s="374"/>
      <c r="M80" s="374"/>
    </row>
    <row r="81" spans="1:13" x14ac:dyDescent="0.2">
      <c r="A81" s="211"/>
      <c r="B81" s="211"/>
      <c r="C81" s="374"/>
      <c r="D81" s="374"/>
      <c r="E81" s="374"/>
      <c r="F81" s="374"/>
      <c r="G81" s="374"/>
      <c r="H81" s="374"/>
      <c r="I81" s="374"/>
      <c r="J81" s="374"/>
      <c r="K81" s="374"/>
      <c r="L81" s="374"/>
      <c r="M81" s="374"/>
    </row>
    <row r="82" spans="1:13" x14ac:dyDescent="0.2">
      <c r="A82" s="211"/>
      <c r="B82" s="211"/>
      <c r="C82" s="374"/>
      <c r="D82" s="374"/>
      <c r="E82" s="374"/>
      <c r="F82" s="374"/>
      <c r="G82" s="374"/>
      <c r="H82" s="374"/>
      <c r="I82" s="374"/>
      <c r="J82" s="374"/>
      <c r="K82" s="374"/>
      <c r="L82" s="374"/>
      <c r="M82" s="374"/>
    </row>
    <row r="83" spans="1:13" x14ac:dyDescent="0.2">
      <c r="A83" s="211"/>
      <c r="B83" s="211"/>
      <c r="C83" s="374"/>
      <c r="D83" s="374"/>
      <c r="E83" s="374"/>
      <c r="F83" s="374"/>
      <c r="G83" s="374"/>
      <c r="H83" s="374"/>
      <c r="I83" s="374"/>
      <c r="J83" s="374"/>
      <c r="K83" s="374"/>
      <c r="L83" s="374"/>
      <c r="M83" s="374"/>
    </row>
    <row r="84" spans="1:13" x14ac:dyDescent="0.2">
      <c r="A84" s="211"/>
      <c r="B84" s="211"/>
      <c r="C84" s="374"/>
      <c r="D84" s="374"/>
      <c r="E84" s="374"/>
      <c r="F84" s="374"/>
      <c r="G84" s="374"/>
      <c r="H84" s="374"/>
      <c r="I84" s="374"/>
      <c r="J84" s="374"/>
      <c r="K84" s="374"/>
      <c r="L84" s="374"/>
      <c r="M84" s="374"/>
    </row>
    <row r="85" spans="1:13" x14ac:dyDescent="0.2">
      <c r="A85" s="211"/>
      <c r="B85" s="211"/>
      <c r="C85" s="374"/>
      <c r="D85" s="374"/>
      <c r="E85" s="374"/>
      <c r="F85" s="374"/>
      <c r="G85" s="374"/>
      <c r="H85" s="374"/>
      <c r="I85" s="374"/>
      <c r="J85" s="374"/>
      <c r="K85" s="374"/>
      <c r="L85" s="374"/>
      <c r="M85" s="374"/>
    </row>
    <row r="86" spans="1:13" x14ac:dyDescent="0.2">
      <c r="A86" s="211"/>
      <c r="B86" s="211"/>
      <c r="C86" s="374"/>
      <c r="D86" s="374"/>
      <c r="E86" s="374"/>
      <c r="F86" s="374"/>
      <c r="G86" s="374"/>
      <c r="H86" s="374"/>
      <c r="I86" s="374"/>
      <c r="J86" s="374"/>
      <c r="K86" s="374"/>
      <c r="L86" s="374"/>
      <c r="M86" s="374"/>
    </row>
    <row r="87" spans="1:13" x14ac:dyDescent="0.2">
      <c r="A87" s="211"/>
      <c r="B87" s="211"/>
      <c r="C87" s="374"/>
      <c r="D87" s="374"/>
      <c r="E87" s="374"/>
      <c r="F87" s="374"/>
      <c r="G87" s="374"/>
      <c r="H87" s="374"/>
      <c r="I87" s="374"/>
      <c r="J87" s="374"/>
      <c r="K87" s="374"/>
      <c r="L87" s="374"/>
      <c r="M87" s="374"/>
    </row>
    <row r="88" spans="1:13" x14ac:dyDescent="0.2">
      <c r="A88" s="211"/>
      <c r="B88" s="211"/>
      <c r="C88" s="374"/>
      <c r="D88" s="374"/>
      <c r="E88" s="374"/>
      <c r="F88" s="374"/>
      <c r="G88" s="374"/>
      <c r="H88" s="374"/>
      <c r="I88" s="374"/>
      <c r="J88" s="374"/>
      <c r="K88" s="374"/>
      <c r="L88" s="374"/>
      <c r="M88" s="374"/>
    </row>
    <row r="89" spans="1:13" x14ac:dyDescent="0.2">
      <c r="A89" s="211"/>
      <c r="B89" s="211"/>
      <c r="C89" s="374"/>
      <c r="D89" s="374"/>
      <c r="E89" s="374"/>
      <c r="F89" s="374"/>
      <c r="G89" s="374"/>
      <c r="H89" s="374"/>
      <c r="I89" s="374"/>
      <c r="J89" s="374"/>
      <c r="K89" s="374"/>
      <c r="L89" s="374"/>
      <c r="M89" s="374"/>
    </row>
    <row r="90" spans="1:13" x14ac:dyDescent="0.2">
      <c r="A90" s="211"/>
      <c r="B90" s="211"/>
      <c r="C90" s="374"/>
      <c r="D90" s="374"/>
      <c r="E90" s="374"/>
      <c r="F90" s="374"/>
      <c r="G90" s="374"/>
      <c r="H90" s="374"/>
      <c r="I90" s="374"/>
      <c r="J90" s="374"/>
      <c r="K90" s="374"/>
      <c r="L90" s="374"/>
      <c r="M90" s="37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2021-08-25T12:21:14Z</cp:lastPrinted>
  <dcterms:created xsi:type="dcterms:W3CDTF">1997-12-04T19:04:30Z</dcterms:created>
  <dcterms:modified xsi:type="dcterms:W3CDTF">2021-12-14T19:50:50Z</dcterms:modified>
</cp:coreProperties>
</file>