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630" yWindow="630" windowWidth="21600" windowHeight="1138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1" l="1"/>
  <c r="E28" i="17"/>
  <c r="C19" i="12"/>
  <c r="C10" i="12"/>
  <c r="B20" i="12"/>
  <c r="B19" i="12"/>
  <c r="B10" i="12"/>
  <c r="H605" i="1"/>
  <c r="H592" i="1"/>
  <c r="H529" i="1"/>
  <c r="H527" i="1"/>
  <c r="G527" i="1"/>
  <c r="I282" i="1"/>
  <c r="J282" i="1"/>
  <c r="J277" i="1"/>
  <c r="I277" i="1"/>
  <c r="G283" i="1"/>
  <c r="F283" i="1"/>
  <c r="K286" i="1"/>
  <c r="G287" i="1"/>
  <c r="H283" i="1"/>
  <c r="J283" i="1"/>
  <c r="G284" i="1"/>
  <c r="G277" i="1"/>
  <c r="G280" i="1"/>
  <c r="H245" i="1"/>
  <c r="H209" i="1"/>
  <c r="H208" i="1"/>
  <c r="H206" i="1"/>
  <c r="H205" i="1"/>
  <c r="H204" i="1"/>
  <c r="H203" i="1"/>
  <c r="G199" i="1"/>
  <c r="J198" i="1"/>
  <c r="I198" i="1"/>
  <c r="H198" i="1"/>
  <c r="G198" i="1"/>
  <c r="F198" i="1"/>
  <c r="H401" i="1" l="1"/>
  <c r="E30" i="17"/>
  <c r="E22" i="17"/>
  <c r="E26" i="17"/>
  <c r="E24" i="17"/>
  <c r="E17" i="17"/>
  <c r="H155" i="1"/>
  <c r="H161" i="1"/>
  <c r="H110" i="1"/>
  <c r="H154" i="1"/>
  <c r="H30" i="1"/>
  <c r="H28" i="1"/>
  <c r="K359" i="1"/>
  <c r="I359" i="1"/>
  <c r="H359" i="1"/>
  <c r="F359" i="1"/>
  <c r="G359" i="1"/>
  <c r="G48" i="1"/>
  <c r="G24" i="1"/>
  <c r="F110" i="1"/>
  <c r="F9"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1"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G655" i="1"/>
  <c r="H655" i="1"/>
  <c r="H656" i="1"/>
  <c r="J656" i="1" s="1"/>
  <c r="I170" i="1"/>
  <c r="K339" i="1" l="1"/>
  <c r="H663" i="1"/>
  <c r="D6" i="13"/>
  <c r="C6" i="13" s="1"/>
  <c r="C110" i="2"/>
  <c r="K353" i="1"/>
  <c r="H477" i="1"/>
  <c r="H625" i="1" s="1"/>
  <c r="J625" i="1" s="1"/>
  <c r="H409" i="1"/>
  <c r="H645" i="1" s="1"/>
  <c r="J645" i="1" s="1"/>
  <c r="G662" i="1"/>
  <c r="G477" i="1"/>
  <c r="J652" i="1"/>
  <c r="J140" i="1"/>
  <c r="E123" i="2"/>
  <c r="E110" i="2"/>
  <c r="D18" i="13"/>
  <c r="C18" i="13" s="1"/>
  <c r="D15" i="13"/>
  <c r="C15" i="13" s="1"/>
  <c r="C121" i="2"/>
  <c r="C120" i="2"/>
  <c r="J572" i="1"/>
  <c r="G409" i="1"/>
  <c r="H646" i="1" s="1"/>
  <c r="J646" i="1" s="1"/>
  <c r="G553" i="1"/>
  <c r="J258" i="1"/>
  <c r="J272" i="1" s="1"/>
  <c r="A40" i="12"/>
  <c r="E119" i="2"/>
  <c r="E13" i="13"/>
  <c r="C13" i="13" s="1"/>
  <c r="G339" i="1"/>
  <c r="G353"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E115" i="2"/>
  <c r="F661" i="1"/>
  <c r="F665" i="1" s="1"/>
  <c r="F668" i="1" s="1"/>
  <c r="H649" i="1"/>
  <c r="J649" i="1" s="1"/>
  <c r="I663" i="1"/>
  <c r="H661" i="1"/>
  <c r="H665" i="1" s="1"/>
  <c r="H668" i="1" s="1"/>
  <c r="E51" i="2"/>
  <c r="F194" i="1"/>
  <c r="G628" i="1" s="1"/>
  <c r="J628" i="1" s="1"/>
  <c r="C8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<sst xmlns="http://schemas.openxmlformats.org/spreadsheetml/2006/main" count="5572" uniqueCount="1673">
  <si>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</si>
  <si>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</si>
  <si>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</si>
  <si>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</si>
  <si>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</si>
  <si>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</si>
  <si>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</si>
  <si>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</si>
  <si>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</si>
  <si>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</si>
  <si>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</si>
  <si>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</si>
  <si>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</si>
  <si>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</si>
  <si>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</si>
  <si>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</si>
  <si>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</si>
  <si>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</si>
  <si>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</si>
  <si>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</si>
  <si>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</si>
  <si>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</si>
  <si>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</si>
  <si>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</si>
  <si>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</si>
  <si>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</si>
  <si>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</si>
  <si>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</si>
  <si>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</si>
  <si>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</si>
  <si>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</si>
  <si>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</si>
  <si>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</si>
  <si>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</si>
  <si>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</si>
  <si>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</si>
  <si>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</si>
  <si>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</si>
  <si>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</si>
  <si>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</si>
  <si>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</si>
  <si>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</si>
  <si>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</si>
  <si>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</si>
  <si>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</si>
  <si>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</si>
  <si>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</si>
  <si>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</si>
  <si>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</si>
  <si>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</si>
  <si>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</si>
  <si>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</si>
  <si>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</si>
  <si>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</si>
  <si>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</si>
  <si>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</si>
  <si>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</si>
  <si>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</si>
  <si>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</si>
  <si>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</si>
  <si>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</si>
  <si>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</si>
  <si>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</si>
  <si>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</si>
  <si>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</si>
  <si>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</si>
  <si>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</si>
  <si>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</si>
  <si>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</si>
  <si>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</si>
  <si>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</si>
  <si>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</si>
  <si>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</si>
  <si>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</si>
  <si>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</si>
  <si>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</si>
  <si>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</si>
  <si>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</si>
  <si>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</si>
  <si>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</si>
  <si>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</si>
  <si>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</si>
  <si>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</si>
  <si>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</si>
  <si>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</si>
  <si>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</si>
  <si>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</si>
  <si>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</si>
  <si>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</si>
  <si>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</si>
  <si>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</si>
  <si>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</si>
  <si>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</si>
  <si>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</si>
  <si>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</si>
  <si>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</si>
  <si>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</si>
  <si>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</si>
  <si>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</si>
  <si>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</si>
  <si>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</si>
  <si>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</si>
  <si>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</si>
  <si>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</si>
  <si>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</si>
  <si>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</si>
  <si>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</si>
  <si>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</si>
  <si>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</si>
  <si>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</si>
  <si>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</si>
  <si>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</si>
  <si>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</si>
  <si>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</si>
  <si>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</si>
  <si>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</si>
  <si>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</si>
  <si>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</si>
  <si>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</si>
  <si>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</si>
  <si>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</si>
  <si>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</si>
  <si>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</si>
  <si>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</si>
  <si>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</si>
  <si>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</si>
  <si>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</si>
  <si>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</si>
  <si>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</si>
  <si>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</si>
  <si>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</si>
  <si>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</si>
  <si>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</si>
  <si>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</si>
  <si>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</si>
  <si>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</si>
  <si>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</si>
  <si>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</si>
  <si>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</si>
  <si>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</si>
  <si>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</si>
  <si>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</si>
  <si>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</si>
  <si>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</si>
  <si>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</si>
  <si>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</si>
  <si>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</si>
  <si>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</si>
  <si>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</si>
  <si>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</si>
  <si>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</si>
  <si>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</si>
  <si>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</si>
  <si>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</si>
  <si>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</si>
  <si>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</si>
  <si>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</si>
  <si>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</si>
  <si>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</si>
  <si>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</si>
  <si>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</si>
  <si>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</si>
  <si>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</si>
  <si>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</si>
  <si>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</si>
  <si>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</si>
  <si>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</si>
  <si>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</si>
  <si>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</si>
  <si>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</si>
  <si>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</si>
  <si>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</si>
  <si>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</si>
  <si>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</si>
  <si>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</si>
  <si>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</si>
  <si>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</si>
  <si>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</si>
  <si>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</si>
  <si>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</si>
  <si>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</si>
  <si>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</si>
  <si>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</si>
  <si>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</si>
  <si>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</si>
  <si>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</si>
  <si>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</si>
  <si>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</si>
  <si>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</si>
  <si>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</si>
  <si>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</si>
  <si>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</si>
  <si>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</si>
  <si>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</si>
  <si>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</si>
  <si>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</si>
  <si>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</si>
  <si>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</si>
  <si>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</si>
  <si>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</si>
  <si>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</si>
  <si>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</si>
  <si>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</si>
  <si>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</si>
  <si>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</si>
  <si>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</si>
  <si>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</si>
  <si>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</si>
  <si>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</si>
  <si>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</si>
  <si>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</si>
  <si>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</si>
  <si>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</si>
  <si>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</si>
  <si>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</si>
  <si>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</si>
  <si>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</si>
  <si>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</si>
  <si>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</si>
  <si>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</si>
  <si>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</si>
  <si>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</si>
  <si>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</si>
  <si>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</si>
  <si>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</si>
  <si>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</si>
  <si>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</si>
  <si>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</si>
  <si>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</si>
  <si>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</si>
  <si>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</si>
  <si>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</si>
  <si>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</si>
  <si>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</si>
  <si>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</si>
  <si>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</si>
  <si>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</si>
  <si>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</si>
  <si>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</si>
  <si>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</si>
  <si>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</si>
  <si>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</si>
  <si>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</si>
  <si>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</si>
  <si>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</si>
  <si>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</si>
  <si>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</si>
  <si>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</si>
  <si>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</si>
  <si>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</si>
  <si>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</si>
  <si>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</si>
  <si>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</si>
  <si>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</si>
  <si>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</si>
  <si>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</si>
  <si>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</si>
  <si>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</si>
  <si>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</si>
  <si>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</si>
  <si>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</si>
  <si>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</si>
  <si>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</si>
  <si>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</si>
  <si>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</si>
  <si>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</si>
  <si>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</si>
  <si>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</si>
  <si>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</si>
  <si>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</si>
  <si>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</si>
  <si>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</si>
  <si>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</si>
  <si>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</si>
  <si>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</si>
  <si>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</si>
  <si>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</si>
  <si>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</si>
  <si>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</si>
  <si>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</si>
  <si>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</si>
  <si>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</si>
  <si>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</si>
  <si>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</si>
  <si>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</si>
  <si>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</si>
  <si>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</si>
  <si>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</si>
  <si>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</si>
  <si>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</si>
  <si>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</si>
  <si>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</si>
  <si>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</si>
  <si>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</si>
  <si>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</si>
  <si>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</si>
  <si>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</si>
  <si>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</si>
  <si>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</si>
  <si>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</si>
  <si>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</si>
  <si>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</si>
  <si>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</si>
  <si>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</si>
  <si>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</si>
  <si>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</si>
  <si>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</si>
  <si>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</si>
  <si>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</si>
  <si>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</si>
  <si>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</si>
  <si>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</si>
  <si>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</si>
  <si>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</si>
  <si>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</si>
  <si>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</si>
  <si>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</si>
  <si>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</si>
  <si>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</si>
  <si>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</si>
  <si>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</si>
  <si>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</si>
  <si>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</si>
  <si>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</si>
  <si>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</si>
  <si>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</si>
  <si>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</si>
  <si>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</si>
  <si>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</si>
  <si>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</si>
  <si>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</si>
  <si>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</si>
  <si>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</si>
  <si>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</si>
  <si>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</si>
  <si>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</si>
  <si>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</si>
  <si>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</si>
  <si>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</si>
  <si>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</si>
  <si>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</si>
  <si>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</si>
  <si>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</si>
  <si>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</si>
  <si>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</si>
  <si>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</si>
  <si>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</si>
  <si>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</si>
  <si>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</si>
  <si>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</si>
  <si>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</si>
  <si>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</si>
  <si>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</si>
  <si>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</si>
  <si>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</si>
  <si>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</si>
  <si>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</si>
  <si>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</si>
  <si>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</si>
  <si>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</si>
  <si>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</si>
  <si>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</si>
  <si>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</si>
  <si>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</si>
  <si>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</si>
  <si>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</si>
  <si>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</si>
  <si>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</si>
  <si>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</si>
  <si>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</si>
  <si>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</si>
  <si>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</si>
  <si>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</si>
  <si>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</si>
  <si>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</si>
  <si>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</si>
  <si>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</si>
  <si>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</si>
  <si>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</si>
  <si>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</si>
  <si>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</si>
  <si>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</si>
  <si>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</si>
  <si>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</si>
  <si>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</si>
  <si>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</si>
  <si>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</si>
  <si>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</si>
  <si>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</si>
  <si>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</si>
  <si>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</si>
  <si>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</si>
  <si>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</si>
  <si>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</si>
  <si>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</si>
  <si>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</si>
  <si>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</si>
  <si>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</si>
  <si>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</si>
  <si>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</si>
  <si>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</si>
  <si>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</si>
  <si>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</si>
  <si>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</si>
  <si>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</si>
  <si>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</si>
  <si>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</si>
  <si>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</si>
  <si>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</si>
  <si>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</si>
  <si>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</si>
  <si>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</si>
  <si>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</si>
  <si>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</si>
  <si>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</si>
  <si>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</si>
  <si>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</si>
  <si>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</si>
  <si>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</si>
  <si>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</si>
  <si>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</si>
  <si>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</si>
  <si>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</si>
  <si>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</si>
  <si>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</si>
  <si>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</si>
  <si>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</si>
  <si>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</si>
  <si>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</si>
  <si>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</si>
  <si>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</si>
  <si>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</si>
  <si>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</si>
  <si>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</si>
  <si>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</si>
  <si>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</si>
  <si>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</si>
  <si>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</si>
  <si>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</si>
  <si>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</si>
  <si>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</si>
  <si>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</si>
  <si>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</si>
  <si>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</si>
  <si>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</si>
  <si>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</si>
  <si>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</si>
  <si>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</si>
  <si>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</si>
  <si>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</si>
  <si>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</si>
  <si>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</si>
  <si>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</si>
  <si>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</si>
  <si>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</si>
  <si>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</si>
  <si>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</si>
  <si>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</si>
  <si>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</si>
  <si>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</si>
  <si>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</si>
  <si>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</si>
  <si>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</si>
  <si>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</si>
  <si>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</si>
  <si>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</si>
  <si>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</si>
  <si>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</si>
  <si>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</si>
  <si>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</si>
  <si>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</si>
  <si>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</si>
  <si>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</si>
  <si>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</si>
  <si>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</si>
  <si>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</si>
  <si>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</si>
  <si>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</si>
  <si>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</si>
  <si>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</si>
  <si>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</si>
  <si>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</si>
  <si>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</si>
  <si>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</si>
  <si>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</si>
  <si>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</si>
  <si>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</si>
  <si>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</si>
  <si>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</si>
  <si>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</si>
  <si>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</si>
  <si>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</si>
  <si>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</si>
  <si>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</si>
  <si>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</si>
  <si>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</si>
  <si>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</si>
  <si>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</si>
  <si>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</si>
  <si>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</si>
  <si>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</si>
  <si>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</si>
  <si>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</si>
  <si>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</si>
  <si>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</si>
  <si>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</si>
  <si>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</si>
  <si>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</si>
  <si>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</si>
  <si>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</si>
  <si>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</si>
  <si>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</si>
  <si>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</si>
  <si>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</si>
  <si>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</si>
  <si>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</si>
  <si>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</si>
  <si>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</si>
  <si>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</si>
  <si>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</si>
  <si>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</si>
  <si>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</si>
  <si>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</si>
  <si>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</si>
  <si>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</si>
  <si>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</si>
  <si>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</si>
  <si>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</si>
  <si>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</si>
  <si>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</si>
  <si>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</si>
  <si>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</si>
  <si>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</si>
  <si>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</si>
  <si>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</si>
  <si>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</si>
  <si>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</si>
  <si>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</si>
  <si>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</si>
  <si>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</si>
  <si>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</si>
  <si>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</si>
  <si>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</si>
  <si>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</si>
  <si>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</si>
  <si>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</si>
  <si>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</si>
  <si>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</si>
  <si>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</si>
  <si>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</si>
  <si>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</si>
  <si>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</si>
  <si>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</si>
  <si>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</si>
  <si>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</si>
  <si>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</si>
  <si>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</si>
  <si>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</si>
  <si>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</si>
  <si>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</si>
  <si>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</si>
  <si>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</si>
  <si>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</si>
  <si>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</si>
  <si>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</si>
  <si>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</si>
  <si>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</si>
  <si>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</si>
  <si>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</si>
  <si>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</si>
  <si>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</si>
  <si>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</si>
  <si>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</si>
  <si>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</si>
  <si>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</si>
  <si>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</si>
  <si>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</si>
  <si>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</si>
  <si>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</si>
  <si>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</si>
  <si>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</si>
  <si>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</si>
  <si>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</si>
  <si>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</si>
  <si>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</si>
  <si>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</si>
  <si>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</si>
  <si>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</si>
  <si>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</si>
  <si>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</si>
  <si>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</si>
  <si>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</si>
  <si>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</si>
  <si>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</si>
  <si>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</si>
  <si>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</si>
  <si>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</si>
  <si>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</si>
  <si>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</si>
  <si>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</si>
  <si>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</si>
  <si>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</si>
  <si>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</si>
  <si>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</si>
  <si>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</si>
  <si>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</si>
  <si>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</si>
  <si>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</si>
  <si>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</si>
  <si>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</si>
  <si>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</si>
  <si>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</si>
  <si>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</si>
  <si>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</si>
  <si>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</si>
  <si>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</si>
  <si>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</si>
  <si>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</si>
  <si>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</si>
  <si>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</si>
  <si>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</si>
  <si>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</si>
  <si>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</si>
  <si>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</si>
  <si>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</si>
  <si>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</si>
  <si>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</si>
  <si>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</si>
  <si>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</si>
  <si>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</si>
  <si>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</si>
  <si>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</si>
  <si>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</si>
  <si>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</si>
  <si>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</si>
  <si>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</si>
  <si>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</si>
  <si>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</si>
  <si>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</si>
  <si>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</si>
  <si>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</si>
  <si>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</si>
  <si>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</si>
  <si>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</si>
  <si>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</si>
  <si>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</si>
  <si>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</si>
  <si>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</si>
  <si>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</si>
  <si>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</si>
  <si>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</si>
  <si>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</si>
  <si>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</si>
  <si>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</si>
  <si>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</si>
  <si>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</si>
  <si>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</si>
  <si>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</si>
  <si>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</si>
  <si>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</si>
  <si>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</si>
  <si>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</si>
  <si>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</si>
  <si>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</si>
  <si>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</si>
  <si>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</si>
  <si>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</si>
  <si>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</si>
  <si>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</si>
  <si>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</si>
  <si>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</si>
  <si>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</si>
  <si>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</si>
  <si>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</si>
  <si>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</si>
  <si>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</si>
  <si>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</si>
  <si>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</si>
  <si>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</si>
  <si>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</si>
  <si>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</si>
  <si>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</si>
  <si>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</si>
  <si>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</si>
  <si>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</si>
  <si>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</si>
  <si>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</si>
  <si>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</si>
  <si>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</si>
  <si>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</si>
  <si>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</si>
  <si>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</si>
  <si>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</si>
  <si>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</si>
  <si>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</si>
  <si>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</si>
  <si>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</si>
  <si>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</si>
  <si>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</si>
  <si>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</si>
  <si>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</si>
  <si>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</si>
  <si>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</si>
  <si>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</si>
  <si>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</si>
  <si>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</si>
  <si>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</si>
  <si>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</si>
  <si>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</si>
  <si>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</si>
  <si>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</si>
  <si>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</si>
  <si>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</si>
  <si>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</si>
  <si>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</si>
  <si>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</si>
  <si>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</si>
  <si>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</si>
  <si>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</si>
  <si>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</si>
  <si>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</si>
  <si>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</si>
  <si>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</si>
  <si>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</si>
  <si>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</si>
  <si>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</si>
  <si>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</si>
  <si>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</si>
  <si>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</si>
  <si>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</si>
  <si>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</si>
  <si>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</si>
  <si>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</si>
  <si>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</si>
  <si>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</si>
  <si>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</si>
  <si>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</si>
  <si>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</si>
  <si>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</si>
  <si>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</si>
  <si>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</si>
  <si>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</si>
  <si>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</si>
  <si>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</si>
  <si>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</si>
  <si>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</si>
  <si>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</si>
  <si>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</si>
  <si>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</si>
  <si>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</si>
  <si>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</si>
  <si>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</si>
  <si>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</si>
  <si>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</si>
  <si>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</si>
  <si>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</si>
  <si>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</si>
  <si>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</si>
  <si>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</si>
  <si>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</si>
  <si>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</si>
  <si>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</si>
  <si>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</si>
  <si>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</si>
  <si>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</si>
  <si>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</si>
  <si>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</si>
  <si>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</si>
  <si>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</si>
  <si>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</si>
  <si>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</si>
  <si>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</si>
  <si>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</si>
  <si>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</si>
  <si>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</si>
  <si>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</si>
  <si>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</si>
  <si>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</si>
  <si>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</si>
  <si>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</si>
  <si>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</si>
  <si>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</si>
  <si>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</si>
  <si>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</si>
  <si>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</si>
  <si>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</si>
  <si>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</si>
  <si>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</si>
  <si>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</si>
  <si>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</si>
  <si>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</si>
  <si>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</si>
  <si>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</si>
  <si>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</si>
  <si>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</si>
  <si>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</si>
  <si>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</si>
  <si>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</si>
  <si>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</si>
  <si>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</si>
  <si>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</si>
  <si>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</si>
  <si>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</si>
  <si>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</si>
  <si>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</si>
  <si>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</si>
  <si>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</si>
  <si>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</si>
  <si>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</si>
  <si>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</si>
  <si>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</si>
  <si>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</si>
  <si>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</si>
  <si>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</si>
  <si>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</si>
  <si>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</si>
  <si>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</si>
  <si>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</si>
  <si>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</si>
  <si>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</si>
  <si>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</si>
  <si>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</si>
  <si>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</si>
  <si>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</si>
  <si>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</si>
  <si>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</si>
  <si>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</si>
  <si>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</si>
  <si>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</si>
  <si>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</si>
  <si>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</si>
  <si>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</si>
  <si>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</si>
  <si>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</si>
  <si>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</si>
  <si>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</si>
  <si>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</si>
  <si>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</si>
  <si>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</si>
  <si>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</si>
  <si>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</si>
  <si>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</si>
  <si>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</si>
  <si>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</si>
  <si>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</si>
  <si>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</si>
  <si>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</si>
  <si>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</si>
  <si>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</si>
  <si>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</si>
  <si>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</si>
  <si>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</si>
  <si>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</si>
  <si>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</si>
  <si>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</si>
  <si>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</si>
  <si>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</si>
  <si>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</si>
  <si>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</si>
  <si>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</si>
  <si>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</si>
  <si>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</si>
  <si>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</si>
  <si>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</si>
  <si>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</si>
  <si>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</si>
  <si>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</si>
  <si>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</si>
  <si>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</si>
  <si>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</si>
  <si>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</si>
  <si>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</si>
  <si>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</si>
  <si>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</si>
  <si>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</si>
  <si>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</si>
  <si>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</si>
  <si>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</si>
  <si>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</si>
  <si>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</si>
  <si>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</si>
  <si>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</si>
  <si>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</si>
  <si>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</si>
  <si>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</si>
  <si>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</si>
  <si>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</si>
  <si>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</si>
  <si>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</si>
  <si>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</si>
  <si>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</si>
  <si>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</si>
  <si>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</si>
  <si>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</si>
  <si>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</si>
  <si>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</si>
  <si>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</si>
  <si>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</si>
  <si>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</si>
  <si>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</si>
  <si>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</si>
  <si>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</si>
  <si>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</si>
  <si>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</si>
  <si>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</si>
  <si>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</si>
  <si>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</si>
  <si>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</si>
  <si>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</si>
  <si>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</si>
  <si>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</si>
  <si>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</si>
  <si>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</si>
  <si>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</si>
  <si>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</si>
  <si>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</si>
  <si>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</si>
  <si>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</si>
  <si>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</si>
  <si>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</si>
  <si>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</si>
  <si>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</si>
  <si>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</si>
  <si>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</si>
  <si>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</si>
  <si>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</si>
  <si>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</si>
  <si>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</si>
  <si>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</si>
  <si>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</si>
  <si>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</si>
  <si>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</si>
  <si>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</si>
  <si>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</si>
  <si>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</si>
  <si>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</si>
  <si>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</si>
  <si>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</si>
  <si>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</si>
  <si>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</si>
  <si>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</si>
  <si>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</si>
  <si>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</si>
  <si>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</si>
  <si>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</si>
  <si>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</si>
  <si>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</si>
  <si>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</si>
  <si>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</si>
  <si>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</si>
  <si>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</si>
  <si>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</si>
  <si>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</si>
  <si>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</si>
  <si>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</si>
  <si>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</si>
  <si>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</si>
  <si>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</si>
  <si>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</si>
  <si>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</si>
  <si>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</si>
  <si>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</si>
  <si>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</si>
  <si>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</si>
  <si>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</si>
  <si>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</si>
  <si>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</si>
  <si>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</si>
  <si>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</si>
  <si>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</si>
  <si>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</si>
  <si>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</si>
  <si>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</si>
  <si>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</si>
  <si>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</si>
  <si>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</si>
  <si>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</si>
  <si>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</si>
  <si>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</si>
  <si>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</si>
  <si>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</si>
  <si>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</si>
  <si>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</si>
  <si>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</si>
  <si>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</si>
  <si>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</si>
  <si>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</si>
  <si>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</si>
  <si>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</si>
  <si>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</si>
  <si>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</si>
  <si>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</si>
  <si>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</si>
  <si>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</si>
  <si>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</si>
  <si>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</si>
  <si>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</si>
  <si>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</si>
  <si>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</si>
  <si>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</si>
  <si>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</si>
  <si>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</si>
  <si>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</si>
  <si>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</si>
  <si>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</si>
  <si>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</si>
  <si>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</si>
  <si>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</si>
  <si>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</si>
  <si>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</si>
  <si>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</si>
  <si>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</si>
  <si>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</si>
  <si>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</si>
  <si>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</si>
  <si>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</si>
  <si>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</si>
  <si>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</si>
  <si>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</si>
  <si>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</si>
  <si>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</si>
  <si>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</si>
  <si>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</si>
  <si>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</si>
  <si>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</si>
  <si>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</si>
  <si>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</si>
  <si>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</si>
  <si>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</si>
  <si>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</si>
  <si>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</si>
  <si>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</si>
  <si>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</si>
  <si>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</si>
  <si>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</si>
  <si>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</si>
  <si>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</si>
  <si>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</si>
  <si>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</si>
  <si>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</si>
  <si>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</si>
  <si>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</si>
  <si>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</si>
  <si>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</si>
  <si>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</si>
  <si>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</si>
  <si>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</si>
  <si>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</si>
  <si>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</si>
  <si>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</si>
  <si>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</si>
  <si>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</si>
  <si>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</si>
  <si>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</si>
  <si>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</si>
  <si>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</si>
  <si>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</si>
  <si>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</si>
  <si>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</si>
  <si>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</si>
  <si>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</si>
  <si>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</si>
  <si>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</si>
  <si>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</si>
  <si>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</si>
  <si>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</si>
  <si>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</si>
  <si>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</si>
  <si>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</si>
  <si>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</si>
  <si>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</si>
  <si>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</si>
  <si>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</si>
  <si>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</si>
  <si>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</si>
  <si>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</si>
  <si>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</si>
  <si>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</si>
  <si>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</si>
  <si>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</si>
  <si>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</si>
  <si>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</si>
  <si>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</si>
  <si>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</si>
  <si>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</si>
  <si>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</si>
  <si>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</si>
  <si>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</si>
  <si>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</si>
  <si>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</si>
  <si>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</si>
  <si>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</si>
  <si>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</si>
  <si>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</si>
  <si>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</si>
  <si>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</si>
  <si>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</si>
  <si>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</si>
  <si>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</si>
  <si>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</si>
  <si>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</si>
  <si>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</si>
  <si>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</si>
  <si>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</si>
  <si>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</si>
  <si>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</si>
  <si>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</si>
  <si>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</si>
  <si>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</si>
  <si>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</si>
  <si>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</si>
  <si>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</si>
  <si>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</si>
  <si>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</si>
  <si>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</si>
  <si>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</si>
  <si>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</si>
  <si>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</si>
  <si>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</si>
  <si>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</si>
  <si>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</si>
  <si>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</si>
  <si>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</si>
  <si>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</si>
  <si>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</si>
  <si>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</si>
  <si>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</si>
  <si>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</si>
  <si>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</si>
  <si>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</si>
  <si>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</si>
  <si>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</si>
  <si>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</si>
  <si>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</si>
  <si>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</si>
  <si>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</si>
  <si>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</si>
  <si>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</si>
  <si>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</si>
  <si>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</si>
  <si>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</si>
  <si>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</si>
  <si>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</si>
  <si>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</si>
  <si>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</si>
  <si>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</si>
  <si>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</si>
  <si>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</si>
  <si>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</si>
  <si>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</si>
  <si>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</si>
  <si>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</si>
  <si>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</si>
  <si>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</si>
  <si>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</si>
  <si>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</si>
  <si>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</si>
  <si>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</si>
  <si>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</si>
  <si>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</si>
  <si>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</si>
  <si>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</si>
  <si>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</si>
  <si>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</si>
  <si>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</si>
  <si>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</si>
  <si>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</si>
  <si>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</si>
  <si>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</si>
  <si>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</si>
  <si>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</si>
  <si>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</si>
  <si>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</si>
  <si>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</si>
  <si>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</si>
  <si>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</si>
  <si>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</si>
  <si>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</si>
  <si>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</si>
  <si>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</si>
  <si>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</si>
  <si>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</si>
  <si>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</si>
  <si>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</si>
  <si>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</si>
  <si>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</si>
  <si>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</si>
  <si>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</si>
  <si>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</si>
  <si>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</si>
  <si>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</si>
  <si>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</si>
  <si>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</si>
  <si>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</si>
  <si>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</si>
  <si>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</si>
  <si>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</si>
  <si>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</si>
  <si>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</si>
  <si>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</si>
  <si>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</si>
  <si>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</si>
  <si>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</si>
  <si>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</si>
  <si>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</si>
  <si>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</si>
  <si>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</si>
  <si>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</si>
  <si>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</si>
  <si>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</si>
  <si>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</si>
  <si>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</si>
  <si>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</si>
  <si>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</si>
  <si>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</si>
  <si>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</si>
  <si>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</si>
  <si>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</si>
  <si>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</si>
  <si>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</si>
  <si>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</si>
  <si>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</si>
  <si>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</si>
  <si>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</si>
  <si>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</si>
  <si>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</si>
  <si>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</si>
  <si>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</si>
  <si>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</si>
  <si>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</si>
  <si>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</si>
  <si>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</si>
  <si>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</si>
  <si>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</si>
  <si>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</si>
  <si>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</si>
  <si>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</si>
  <si>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</si>
  <si>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</si>
  <si>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</si>
  <si>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</si>
  <si>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</si>
  <si>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</si>
  <si>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</si>
  <si>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</si>
  <si>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</si>
  <si>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</si>
  <si>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</si>
  <si>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</si>
  <si>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</si>
  <si>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</si>
  <si>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</si>
  <si>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</si>
  <si>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</si>
  <si>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</si>
  <si>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</si>
  <si>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</si>
  <si>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</si>
  <si>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</si>
  <si>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</si>
  <si>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</si>
  <si>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</si>
  <si>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</si>
  <si>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</si>
  <si>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</si>
  <si>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</si>
  <si>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</si>
  <si>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</si>
  <si>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</si>
  <si>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</si>
  <si>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</si>
  <si>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</si>
  <si>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</si>
  <si>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</si>
  <si>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</si>
  <si>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</si>
  <si>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</si>
  <si>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</si>
  <si>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</si>
  <si>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</si>
  <si>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</si>
  <si>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</si>
  <si>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</si>
  <si>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</si>
  <si>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</si>
  <si>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</si>
  <si>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</si>
  <si>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</si>
  <si>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</si>
  <si>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</si>
  <si>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</si>
  <si>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</si>
  <si>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</si>
  <si>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</si>
  <si>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</si>
  <si>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</si>
  <si>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</si>
  <si>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</si>
  <si>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</si>
  <si>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</si>
  <si>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</si>
  <si>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</si>
  <si>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</si>
  <si>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</si>
  <si>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</si>
  <si>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</si>
  <si>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</si>
  <si>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</si>
  <si>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</si>
  <si>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</si>
  <si>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</si>
  <si>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</si>
  <si>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</si>
  <si>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</si>
  <si>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</si>
  <si>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</si>
  <si>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</si>
  <si>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</si>
  <si>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</si>
  <si>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</si>
  <si>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</si>
  <si>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</si>
  <si>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</si>
  <si>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</si>
  <si>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</si>
  <si>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</si>
  <si>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</si>
  <si>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</si>
  <si>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</si>
  <si>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</si>
  <si>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</si>
  <si>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</si>
  <si>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</si>
  <si>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</si>
  <si>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</si>
  <si>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</si>
  <si>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</si>
  <si>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</si>
  <si>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</si>
  <si>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</si>
  <si>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</si>
  <si>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</si>
  <si>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</si>
  <si>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</si>
  <si>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</si>
  <si>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</si>
  <si>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</si>
  <si>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</si>
  <si>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</si>
  <si>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</si>
  <si>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</si>
  <si>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</si>
  <si>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</si>
  <si>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</si>
  <si>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</si>
  <si>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</si>
  <si>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</si>
  <si>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</si>
  <si>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</si>
  <si>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</si>
  <si>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</si>
  <si>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</si>
  <si>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</si>
  <si>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</si>
  <si>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</si>
  <si>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</si>
  <si>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</si>
  <si>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</si>
  <si>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</si>
  <si>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</si>
  <si>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</si>
  <si>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</si>
  <si>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</si>
  <si>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</si>
  <si>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</si>
  <si>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</si>
  <si>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</si>
  <si>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</si>
  <si>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</si>
  <si>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</si>
  <si>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</si>
  <si>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</si>
  <si>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</si>
  <si>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</si>
  <si>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</si>
  <si>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</si>
  <si>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</si>
  <si>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</si>
  <si>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</si>
  <si>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</si>
  <si>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</si>
  <si>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</si>
  <si>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</si>
  <si>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</si>
  <si>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</si>
  <si>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</si>
  <si>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</si>
  <si>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</si>
  <si>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</si>
  <si>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</si>
  <si>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</si>
  <si>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</si>
  <si>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</si>
  <si>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</si>
  <si>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</si>
  <si>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</si>
  <si>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</si>
  <si>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</si>
  <si>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</si>
  <si>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</si>
  <si>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</si>
  <si>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</si>
  <si>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</si>
  <si>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</si>
  <si>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</si>
  <si>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</si>
  <si>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</si>
  <si>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</si>
  <si>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</si>
  <si>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</si>
  <si>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</si>
  <si>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</si>
  <si>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</si>
  <si>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</si>
  <si>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</si>
  <si>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</si>
  <si>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</si>
  <si>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</si>
  <si>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</si>
  <si>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</si>
  <si>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</si>
  <si>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</si>
  <si>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</si>
  <si>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</si>
  <si>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</si>
  <si>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</si>
  <si>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</si>
  <si>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</si>
  <si>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</si>
  <si>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</si>
  <si>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</si>
  <si>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</si>
  <si>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</si>
  <si>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</si>
  <si>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</si>
  <si>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</si>
  <si>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</si>
  <si>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</si>
  <si>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</si>
  <si>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</si>
  <si>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</si>
  <si>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</si>
  <si>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</si>
  <si>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</si>
  <si>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</si>
  <si>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</si>
  <si>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</si>
  <si>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</si>
  <si>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</si>
  <si>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</si>
  <si>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</si>
  <si>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</si>
  <si>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</si>
  <si>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</si>
  <si>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</si>
  <si>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</si>
  <si>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</si>
  <si>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</si>
  <si>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</si>
  <si>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</si>
  <si>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</si>
  <si>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</si>
  <si>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</si>
  <si>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</si>
  <si>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</si>
  <si>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</si>
  <si>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</si>
  <si>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</si>
  <si>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</si>
  <si>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</si>
  <si>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</si>
  <si>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</si>
  <si>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</si>
  <si>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</si>
  <si>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</si>
  <si>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</si>
  <si>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</si>
  <si>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</si>
  <si>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</si>
  <si>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</si>
  <si>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</si>
  <si>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</si>
  <si>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</si>
  <si>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</si>
  <si>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</si>
  <si>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</si>
  <si>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</si>
  <si>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</si>
  <si>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</si>
  <si>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</si>
  <si>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</si>
  <si>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</si>
  <si>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</si>
  <si>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</si>
  <si>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</si>
  <si>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</si>
  <si>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</si>
  <si>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</si>
  <si>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</si>
  <si>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</si>
  <si>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</si>
  <si>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</si>
  <si>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</si>
  <si>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</si>
  <si>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</si>
  <si>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</si>
  <si>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</si>
  <si>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</si>
  <si>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</si>
  <si>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</si>
  <si>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</si>
  <si>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</si>
  <si>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</si>
  <si>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</si>
  <si>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</si>
  <si>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</si>
  <si>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</si>
  <si>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</si>
  <si>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</si>
  <si>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</si>
  <si>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</si>
  <si>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</si>
  <si>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</si>
  <si>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</si>
  <si>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</si>
  <si>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</si>
  <si>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</si>
  <si>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</si>
  <si>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</si>
  <si>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</si>
  <si>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</si>
  <si>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</si>
  <si>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</si>
  <si>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</si>
  <si>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</si>
  <si>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</si>
  <si>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</si>
  <si>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</si>
  <si>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</si>
  <si>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</si>
  <si>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</si>
  <si>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</si>
  <si>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</si>
  <si>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</si>
  <si>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</si>
  <si>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</si>
  <si>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</si>
  <si>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</si>
  <si>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</si>
  <si>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</si>
  <si>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</si>
  <si>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</si>
  <si>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</si>
  <si>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</si>
  <si>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</si>
  <si>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</si>
  <si>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</si>
  <si>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</si>
  <si>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</si>
  <si>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</si>
  <si>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</si>
  <si>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</si>
  <si>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</si>
  <si>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</si>
  <si>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</si>
  <si>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</si>
  <si>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</si>
  <si>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</si>
  <si>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</si>
  <si>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</si>
  <si>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</si>
  <si>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</si>
  <si>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</si>
  <si>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</si>
  <si>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</si>
  <si>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</si>
  <si>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</si>
  <si>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</si>
  <si>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</si>
  <si>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</si>
  <si>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</si>
  <si>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</si>
  <si>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</si>
  <si>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</si>
  <si>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</si>
  <si>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</si>
  <si>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</si>
  <si>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</si>
  <si>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</si>
  <si>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</si>
  <si>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</si>
  <si>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</si>
  <si>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</si>
  <si>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</si>
  <si>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</si>
  <si>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</si>
  <si>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</si>
  <si>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</si>
  <si>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</si>
  <si>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</si>
  <si>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</si>
  <si>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</si>
  <si>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</si>
  <si>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</si>
  <si>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</si>
  <si>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</si>
  <si>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</si>
  <si>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</si>
  <si>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</si>
  <si>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</si>
  <si>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</si>
  <si>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</si>
  <si>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</si>
  <si>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</si>
  <si>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</si>
  <si>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</si>
  <si>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</si>
  <si>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</si>
  <si>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</si>
  <si>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</si>
  <si>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</si>
  <si>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</si>
  <si>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</si>
  <si>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</si>
  <si>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</si>
  <si>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</si>
  <si>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</si>
  <si>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</si>
  <si>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</si>
  <si>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</si>
  <si>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</si>
  <si>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</si>
  <si>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</si>
  <si>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</si>
  <si>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</si>
  <si>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</si>
  <si>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</si>
  <si>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</si>
  <si>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</si>
  <si>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</si>
  <si>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</si>
  <si>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</si>
  <si>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</si>
  <si>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</si>
  <si>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</si>
  <si>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</si>
  <si>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</si>
  <si>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</si>
  <si>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</si>
  <si>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</si>
  <si>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</si>
  <si>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</si>
  <si>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</si>
  <si>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</si>
  <si>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</si>
  <si>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</si>
  <si>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</si>
  <si>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</si>
  <si>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</si>
  <si>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</si>
  <si>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</si>
  <si>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</si>
  <si>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STEWARTSTOWN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</si>
</sst>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3">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0" fontId="1" fillId="41" borderId="0" xfId="43" applyFont="1" applyFill="1" applyProtection="1">
      <protection locked="0"/>
    </xf>
    <xf numFmtId="4" fontId="73"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3" fillId="0" borderId="0" xfId="0" applyNumberFormat="1" applyFont="1" applyAlignment="1" applyProtection="1">
      <alignment horizontal="center"/>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28" activePane="bottomRight" state="frozen"/>
      <selection pane="topRight" activeCell="F1" sqref="F1"/>
      <selection pane="bottomLeft" activeCell="A4" sqref="A4"/>
      <selection pane="bottomRight" activeCell="F49" sqref="F4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501</v>
      </c>
      <c r="C2" s="21">
        <v>501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37519.06+334545.67</f>
        <v>372064.73</v>
      </c>
      <c r="G9" s="18">
        <v>8296.64</v>
      </c>
      <c r="H9" s="18"/>
      <c r="I9" s="18"/>
      <c r="J9" s="67">
        <f>SUM(I440)</f>
        <v>238820.66</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67847.490000000005</v>
      </c>
      <c r="G12" s="18">
        <v>2661.27</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v>81943.88</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45.06</v>
      </c>
      <c r="G14" s="18">
        <v>2.4</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695.26</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528</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440485.27999999997</v>
      </c>
      <c r="G19" s="41">
        <f>SUM(G9:G18)</f>
        <v>11655.57</v>
      </c>
      <c r="H19" s="41">
        <f>SUM(H9:H18)</f>
        <v>81943.88</v>
      </c>
      <c r="I19" s="41">
        <f>SUM(I9:I18)</f>
        <v>0</v>
      </c>
      <c r="J19" s="41">
        <f>SUM(J9:J18)</f>
        <v>238820.66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68867.94</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15190.08</v>
      </c>
      <c r="G24" s="18">
        <f>4670.19+504.27</f>
        <v>5174.4599999999991</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11624.95</v>
      </c>
      <c r="G28" s="18"/>
      <c r="H28" s="18">
        <f>5018.14+823.49</f>
        <v>5841.63</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3510.92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f>7038.29+196.02</f>
        <v>7234.31</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30325.949999999997</v>
      </c>
      <c r="G32" s="41">
        <f>SUM(G22:G31)</f>
        <v>5174.4599999999991</v>
      </c>
      <c r="H32" s="41">
        <f>SUM(H22:H31)</f>
        <v>81943.88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695.26</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19000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21744</v>
      </c>
      <c r="G48" s="18">
        <f>7450.26-1996.85+59491.73-59159.29</f>
        <v>5785.8499999999985</v>
      </c>
      <c r="H48" s="18"/>
      <c r="I48" s="18"/>
      <c r="J48" s="13">
        <f>SUM(I460)</f>
        <v>238820.66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435288.06-65277.73-595</f>
        <v>369415.33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410159.33</v>
      </c>
      <c r="G51" s="41">
        <f>SUM(G35:G50)</f>
        <v>6481.1099999999988</v>
      </c>
      <c r="H51" s="41">
        <f>SUM(H35:H50)</f>
        <v>0</v>
      </c>
      <c r="I51" s="41">
        <f>SUM(I35:I50)</f>
        <v>0</v>
      </c>
      <c r="J51" s="41">
        <f>SUM(J35:J50)</f>
        <v>238820.66</v>
      </c>
      <c r="K51" s="45" t="s">
        <v>288</v>
      </c>
      <c r="L51" s="45" t="s">
        <v>288</v>
      </c>
      <c r="N51" s="262"/>
    </row>
    <row r="52" spans="1:14" s="3" customFormat="1" ht="12.2" customHeight="1" thickTop="1" x14ac:dyDescent="0.15">
      <c r="A52" s="38" t="s">
        <v>455</v>
      </c>
      <c r="B52" s="39" t="s">
        <v>289</v>
      </c>
      <c r="C52" s="6">
        <v>37</v>
      </c>
      <c r="D52" s="39" t="s">
        <v>653</v>
      </c>
      <c r="E52" s="39"/>
      <c r="F52" s="41">
        <f>F51+F32</f>
        <v>440485.28</v>
      </c>
      <c r="G52" s="41">
        <f>G51+G32</f>
        <v>11655.569999999998</v>
      </c>
      <c r="H52" s="41">
        <f>H51+H32</f>
        <v>81943.88</v>
      </c>
      <c r="I52" s="41">
        <f>I51+I32</f>
        <v>0</v>
      </c>
      <c r="J52" s="41">
        <f>J51+J32</f>
        <v>238820.66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1496146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1496146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26.42</v>
      </c>
      <c r="G96" s="18"/>
      <c r="H96" s="18"/>
      <c r="I96" s="18"/>
      <c r="J96" s="18">
        <v>258.64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2684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8017.83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31665.06+3826.37</f>
        <v>35491.43</v>
      </c>
      <c r="G110" s="18"/>
      <c r="H110" s="18">
        <f>803.98+50.83</f>
        <v>854.81000000000006</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43535.68</v>
      </c>
      <c r="G111" s="41">
        <f>SUM(G96:G110)</f>
        <v>2684</v>
      </c>
      <c r="H111" s="41">
        <f>SUM(H96:H110)</f>
        <v>854.81000000000006</v>
      </c>
      <c r="I111" s="41">
        <f>SUM(I96:I110)</f>
        <v>0</v>
      </c>
      <c r="J111" s="41">
        <f>SUM(J96:J110)</f>
        <v>258.64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1539681.68</v>
      </c>
      <c r="G112" s="41">
        <f>G60+G111</f>
        <v>2684</v>
      </c>
      <c r="H112" s="41">
        <f>H60+H79+H94+H111</f>
        <v>854.81000000000006</v>
      </c>
      <c r="I112" s="41">
        <f>I60+I111</f>
        <v>0</v>
      </c>
      <c r="J112" s="41">
        <f>J60+J111</f>
        <v>258.64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515945.82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173600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689545.82000000007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723.79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723.79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689545.82000000007</v>
      </c>
      <c r="G140" s="41">
        <f>G121+SUM(G136:G137)</f>
        <v>723.79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4732.15+58118.04</f>
        <v>62850.19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1652.28+5018.14+3034+264+823.49+4756</f>
        <v>15547.91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35083.94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5644.72+19200</f>
        <v>24844.720000000001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51645.26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35083.94</v>
      </c>
      <c r="H163" s="41">
        <f>SUM(H150:H162)</f>
        <v>154888.08000000002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35083.94</v>
      </c>
      <c r="H170" s="41">
        <f>H147+H163+SUM(H164:H169)</f>
        <v>154888.08000000002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21000</v>
      </c>
      <c r="H180" s="18"/>
      <c r="I180" s="18"/>
      <c r="J180" s="18">
        <v>25000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21000</v>
      </c>
      <c r="H184" s="41">
        <f>SUM(H180:H183)</f>
        <v>0</v>
      </c>
      <c r="I184" s="41">
        <f>SUM(I180:I183)</f>
        <v>0</v>
      </c>
      <c r="J184" s="41">
        <f>SUM(J180:J183)</f>
        <v>25000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60000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60000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60000</v>
      </c>
      <c r="G193" s="41">
        <f>G184+SUM(G189:G192)</f>
        <v>21000</v>
      </c>
      <c r="H193" s="41">
        <f>+H184+SUM(H189:H192)</f>
        <v>0</v>
      </c>
      <c r="I193" s="41">
        <f>I178+I184+SUM(I189:I192)</f>
        <v>0</v>
      </c>
      <c r="J193" s="41">
        <f>J184</f>
        <v>25000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2289227.5</v>
      </c>
      <c r="G194" s="47">
        <f>G112+G140+G170+G193</f>
        <v>59491.73</v>
      </c>
      <c r="H194" s="47">
        <f>H112+H140+H170+H193</f>
        <v>155742.89000000001</v>
      </c>
      <c r="I194" s="47">
        <f>I112+I140+I170+I193</f>
        <v>0</v>
      </c>
      <c r="J194" s="47">
        <f>J112+J140+J193</f>
        <v>25258.639999999999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247294.26+36300+12100</f>
        <v>295694.26</v>
      </c>
      <c r="G198" s="18">
        <f>151324.52+21740.35+7277.87</f>
        <v>180342.74</v>
      </c>
      <c r="H198" s="18">
        <f>16070.65+1490.51+6227.1</f>
        <v>23788.260000000002</v>
      </c>
      <c r="I198" s="18">
        <f>1216.53+161.6+123.98+1114.9+974.63+297.89+1079.56+1071.68+905.08+6369.4+486.9+131.91+371.5</f>
        <v>14305.56</v>
      </c>
      <c r="J198" s="18">
        <f>826.14+98.86+2296.46</f>
        <v>3221.46</v>
      </c>
      <c r="K198" s="18">
        <v>789.94</v>
      </c>
      <c r="L198" s="19">
        <f>SUM(F198:K198)</f>
        <v>518142.22000000003</v>
      </c>
      <c r="M198" s="8"/>
      <c r="N198" s="264"/>
    </row>
    <row r="199" spans="1:14" s="3" customFormat="1" ht="12.2" customHeight="1" x14ac:dyDescent="0.15">
      <c r="A199" s="1" t="s">
        <v>439</v>
      </c>
      <c r="B199" s="2" t="s">
        <v>341</v>
      </c>
      <c r="C199" s="2" t="s">
        <v>291</v>
      </c>
      <c r="D199" s="2" t="s">
        <v>431</v>
      </c>
      <c r="E199" s="6">
        <v>1200</v>
      </c>
      <c r="F199" s="18">
        <v>134908.43</v>
      </c>
      <c r="G199" s="18">
        <f>322.47+28500.45</f>
        <v>28822.920000000002</v>
      </c>
      <c r="H199" s="18"/>
      <c r="I199" s="18">
        <v>149.04</v>
      </c>
      <c r="J199" s="18"/>
      <c r="K199" s="18">
        <v>0</v>
      </c>
      <c r="L199" s="19">
        <f>SUM(F199:K199)</f>
        <v>163880.39000000001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v>75</v>
      </c>
      <c r="L201" s="19">
        <f>SUM(F201:K201)</f>
        <v>75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74472.53</v>
      </c>
      <c r="G203" s="18">
        <v>22624.880000000001</v>
      </c>
      <c r="H203" s="18">
        <f>66636.71+135</f>
        <v>66771.710000000006</v>
      </c>
      <c r="I203" s="18">
        <v>4371.8</v>
      </c>
      <c r="J203" s="18">
        <v>16637.12</v>
      </c>
      <c r="K203" s="18">
        <v>5017.33</v>
      </c>
      <c r="L203" s="19">
        <f t="shared" ref="L203:L209" si="0">SUM(F203:K203)</f>
        <v>189895.36999999997</v>
      </c>
      <c r="M203" s="8"/>
      <c r="N203" s="264"/>
    </row>
    <row r="204" spans="1:14" s="3" customFormat="1" ht="12.2" customHeight="1" x14ac:dyDescent="0.15">
      <c r="A204" s="1" t="s">
        <v>443</v>
      </c>
      <c r="B204" s="2" t="s">
        <v>341</v>
      </c>
      <c r="C204" s="2" t="s">
        <v>295</v>
      </c>
      <c r="D204" s="2" t="s">
        <v>431</v>
      </c>
      <c r="E204" s="6">
        <v>2200</v>
      </c>
      <c r="F204" s="18">
        <v>30557.54</v>
      </c>
      <c r="G204" s="18">
        <v>2772.16</v>
      </c>
      <c r="H204" s="18">
        <f>248.5+8</f>
        <v>256.5</v>
      </c>
      <c r="I204" s="18">
        <v>2601.73</v>
      </c>
      <c r="J204" s="18"/>
      <c r="K204" s="18">
        <v>1188.92</v>
      </c>
      <c r="L204" s="19">
        <f t="shared" si="0"/>
        <v>37376.85</v>
      </c>
      <c r="M204" s="8"/>
      <c r="N204" s="264"/>
    </row>
    <row r="205" spans="1:14" s="3" customFormat="1" ht="12.2" customHeight="1" x14ac:dyDescent="0.15">
      <c r="A205" s="1" t="s">
        <v>444</v>
      </c>
      <c r="B205" s="2" t="s">
        <v>341</v>
      </c>
      <c r="C205" s="2" t="s">
        <v>296</v>
      </c>
      <c r="D205" s="2" t="s">
        <v>431</v>
      </c>
      <c r="E205" s="6">
        <v>2300</v>
      </c>
      <c r="F205" s="18">
        <v>2301.63</v>
      </c>
      <c r="G205" s="18">
        <v>207.31</v>
      </c>
      <c r="H205" s="18">
        <f>161153.21+13061.98</f>
        <v>174215.19</v>
      </c>
      <c r="I205" s="18">
        <v>2372.38</v>
      </c>
      <c r="J205" s="18"/>
      <c r="K205" s="18">
        <v>3041.15</v>
      </c>
      <c r="L205" s="19">
        <f t="shared" si="0"/>
        <v>182137.66</v>
      </c>
      <c r="M205" s="8"/>
      <c r="N205" s="264"/>
    </row>
    <row r="206" spans="1:14" s="3" customFormat="1" ht="12.2" customHeight="1" x14ac:dyDescent="0.15">
      <c r="A206" s="1" t="s">
        <v>445</v>
      </c>
      <c r="B206" s="2" t="s">
        <v>341</v>
      </c>
      <c r="C206" s="2" t="s">
        <v>297</v>
      </c>
      <c r="D206" s="2" t="s">
        <v>431</v>
      </c>
      <c r="E206" s="6">
        <v>2400</v>
      </c>
      <c r="F206" s="18">
        <v>102367.74</v>
      </c>
      <c r="G206" s="18">
        <v>45507.54</v>
      </c>
      <c r="H206" s="18">
        <f>2338.5+143+2650.72</f>
        <v>5132.2199999999993</v>
      </c>
      <c r="I206" s="18">
        <v>2541.83</v>
      </c>
      <c r="J206" s="18">
        <v>300.07</v>
      </c>
      <c r="K206" s="18">
        <v>3594.33</v>
      </c>
      <c r="L206" s="19">
        <f t="shared" si="0"/>
        <v>159443.72999999998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41897.18</v>
      </c>
      <c r="G208" s="18">
        <v>7026.73</v>
      </c>
      <c r="H208" s="18">
        <f>117851.77+24343.88+5989</f>
        <v>148184.65</v>
      </c>
      <c r="I208" s="18">
        <v>37110.75</v>
      </c>
      <c r="J208" s="18">
        <v>3734.02</v>
      </c>
      <c r="K208" s="18">
        <v>2232.65</v>
      </c>
      <c r="L208" s="19">
        <f t="shared" si="0"/>
        <v>240185.97999999998</v>
      </c>
      <c r="M208" s="8"/>
      <c r="N208" s="264"/>
    </row>
    <row r="209" spans="1:14" s="3" customFormat="1" ht="12.2" customHeight="1" x14ac:dyDescent="0.15">
      <c r="A209" s="1" t="s">
        <v>448</v>
      </c>
      <c r="B209" s="2" t="s">
        <v>341</v>
      </c>
      <c r="C209" s="2" t="s">
        <v>300</v>
      </c>
      <c r="D209" s="2" t="s">
        <v>431</v>
      </c>
      <c r="E209" s="6">
        <v>2700</v>
      </c>
      <c r="F209" s="18">
        <v>37566.36</v>
      </c>
      <c r="G209" s="18">
        <v>4076.7</v>
      </c>
      <c r="H209" s="18">
        <f>9144.8+5072.9</f>
        <v>14217.699999999999</v>
      </c>
      <c r="I209" s="18">
        <v>6003.88</v>
      </c>
      <c r="J209" s="18">
        <v>59744.58</v>
      </c>
      <c r="K209" s="18">
        <v>433.1</v>
      </c>
      <c r="L209" s="19">
        <f t="shared" si="0"/>
        <v>122042.32</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719765.67</v>
      </c>
      <c r="G212" s="41">
        <f t="shared" si="1"/>
        <v>291380.98</v>
      </c>
      <c r="H212" s="41">
        <f t="shared" si="1"/>
        <v>432566.23000000004</v>
      </c>
      <c r="I212" s="41">
        <f t="shared" si="1"/>
        <v>69456.97</v>
      </c>
      <c r="J212" s="41">
        <f t="shared" si="1"/>
        <v>83637.25</v>
      </c>
      <c r="K212" s="41">
        <f t="shared" si="1"/>
        <v>16372.42</v>
      </c>
      <c r="L212" s="41">
        <f t="shared" si="1"/>
        <v>1613179.52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598609.92000000004</v>
      </c>
      <c r="I234" s="18"/>
      <c r="J234" s="18"/>
      <c r="K234" s="18"/>
      <c r="L234" s="19">
        <f>SUM(F234:K234)</f>
        <v>598609.92000000004</v>
      </c>
      <c r="M234" s="8"/>
      <c r="N234" s="264"/>
    </row>
    <row r="235" spans="1:14" s="3" customFormat="1" ht="12.2" customHeight="1" x14ac:dyDescent="0.15">
      <c r="A235" s="1" t="s">
        <v>439</v>
      </c>
      <c r="B235" s="2" t="s">
        <v>350</v>
      </c>
      <c r="C235" s="2" t="s">
        <v>291</v>
      </c>
      <c r="D235" s="2" t="s">
        <v>431</v>
      </c>
      <c r="E235" s="6">
        <v>1200</v>
      </c>
      <c r="F235" s="18"/>
      <c r="G235" s="18"/>
      <c r="H235" s="18">
        <v>19383.37</v>
      </c>
      <c r="I235" s="18"/>
      <c r="J235" s="18"/>
      <c r="K235" s="18"/>
      <c r="L235" s="19">
        <f>SUM(F235:K235)</f>
        <v>19383.37</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6601.01</v>
      </c>
      <c r="I239" s="18"/>
      <c r="J239" s="18"/>
      <c r="K239" s="18"/>
      <c r="L239" s="19">
        <f t="shared" ref="L239:L245" si="4">SUM(F239:K239)</f>
        <v>6601.01</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v>1534.59</v>
      </c>
      <c r="G241" s="18">
        <v>133.03</v>
      </c>
      <c r="H241" s="18">
        <v>263.39999999999998</v>
      </c>
      <c r="I241" s="18"/>
      <c r="J241" s="18"/>
      <c r="K241" s="18"/>
      <c r="L241" s="19">
        <f t="shared" si="4"/>
        <v>1931.02</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v>15558.28</v>
      </c>
      <c r="G245" s="18">
        <v>1680.88</v>
      </c>
      <c r="H245" s="18">
        <f>3919.2+17.1</f>
        <v>3936.2999999999997</v>
      </c>
      <c r="I245" s="18">
        <v>2415.63</v>
      </c>
      <c r="J245" s="18">
        <v>24409.5</v>
      </c>
      <c r="K245" s="18">
        <v>84.9</v>
      </c>
      <c r="L245" s="19">
        <f t="shared" si="4"/>
        <v>48085.49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17092.87</v>
      </c>
      <c r="G248" s="41">
        <f t="shared" si="5"/>
        <v>1813.91</v>
      </c>
      <c r="H248" s="41">
        <f t="shared" si="5"/>
        <v>628794.00000000012</v>
      </c>
      <c r="I248" s="41">
        <f t="shared" si="5"/>
        <v>2415.63</v>
      </c>
      <c r="J248" s="41">
        <f t="shared" si="5"/>
        <v>24409.5</v>
      </c>
      <c r="K248" s="41">
        <f t="shared" si="5"/>
        <v>84.9</v>
      </c>
      <c r="L248" s="41">
        <f t="shared" si="5"/>
        <v>674610.81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736858.54</v>
      </c>
      <c r="G258" s="41">
        <f t="shared" si="8"/>
        <v>293194.88999999996</v>
      </c>
      <c r="H258" s="41">
        <f t="shared" si="8"/>
        <v>1061360.2300000002</v>
      </c>
      <c r="I258" s="41">
        <f t="shared" si="8"/>
        <v>71872.600000000006</v>
      </c>
      <c r="J258" s="41">
        <f t="shared" si="8"/>
        <v>108046.75</v>
      </c>
      <c r="K258" s="41">
        <f t="shared" si="8"/>
        <v>16457.32</v>
      </c>
      <c r="L258" s="41">
        <f t="shared" si="8"/>
        <v>2287790.33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21000</v>
      </c>
      <c r="L264" s="19">
        <f>SUM(F264:K264)</f>
        <v>21000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20714.900000000001</v>
      </c>
      <c r="L269" s="19">
        <f t="shared" si="9"/>
        <v>20714.900000000001</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66714.899999999994</v>
      </c>
      <c r="L271" s="41">
        <f t="shared" si="9"/>
        <v>66714.899999999994</v>
      </c>
      <c r="M271" s="8"/>
      <c r="N271" s="264"/>
    </row>
    <row r="272" spans="1:14" s="34" customFormat="1" ht="12.2" customHeight="1" thickTop="1" x14ac:dyDescent="0.2">
      <c r="A272" s="43" t="s">
        <v>464</v>
      </c>
      <c r="B272" s="40">
        <v>10</v>
      </c>
      <c r="C272" s="40">
        <v>18</v>
      </c>
      <c r="D272" s="39" t="s">
        <v>431</v>
      </c>
      <c r="E272" s="40"/>
      <c r="F272" s="42">
        <f t="shared" ref="F272:L272" si="11">F258+F271</f>
        <v>736858.54</v>
      </c>
      <c r="G272" s="42">
        <f t="shared" si="11"/>
        <v>293194.88999999996</v>
      </c>
      <c r="H272" s="42">
        <f t="shared" si="11"/>
        <v>1061360.2300000002</v>
      </c>
      <c r="I272" s="42">
        <f t="shared" si="11"/>
        <v>71872.600000000006</v>
      </c>
      <c r="J272" s="42">
        <f t="shared" si="11"/>
        <v>108046.75</v>
      </c>
      <c r="K272" s="42">
        <f t="shared" si="11"/>
        <v>83172.22</v>
      </c>
      <c r="L272" s="42">
        <f t="shared" si="11"/>
        <v>2354505.23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40923.339999999997</v>
      </c>
      <c r="G277" s="18">
        <f>8008.12+2990.83+3068.84</f>
        <v>14067.79</v>
      </c>
      <c r="H277" s="18"/>
      <c r="I277" s="18">
        <f>803.98+2656.22+173.96</f>
        <v>3634.16</v>
      </c>
      <c r="J277" s="18">
        <f>4722.8+16543.78+1922.56</f>
        <v>23189.14</v>
      </c>
      <c r="K277" s="18">
        <v>150</v>
      </c>
      <c r="L277" s="19">
        <f>SUM(F277:K277)</f>
        <v>81964.429999999993</v>
      </c>
      <c r="M277" s="8"/>
      <c r="N277" s="264"/>
    </row>
    <row r="278" spans="1:14" s="3" customFormat="1" ht="12.2" customHeight="1" x14ac:dyDescent="0.15">
      <c r="A278" s="1" t="s">
        <v>439</v>
      </c>
      <c r="B278" s="2" t="s">
        <v>357</v>
      </c>
      <c r="C278" s="2" t="s">
        <v>291</v>
      </c>
      <c r="D278" s="2" t="s">
        <v>431</v>
      </c>
      <c r="E278" s="6">
        <v>1200</v>
      </c>
      <c r="F278" s="18"/>
      <c r="G278" s="18"/>
      <c r="H278" s="18"/>
      <c r="I278" s="18"/>
      <c r="J278" s="18">
        <v>1652.28</v>
      </c>
      <c r="K278" s="18"/>
      <c r="L278" s="19">
        <f>SUM(F278:K278)</f>
        <v>1652.28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2975</v>
      </c>
      <c r="G280" s="18">
        <f>227.6+529.55</f>
        <v>757.15</v>
      </c>
      <c r="H280" s="18"/>
      <c r="I280" s="18"/>
      <c r="J280" s="18"/>
      <c r="K280" s="18">
        <v>0</v>
      </c>
      <c r="L280" s="19">
        <f>SUM(F280:K280)</f>
        <v>3732.15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c r="H282" s="18">
        <v>4806.83</v>
      </c>
      <c r="I282" s="18">
        <f>515.8+1081.22</f>
        <v>1597.02</v>
      </c>
      <c r="J282" s="18">
        <f>77.96+434.25+1097.98+863.19+202</f>
        <v>2675.38</v>
      </c>
      <c r="K282" s="18">
        <v>878.95</v>
      </c>
      <c r="L282" s="19">
        <f t="shared" ref="L282:L288" si="12">SUM(F282:K282)</f>
        <v>9958.18</v>
      </c>
      <c r="M282" s="8"/>
      <c r="N282" s="264"/>
    </row>
    <row r="283" spans="1:14" s="3" customFormat="1" ht="12.2" customHeight="1" x14ac:dyDescent="0.15">
      <c r="A283" s="1" t="s">
        <v>443</v>
      </c>
      <c r="B283" s="2" t="s">
        <v>357</v>
      </c>
      <c r="C283" s="2" t="s">
        <v>295</v>
      </c>
      <c r="D283" s="2" t="s">
        <v>431</v>
      </c>
      <c r="E283" s="6">
        <v>2200</v>
      </c>
      <c r="F283" s="18">
        <f>3900+640</f>
        <v>4540</v>
      </c>
      <c r="G283" s="18">
        <f>298.35+819.79+48.96+134.53</f>
        <v>1301.6299999999999</v>
      </c>
      <c r="H283" s="18">
        <f>2769+265+2000+500</f>
        <v>5534</v>
      </c>
      <c r="I283" s="18">
        <v>11218.88</v>
      </c>
      <c r="J283" s="18">
        <f>18367.66</f>
        <v>18367.66</v>
      </c>
      <c r="K283" s="18"/>
      <c r="L283" s="19">
        <f t="shared" si="12"/>
        <v>40962.17</v>
      </c>
      <c r="M283" s="8"/>
      <c r="N283" s="264"/>
    </row>
    <row r="284" spans="1:14" s="3" customFormat="1" ht="12.2" customHeight="1" x14ac:dyDescent="0.15">
      <c r="A284" s="1" t="s">
        <v>444</v>
      </c>
      <c r="B284" s="2" t="s">
        <v>357</v>
      </c>
      <c r="C284" s="2" t="s">
        <v>296</v>
      </c>
      <c r="D284" s="2" t="s">
        <v>431</v>
      </c>
      <c r="E284" s="6">
        <v>2300</v>
      </c>
      <c r="F284" s="18">
        <v>2500</v>
      </c>
      <c r="G284" s="18">
        <f>182+444.91</f>
        <v>626.91000000000008</v>
      </c>
      <c r="H284" s="18"/>
      <c r="I284" s="18"/>
      <c r="J284" s="18"/>
      <c r="K284" s="18"/>
      <c r="L284" s="19">
        <f t="shared" si="12"/>
        <v>3126.91</v>
      </c>
      <c r="M284" s="8"/>
      <c r="N284" s="264"/>
    </row>
    <row r="285" spans="1:14" s="3" customFormat="1" ht="12.2" customHeight="1" x14ac:dyDescent="0.15">
      <c r="A285" s="1" t="s">
        <v>445</v>
      </c>
      <c r="B285" s="2" t="s">
        <v>357</v>
      </c>
      <c r="C285" s="2" t="s">
        <v>297</v>
      </c>
      <c r="D285" s="2" t="s">
        <v>431</v>
      </c>
      <c r="E285" s="6">
        <v>2400</v>
      </c>
      <c r="F285" s="18">
        <v>0</v>
      </c>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f>1000+264</f>
        <v>1264</v>
      </c>
      <c r="L286" s="19">
        <f t="shared" si="12"/>
        <v>1264</v>
      </c>
      <c r="M286" s="8"/>
      <c r="N286" s="264"/>
    </row>
    <row r="287" spans="1:14" s="3" customFormat="1" ht="12.2" customHeight="1" x14ac:dyDescent="0.15">
      <c r="A287" s="1" t="s">
        <v>447</v>
      </c>
      <c r="B287" s="2" t="s">
        <v>357</v>
      </c>
      <c r="C287" s="2" t="s">
        <v>299</v>
      </c>
      <c r="D287" s="2" t="s">
        <v>431</v>
      </c>
      <c r="E287" s="6">
        <v>2600</v>
      </c>
      <c r="F287" s="18">
        <v>9788.39</v>
      </c>
      <c r="G287" s="18">
        <f>748.82+205.24</f>
        <v>954.06000000000006</v>
      </c>
      <c r="H287" s="18"/>
      <c r="I287" s="18">
        <v>75.34</v>
      </c>
      <c r="J287" s="18">
        <v>2264.98</v>
      </c>
      <c r="K287" s="18"/>
      <c r="L287" s="19">
        <f t="shared" si="12"/>
        <v>13082.769999999999</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60726.729999999996</v>
      </c>
      <c r="G291" s="42">
        <f t="shared" si="13"/>
        <v>17707.54</v>
      </c>
      <c r="H291" s="42">
        <f t="shared" si="13"/>
        <v>10340.83</v>
      </c>
      <c r="I291" s="42">
        <f t="shared" si="13"/>
        <v>16525.399999999998</v>
      </c>
      <c r="J291" s="42">
        <f t="shared" si="13"/>
        <v>48149.440000000002</v>
      </c>
      <c r="K291" s="42">
        <f t="shared" si="13"/>
        <v>2292.9499999999998</v>
      </c>
      <c r="L291" s="41">
        <f t="shared" si="13"/>
        <v>155742.88999999996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60726.729999999996</v>
      </c>
      <c r="G339" s="41">
        <f t="shared" si="20"/>
        <v>17707.54</v>
      </c>
      <c r="H339" s="41">
        <f t="shared" si="20"/>
        <v>10340.83</v>
      </c>
      <c r="I339" s="41">
        <f t="shared" si="20"/>
        <v>16525.399999999998</v>
      </c>
      <c r="J339" s="41">
        <f t="shared" si="20"/>
        <v>48149.440000000002</v>
      </c>
      <c r="K339" s="41">
        <f t="shared" si="20"/>
        <v>2292.9499999999998</v>
      </c>
      <c r="L339" s="41">
        <f t="shared" si="20"/>
        <v>155742.88999999996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60726.729999999996</v>
      </c>
      <c r="G353" s="41">
        <f>G339</f>
        <v>17707.54</v>
      </c>
      <c r="H353" s="41">
        <f>H339</f>
        <v>10340.83</v>
      </c>
      <c r="I353" s="41">
        <f>I339</f>
        <v>16525.399999999998</v>
      </c>
      <c r="J353" s="41">
        <f>J339</f>
        <v>48149.440000000002</v>
      </c>
      <c r="K353" s="47">
        <f>K339+K352</f>
        <v>2292.9499999999998</v>
      </c>
      <c r="L353" s="41">
        <f>L339+L352</f>
        <v>155742.88999999996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238.02+44.11</f>
        <v>282.13</v>
      </c>
      <c r="G359" s="18">
        <f>18.22+3.38</f>
        <v>21.599999999999998</v>
      </c>
      <c r="H359" s="18">
        <f>3885.98+53714.01</f>
        <v>57599.990000000005</v>
      </c>
      <c r="I359" s="18">
        <f>396.13+176.72+595.44</f>
        <v>1168.29</v>
      </c>
      <c r="J359" s="18">
        <v>77.930000000000007</v>
      </c>
      <c r="K359" s="18">
        <f>9.35</f>
        <v>9.35</v>
      </c>
      <c r="L359" s="13">
        <f>SUM(F359:K359)</f>
        <v>59159.290000000008</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282.13</v>
      </c>
      <c r="G363" s="47">
        <f t="shared" si="22"/>
        <v>21.599999999999998</v>
      </c>
      <c r="H363" s="47">
        <f t="shared" si="22"/>
        <v>57599.990000000005</v>
      </c>
      <c r="I363" s="47">
        <f t="shared" si="22"/>
        <v>1168.29</v>
      </c>
      <c r="J363" s="47">
        <f t="shared" si="22"/>
        <v>77.930000000000007</v>
      </c>
      <c r="K363" s="47">
        <f t="shared" si="22"/>
        <v>9.35</v>
      </c>
      <c r="L363" s="47">
        <f t="shared" si="22"/>
        <v>59159.290000000008</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1168.29</v>
      </c>
      <c r="G369" s="63"/>
      <c r="H369" s="63"/>
      <c r="I369" s="56">
        <f>SUM(F369:H369)</f>
        <v>1168.29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1168.29</v>
      </c>
      <c r="G370" s="47">
        <f>SUM(G368:G369)</f>
        <v>0</v>
      </c>
      <c r="H370" s="47">
        <f>SUM(H368:H369)</f>
        <v>0</v>
      </c>
      <c r="I370" s="47">
        <f>SUM(I368:I369)</f>
        <v>1168.29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v>43.97</v>
      </c>
      <c r="I391" s="18"/>
      <c r="J391" s="24" t="s">
        <v>288</v>
      </c>
      <c r="K391" s="24" t="s">
        <v>288</v>
      </c>
      <c r="L391" s="56">
        <f t="shared" si="25"/>
        <v>43.97</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43.97</v>
      </c>
      <c r="I394" s="65">
        <f>SUM(I388:I393)</f>
        <v>0</v>
      </c>
      <c r="J394" s="45" t="s">
        <v>288</v>
      </c>
      <c r="K394" s="45" t="s">
        <v>288</v>
      </c>
      <c r="L394" s="47">
        <f>SUM(L388:L393)</f>
        <v>43.97</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25000</v>
      </c>
      <c r="H397" s="18">
        <v>32.29</v>
      </c>
      <c r="I397" s="18"/>
      <c r="J397" s="24" t="s">
        <v>288</v>
      </c>
      <c r="K397" s="24" t="s">
        <v>288</v>
      </c>
      <c r="L397" s="56">
        <f t="shared" si="26"/>
        <v>25032.29</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f>179.87+2.51</f>
        <v>182.38</v>
      </c>
      <c r="I401" s="18"/>
      <c r="J401" s="24" t="s">
        <v>288</v>
      </c>
      <c r="K401" s="24" t="s">
        <v>288</v>
      </c>
      <c r="L401" s="56">
        <f t="shared" si="26"/>
        <v>182.38</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214.67</v>
      </c>
      <c r="I402" s="47">
        <f>SUM(I396:I401)</f>
        <v>0</v>
      </c>
      <c r="J402" s="45" t="s">
        <v>288</v>
      </c>
      <c r="K402" s="45" t="s">
        <v>288</v>
      </c>
      <c r="L402" s="47">
        <f>SUM(L396:L401)</f>
        <v>25214.670000000002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25000</v>
      </c>
      <c r="H409" s="47">
        <f>H394+H402+H408</f>
        <v>258.64</v>
      </c>
      <c r="I409" s="47">
        <f>I394+I402+I408</f>
        <v>0</v>
      </c>
      <c r="J409" s="24" t="s">
        <v>288</v>
      </c>
      <c r="K409" s="24" t="s">
        <v>288</v>
      </c>
      <c r="L409" s="47">
        <f>L394+L402+L408</f>
        <v>25258.640000000003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v>60000</v>
      </c>
      <c r="L417" s="56">
        <f t="shared" si="27"/>
        <v>60000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v>50</v>
      </c>
      <c r="L419" s="56">
        <f t="shared" si="27"/>
        <v>50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60050</v>
      </c>
      <c r="L420" s="47">
        <f t="shared" si="28"/>
        <v>60050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60050</v>
      </c>
      <c r="L435" s="47">
        <f t="shared" si="32"/>
        <v>60050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2451.2399999999998</v>
      </c>
      <c r="G440" s="18">
        <v>236369.42</v>
      </c>
      <c r="H440" s="18"/>
      <c r="I440" s="56">
        <f t="shared" ref="I440:I446" si="33">SUM(F440:H440)</f>
        <v>238820.66</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2451.2399999999998</v>
      </c>
      <c r="G447" s="13">
        <f>SUM(G440:G446)</f>
        <v>236369.42</v>
      </c>
      <c r="H447" s="13">
        <f>SUM(H440:H446)</f>
        <v>0</v>
      </c>
      <c r="I447" s="13">
        <f>SUM(I440:I446)</f>
        <v>238820.66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2451.2399999999998</v>
      </c>
      <c r="G460" s="18">
        <v>236369.42</v>
      </c>
      <c r="H460" s="18"/>
      <c r="I460" s="56">
        <f t="shared" si="34"/>
        <v>238820.66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2451.2399999999998</v>
      </c>
      <c r="G461" s="83">
        <f>SUM(G455:G460)</f>
        <v>236369.42</v>
      </c>
      <c r="H461" s="83">
        <f>SUM(H455:H460)</f>
        <v>0</v>
      </c>
      <c r="I461" s="83">
        <f>SUM(I455:I460)</f>
        <v>238820.66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2451.2399999999998</v>
      </c>
      <c r="G462" s="42">
        <f>G453+G461</f>
        <v>236369.42</v>
      </c>
      <c r="H462" s="42">
        <f>H453+H461</f>
        <v>0</v>
      </c>
      <c r="I462" s="42">
        <f>I453+I461</f>
        <v>238820.66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475213.06</v>
      </c>
      <c r="G466" s="18">
        <v>8461.9599999999991</v>
      </c>
      <c r="H466" s="18">
        <v>0</v>
      </c>
      <c r="I466" s="18"/>
      <c r="J466" s="18">
        <v>273612.02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2289227.5</v>
      </c>
      <c r="G469" s="18">
        <v>59491.73</v>
      </c>
      <c r="H469" s="18">
        <v>155742.89000000001</v>
      </c>
      <c r="I469" s="18"/>
      <c r="J469" s="18">
        <v>25258.639999999999</v>
      </c>
      <c r="K469" s="24" t="s">
        <v>288</v>
      </c>
      <c r="L469" s="24" t="s">
        <v>288</v>
      </c>
      <c r="N469" s="263"/>
    </row>
    <row r="470" spans="1:14" s="52" customFormat="1" ht="12.2" customHeight="1" x14ac:dyDescent="0.2">
      <c r="A470" s="93" t="s">
        <v>611</v>
      </c>
      <c r="B470" s="75">
        <v>19</v>
      </c>
      <c r="C470" s="80">
        <v>3</v>
      </c>
      <c r="D470" s="2" t="s">
        <v>432</v>
      </c>
      <c r="E470" s="80"/>
      <c r="F470" s="18">
        <v>224</v>
      </c>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2289451.5</v>
      </c>
      <c r="G471" s="53">
        <f>SUM(G469:G470)</f>
        <v>59491.73</v>
      </c>
      <c r="H471" s="53">
        <f>SUM(H469:H470)</f>
        <v>155742.89000000001</v>
      </c>
      <c r="I471" s="53">
        <f>SUM(I469:I470)</f>
        <v>0</v>
      </c>
      <c r="J471" s="53">
        <f>SUM(J469:J470)</f>
        <v>25258.639999999999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2354505.23</v>
      </c>
      <c r="G473" s="18">
        <v>59159.29</v>
      </c>
      <c r="H473" s="18">
        <v>155742.89000000001</v>
      </c>
      <c r="I473" s="18"/>
      <c r="J473" s="18">
        <v>60050</v>
      </c>
      <c r="K473" s="24" t="s">
        <v>288</v>
      </c>
      <c r="L473" s="24" t="s">
        <v>288</v>
      </c>
      <c r="N473" s="263"/>
    </row>
    <row r="474" spans="1:14" s="52" customFormat="1" ht="12.2" customHeight="1" x14ac:dyDescent="0.2">
      <c r="A474" s="93" t="s">
        <v>613</v>
      </c>
      <c r="B474" s="75">
        <v>19</v>
      </c>
      <c r="C474" s="80">
        <v>6</v>
      </c>
      <c r="D474" s="2" t="s">
        <v>432</v>
      </c>
      <c r="E474" s="80"/>
      <c r="F474" s="18"/>
      <c r="G474" s="18">
        <v>2313.29</v>
      </c>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2354505.23</v>
      </c>
      <c r="G475" s="53">
        <f>SUM(G473:G474)</f>
        <v>61472.58</v>
      </c>
      <c r="H475" s="53">
        <f>SUM(H473:H474)</f>
        <v>155742.89000000001</v>
      </c>
      <c r="I475" s="53">
        <f>SUM(I473:I474)</f>
        <v>0</v>
      </c>
      <c r="J475" s="53">
        <f>SUM(J473:J474)</f>
        <v>60050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410159.33000000007</v>
      </c>
      <c r="G477" s="53">
        <f>(G466+G471)- G475</f>
        <v>6481.1100000000006</v>
      </c>
      <c r="H477" s="53">
        <f>(H466+H471)- H475</f>
        <v>0</v>
      </c>
      <c r="I477" s="53">
        <f>(I466+I471)- I475</f>
        <v>0</v>
      </c>
      <c r="J477" s="53">
        <f>(J466+J471)- J475</f>
        <v>238820.66000000003</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134908.43</v>
      </c>
      <c r="G522" s="18">
        <v>28500.45</v>
      </c>
      <c r="H522" s="18"/>
      <c r="I522" s="18">
        <v>149.04</v>
      </c>
      <c r="J522" s="18">
        <v>1652.28</v>
      </c>
      <c r="K522" s="18"/>
      <c r="L522" s="88">
        <f>SUM(F522:K522)</f>
        <v>165210.20000000001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v>19383.37</v>
      </c>
      <c r="I524" s="18"/>
      <c r="J524" s="18"/>
      <c r="K524" s="18"/>
      <c r="L524" s="88">
        <f>SUM(F524:K524)</f>
        <v>19383.37</v>
      </c>
      <c r="N524" s="263"/>
    </row>
    <row r="525" spans="1:14" s="52" customFormat="1" ht="12.2" customHeight="1" thickTop="1" x14ac:dyDescent="0.2">
      <c r="A525" s="139" t="s">
        <v>63</v>
      </c>
      <c r="B525" s="107">
        <v>21</v>
      </c>
      <c r="C525" s="195">
        <v>4</v>
      </c>
      <c r="D525" s="196" t="s">
        <v>432</v>
      </c>
      <c r="E525" s="195"/>
      <c r="F525" s="108">
        <f>SUM(F522:F524)</f>
        <v>134908.43</v>
      </c>
      <c r="G525" s="108">
        <f t="shared" ref="G525:L525" si="36">SUM(G522:G524)</f>
        <v>28500.45</v>
      </c>
      <c r="H525" s="108">
        <f t="shared" si="36"/>
        <v>19383.37</v>
      </c>
      <c r="I525" s="108">
        <f t="shared" si="36"/>
        <v>149.04</v>
      </c>
      <c r="J525" s="108">
        <f t="shared" si="36"/>
        <v>1652.28</v>
      </c>
      <c r="K525" s="108">
        <f t="shared" si="36"/>
        <v>0</v>
      </c>
      <c r="L525" s="89">
        <f t="shared" si="36"/>
        <v>184593.57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12085.25</v>
      </c>
      <c r="G527" s="18">
        <f>955.72+15.79</f>
        <v>971.51</v>
      </c>
      <c r="H527" s="18">
        <f>8576.17+1096.36</f>
        <v>9672.5300000000007</v>
      </c>
      <c r="I527" s="18">
        <v>504.36</v>
      </c>
      <c r="J527" s="18"/>
      <c r="K527" s="18"/>
      <c r="L527" s="88">
        <f>SUM(F527:K527)</f>
        <v>23233.65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f>5194.51+438.54</f>
        <v>5633.05</v>
      </c>
      <c r="I529" s="18"/>
      <c r="J529" s="18"/>
      <c r="K529" s="18"/>
      <c r="L529" s="88">
        <f>SUM(F529:K529)</f>
        <v>5633.05</v>
      </c>
      <c r="M529" s="8"/>
      <c r="N529" s="264"/>
    </row>
    <row r="530" spans="1:14" s="3" customFormat="1" ht="12.2" customHeight="1" thickTop="1" x14ac:dyDescent="0.15">
      <c r="A530" s="139" t="s">
        <v>65</v>
      </c>
      <c r="B530" s="107">
        <v>21</v>
      </c>
      <c r="C530" s="107">
        <v>8</v>
      </c>
      <c r="D530" s="158" t="s">
        <v>432</v>
      </c>
      <c r="E530" s="107"/>
      <c r="F530" s="89">
        <f>SUM(F527:F529)</f>
        <v>12085.25</v>
      </c>
      <c r="G530" s="89">
        <f t="shared" ref="G530:L530" si="37">SUM(G527:G529)</f>
        <v>971.51</v>
      </c>
      <c r="H530" s="89">
        <f t="shared" si="37"/>
        <v>15305.580000000002</v>
      </c>
      <c r="I530" s="89">
        <f t="shared" si="37"/>
        <v>504.36</v>
      </c>
      <c r="J530" s="89">
        <f t="shared" si="37"/>
        <v>0</v>
      </c>
      <c r="K530" s="89">
        <f t="shared" si="37"/>
        <v>0</v>
      </c>
      <c r="L530" s="89">
        <f t="shared" si="37"/>
        <v>28866.7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7375.17</v>
      </c>
      <c r="I532" s="18"/>
      <c r="J532" s="18"/>
      <c r="K532" s="18"/>
      <c r="L532" s="88">
        <f>SUM(F532:K532)</f>
        <v>7375.17</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v>3352.35</v>
      </c>
      <c r="I534" s="18"/>
      <c r="J534" s="18"/>
      <c r="K534" s="18"/>
      <c r="L534" s="88">
        <f>SUM(F534:K534)</f>
        <v>3352.35</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10727.52</v>
      </c>
      <c r="I535" s="89">
        <f t="shared" si="38"/>
        <v>0</v>
      </c>
      <c r="J535" s="89">
        <f t="shared" si="38"/>
        <v>0</v>
      </c>
      <c r="K535" s="89">
        <f t="shared" si="38"/>
        <v>0</v>
      </c>
      <c r="L535" s="89">
        <f t="shared" si="38"/>
        <v>10727.52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v>0</v>
      </c>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146993.68</v>
      </c>
      <c r="G546" s="89">
        <f t="shared" ref="G546:L546" si="41">G525+G530+G535+G540+G545</f>
        <v>29471.96</v>
      </c>
      <c r="H546" s="89">
        <f t="shared" si="41"/>
        <v>45416.47</v>
      </c>
      <c r="I546" s="89">
        <f t="shared" si="41"/>
        <v>653.4</v>
      </c>
      <c r="J546" s="89">
        <f t="shared" si="41"/>
        <v>1652.28</v>
      </c>
      <c r="K546" s="89">
        <f t="shared" si="41"/>
        <v>0</v>
      </c>
      <c r="L546" s="89">
        <f t="shared" si="41"/>
        <v>224187.79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165210.20000000001</v>
      </c>
      <c r="G550" s="87">
        <f>L527</f>
        <v>23233.65</v>
      </c>
      <c r="H550" s="87">
        <f>L532</f>
        <v>7375.17</v>
      </c>
      <c r="I550" s="87">
        <f>L537</f>
        <v>0</v>
      </c>
      <c r="J550" s="87">
        <f>L542</f>
        <v>0</v>
      </c>
      <c r="K550" s="87">
        <f>SUM(F550:J550)</f>
        <v>195819.02000000002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19383.37</v>
      </c>
      <c r="G552" s="87">
        <f>L529</f>
        <v>5633.05</v>
      </c>
      <c r="H552" s="87">
        <f>L534</f>
        <v>3352.35</v>
      </c>
      <c r="I552" s="87">
        <f>L539</f>
        <v>0</v>
      </c>
      <c r="J552" s="87">
        <f>L544</f>
        <v>0</v>
      </c>
      <c r="K552" s="87">
        <f>SUM(F552:J552)</f>
        <v>28368.769999999997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184593.57</v>
      </c>
      <c r="G553" s="89">
        <f t="shared" si="42"/>
        <v>28866.7</v>
      </c>
      <c r="H553" s="89">
        <f t="shared" si="42"/>
        <v>10727.52</v>
      </c>
      <c r="I553" s="89">
        <f t="shared" si="42"/>
        <v>0</v>
      </c>
      <c r="J553" s="89">
        <f t="shared" si="42"/>
        <v>0</v>
      </c>
      <c r="K553" s="89">
        <f t="shared" si="42"/>
        <v>224187.79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174905.94</v>
      </c>
      <c r="I576" s="87">
        <f>SUM(F576:H576)</f>
        <v>174905.94</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v>423703.98</v>
      </c>
      <c r="I577" s="87">
        <f t="shared" ref="I577:I588" si="47">SUM(F577:H577)</f>
        <v>423703.98</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v>9335.68</v>
      </c>
      <c r="I583" s="87">
        <f t="shared" si="47"/>
        <v>9335.68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121322.68+15.79</f>
        <v>121338.46999999999</v>
      </c>
      <c r="I592" s="18"/>
      <c r="J592" s="18">
        <v>48085.49</v>
      </c>
      <c r="K592" s="104">
        <f t="shared" ref="K592:K598" si="48">SUM(H592:J592)</f>
        <v>169423.96</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703.85</v>
      </c>
      <c r="I596" s="18"/>
      <c r="J596" s="18"/>
      <c r="K596" s="104">
        <f t="shared" si="48"/>
        <v>703.85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122042.31999999999</v>
      </c>
      <c r="I599" s="108">
        <f>SUM(I592:I598)</f>
        <v>0</v>
      </c>
      <c r="J599" s="108">
        <f>SUM(J592:J598)</f>
        <v>48085.49</v>
      </c>
      <c r="K599" s="108">
        <f>SUM(K592:K598)</f>
        <v>170127.81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131864.62-77.93</f>
        <v>131786.69</v>
      </c>
      <c r="I605" s="18"/>
      <c r="J605" s="18">
        <v>24409.5</v>
      </c>
      <c r="K605" s="104">
        <f>SUM(H605:J605)</f>
        <v>156196.19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131786.69</v>
      </c>
      <c r="I606" s="108">
        <f>SUM(I603:I605)</f>
        <v>0</v>
      </c>
      <c r="J606" s="108">
        <f>SUM(J603:J605)</f>
        <v>24409.5</v>
      </c>
      <c r="K606" s="108">
        <f>SUM(K603:K605)</f>
        <v>156196.19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440485.27999999997</v>
      </c>
      <c r="H618" s="109">
        <f>SUM(F52)</f>
        <v>440485.28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11655.57</v>
      </c>
      <c r="H619" s="109">
        <f>SUM(G52)</f>
        <v>11655.569999999998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81943.88</v>
      </c>
      <c r="H620" s="109">
        <f>SUM(H52)</f>
        <v>81943.88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238820.66</v>
      </c>
      <c r="H622" s="109">
        <f>SUM(J52)</f>
        <v>238820.66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410159.33</v>
      </c>
      <c r="H623" s="109">
        <f>F477</f>
        <v>410159.33000000007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6481.1099999999988</v>
      </c>
      <c r="H624" s="109">
        <f>G477</f>
        <v>6481.1100000000006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238820.66</v>
      </c>
      <c r="H627" s="109">
        <f>J477</f>
        <v>238820.66000000003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2289227.5</v>
      </c>
      <c r="H628" s="104">
        <f>SUM(F469)</f>
        <v>2289227.5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59491.73</v>
      </c>
      <c r="H629" s="104">
        <f>SUM(G469)</f>
        <v>59491.73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155742.89000000001</v>
      </c>
      <c r="H630" s="104">
        <f>SUM(H469)</f>
        <v>155742.89000000001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25258.639999999999</v>
      </c>
      <c r="H632" s="104">
        <f>SUM(J469)</f>
        <v>25258.639999999999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2354505.23</v>
      </c>
      <c r="H633" s="104">
        <f>SUM(F473)</f>
        <v>2354505.23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155742.88999999996</v>
      </c>
      <c r="H634" s="104">
        <f>SUM(H473)</f>
        <v>155742.89000000001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1168.29</v>
      </c>
      <c r="H635" s="104">
        <f>I370</f>
        <v>1168.29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59159.290000000008</v>
      </c>
      <c r="H636" s="104">
        <f>SUM(G473)</f>
        <v>59159.29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25258.640000000003</v>
      </c>
      <c r="H638" s="164">
        <f>SUM(J469)</f>
        <v>25258.639999999999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60050</v>
      </c>
      <c r="H639" s="164">
        <f>SUM(J473)</f>
        <v>60050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2451.2399999999998</v>
      </c>
      <c r="H640" s="104">
        <f>SUM(F462)</f>
        <v>2451.2399999999998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236369.42</v>
      </c>
      <c r="H641" s="104">
        <f>SUM(G462)</f>
        <v>236369.42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238820.66</v>
      </c>
      <c r="H643" s="104">
        <f>SUM(I462)</f>
        <v>238820.66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258.64</v>
      </c>
      <c r="H645" s="104">
        <f>H409</f>
        <v>258.64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25258.639999999999</v>
      </c>
      <c r="H647" s="104">
        <f>L409</f>
        <v>25258.640000000003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170127.81</v>
      </c>
      <c r="H648" s="104">
        <f>L209+L227+L245</f>
        <v>170127.81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156196.19</v>
      </c>
      <c r="H649" s="104">
        <f>(J258+J339)-(J256+J337)</f>
        <v>156196.19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122042.32</v>
      </c>
      <c r="H650" s="104">
        <f>H599</f>
        <v>122042.31999999999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48085.49</v>
      </c>
      <c r="H652" s="104">
        <f>J599</f>
        <v>48085.49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21000</v>
      </c>
      <c r="H653" s="104">
        <f>K264+K346</f>
        <v>21000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1828081.7</v>
      </c>
      <c r="G661" s="19">
        <f>(L230+L310+L360)</f>
        <v>0</v>
      </c>
      <c r="H661" s="19">
        <f>(L248+L329+L361)</f>
        <v>674610.81</v>
      </c>
      <c r="I661" s="19">
        <f>SUM(F661:H661)</f>
        <v>2502692.5099999998</v>
      </c>
      <c r="J661" s="13"/>
      <c r="K661" s="13"/>
      <c r="L661" s="13"/>
      <c r="M661" s="9"/>
    </row>
    <row r="662" spans="1:13" s="3" customFormat="1" ht="12.2" customHeight="1" x14ac:dyDescent="0.2">
      <c r="A662" s="1" t="s">
        <v>127</v>
      </c>
      <c r="F662" s="19">
        <f>(L359/IF(SUM(L359:L361)=0,1,SUM(L359:L361))*(SUM(G97:G110)))</f>
        <v>2684</v>
      </c>
      <c r="G662" s="19">
        <f>(L360/IF(SUM(L359:L361)=0,1,SUM(L359:L361))*(SUM(G97:G110)))</f>
        <v>0</v>
      </c>
      <c r="H662" s="19">
        <f>(L361/IF(SUM(L359:L361)=0,1,SUM(L359:L361))*(SUM(G97:G110)))</f>
        <v>0</v>
      </c>
      <c r="I662" s="19">
        <f>SUM(F662:H662)</f>
        <v>2684</v>
      </c>
      <c r="J662"/>
      <c r="K662" s="13"/>
      <c r="L662" s="13"/>
      <c r="M662" s="8"/>
    </row>
    <row r="663" spans="1:13" s="3" customFormat="1" ht="12.2" customHeight="1" x14ac:dyDescent="0.2">
      <c r="A663" s="1" t="s">
        <v>128</v>
      </c>
      <c r="F663" s="19">
        <f>(L209+L288)-(J209+J288)</f>
        <v>62297.740000000005</v>
      </c>
      <c r="G663" s="19">
        <f>(L227+L307)-(J227+J307)</f>
        <v>0</v>
      </c>
      <c r="H663" s="19">
        <f>(L245+L326)-(J245+J326)</f>
        <v>23675.989999999998</v>
      </c>
      <c r="I663" s="19">
        <f>SUM(F663:H663)</f>
        <v>85973.73000000001</v>
      </c>
      <c r="J663"/>
      <c r="K663" s="13"/>
      <c r="L663" s="13"/>
      <c r="M663" s="9"/>
    </row>
    <row r="664" spans="1:13" s="3" customFormat="1" ht="12.2" customHeight="1" x14ac:dyDescent="0.15">
      <c r="A664" s="198" t="s">
        <v>129</v>
      </c>
      <c r="B664" s="169"/>
      <c r="C664" s="169"/>
      <c r="D664" s="169"/>
      <c r="E664" s="169"/>
      <c r="F664" s="199">
        <f>SUM(F576:F588)+SUM(H603:H605)+SUM(L612)</f>
        <v>131786.69</v>
      </c>
      <c r="G664" s="199">
        <f>SUM(G576:G588)+SUM(I603:I605)+L613</f>
        <v>0</v>
      </c>
      <c r="H664" s="199">
        <f>SUM(H576:H588)+SUM(J603:J605)+L614</f>
        <v>632355.1</v>
      </c>
      <c r="I664" s="19">
        <f>SUM(F664:H664)</f>
        <v>764141.79</v>
      </c>
      <c r="J664" s="13"/>
      <c r="K664" s="13"/>
      <c r="L664" s="13"/>
      <c r="M664" s="9"/>
    </row>
    <row r="665" spans="1:13" s="3" customFormat="1" ht="12.2" customHeight="1" x14ac:dyDescent="0.15">
      <c r="A665" s="1" t="s">
        <v>130</v>
      </c>
      <c r="F665" s="19">
        <f>F661-SUM(F662:F664)</f>
        <v>1631313.27</v>
      </c>
      <c r="G665" s="19">
        <f>G661-SUM(G662:G664)</f>
        <v>0</v>
      </c>
      <c r="H665" s="19">
        <f>H661-SUM(H662:H664)</f>
        <v>18579.720000000088</v>
      </c>
      <c r="I665" s="19">
        <f>I661-SUM(I662:I664)</f>
        <v>1649892.9899999998</v>
      </c>
      <c r="J665" s="13"/>
      <c r="K665" s="13"/>
      <c r="L665" s="13"/>
      <c r="M665" s="8"/>
    </row>
    <row r="666" spans="1:13" s="3" customFormat="1" ht="12.2" customHeight="1" x14ac:dyDescent="0.25">
      <c r="A666" s="1" t="s">
        <v>131</v>
      </c>
      <c r="F666" s="360">
        <v>54.77</v>
      </c>
      <c r="G666" s="360">
        <v>0</v>
      </c>
      <c r="H666" s="360">
        <v>0</v>
      </c>
      <c r="I666" s="19">
        <f>SUM(F666:H666)</f>
        <v>54.77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29784.799999999999</v>
      </c>
      <c r="G668" s="19" t="e">
        <f>ROUND(G665/G666,2)</f>
        <v>#DIV/0!</v>
      </c>
      <c r="H668" s="19" t="e">
        <f>ROUND(H665/H666,2)</f>
        <v>#DIV/0!</v>
      </c>
      <c r="I668" s="19">
        <f>ROUND(I665/I666,2)</f>
        <v>30124.03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-18579.72</v>
      </c>
      <c r="I670" s="19">
        <f>SUM(F670:H670)</f>
        <v>-18579.72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29784.799999999999</v>
      </c>
      <c r="G673" s="19" t="e">
        <f>ROUND((G665+G670)/(G666+G671),2)</f>
        <v>#DIV/0!</v>
      </c>
      <c r="H673" s="19" t="e">
        <f>ROUND((H665+H670)/(H666+H671),2)</f>
        <v>#DIV/0!</v>
      </c>
      <c r="I673" s="19">
        <f>ROUND((I665+I670)/(I666+I671),2)</f>
        <v>29784.799999999999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17" sqref="E17"/>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51645.26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f>19200+5644.72</f>
        <v>24844.720000000001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59">
        <f>173.96+1081.22+2656.22+11218.88+150+515.8+434.25+878.95+9788.39+748.82+205.24+75.34+2000+500</f>
        <v>30427.07</v>
      </c>
      <c r="F22" s="346"/>
    </row>
    <row r="23" spans="2:8" x14ac:dyDescent="0.25">
      <c r="B23" s="346"/>
      <c r="C23" s="346"/>
      <c r="D23" s="346"/>
      <c r="E23" s="346"/>
      <c r="F23" s="346"/>
    </row>
    <row r="24" spans="2:8" ht="26.25" customHeight="1" x14ac:dyDescent="0.25">
      <c r="B24" s="346"/>
      <c r="C24" s="348" t="s">
        <v>1661</v>
      </c>
      <c r="D24" s="346"/>
      <c r="E24" s="341">
        <f>173.96+11218.88+150</f>
        <v>11542.839999999998</v>
      </c>
      <c r="F24" s="346"/>
    </row>
    <row r="25" spans="2:8" ht="18" x14ac:dyDescent="0.25">
      <c r="B25" s="346"/>
      <c r="C25" s="349"/>
      <c r="D25" s="346"/>
      <c r="E25" s="346"/>
      <c r="F25" s="346"/>
    </row>
    <row r="26" spans="2:8" ht="27.75" customHeight="1" x14ac:dyDescent="0.25">
      <c r="B26" s="346"/>
      <c r="C26" s="348" t="s">
        <v>1662</v>
      </c>
      <c r="D26" s="346"/>
      <c r="E26" s="341">
        <f>1081.22+515.8+434.25+878.95+2000+500+9788.39+748.82+2052.24+75.34</f>
        <v>18075.009999999998</v>
      </c>
      <c r="F26" s="346"/>
    </row>
    <row r="27" spans="2:8" x14ac:dyDescent="0.25">
      <c r="B27" s="346"/>
      <c r="C27" s="348"/>
      <c r="D27" s="346"/>
      <c r="E27" s="346"/>
      <c r="F27" s="346"/>
    </row>
    <row r="28" spans="2:8" ht="15.75" customHeight="1" x14ac:dyDescent="0.25">
      <c r="B28" s="346"/>
      <c r="C28" s="348" t="s">
        <v>1663</v>
      </c>
      <c r="D28" s="346"/>
      <c r="E28" s="342">
        <f>202+43517.97</f>
        <v>43719.97</v>
      </c>
      <c r="F28" s="346"/>
    </row>
    <row r="29" spans="2:8" x14ac:dyDescent="0.25">
      <c r="B29" s="346"/>
      <c r="C29" s="346"/>
      <c r="D29" s="346"/>
      <c r="E29" s="346"/>
      <c r="F29" s="346"/>
    </row>
    <row r="30" spans="2:8" ht="16.5" customHeight="1" x14ac:dyDescent="0.25">
      <c r="B30" s="346"/>
      <c r="C30" s="348" t="s">
        <v>1664</v>
      </c>
      <c r="D30" s="346"/>
      <c r="E30" s="341">
        <f>1922.56+16543.78+18367.66+4722.8+1097.98+863.19</f>
        <v>43517.970000000008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6"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STEWARTSTOWN SCHOOL DISTRICT</v>
      </c>
      <c r="C5" s="364"/>
      <c r="D5" s="364"/>
      <c r="E5" s="364"/>
      <c r="F5" s="364"/>
    </row>
    <row r="8" spans="1:9" ht="18" x14ac:dyDescent="0.25">
      <c r="A8" s="317" t="s">
        <v>1576</v>
      </c>
      <c r="F8" s="324" t="s">
        <v>1594</v>
      </c>
    </row>
    <row r="9" spans="1:9" ht="15" x14ac:dyDescent="0.2">
      <c r="A9" s="315" t="s">
        <v>1577</v>
      </c>
      <c r="B9" s="318">
        <f>'DOE25'!G97</f>
        <v>2684</v>
      </c>
      <c r="F9" s="315" t="s">
        <v>1590</v>
      </c>
    </row>
    <row r="10" spans="1:9" ht="15" x14ac:dyDescent="0.2">
      <c r="A10" s="315" t="s">
        <v>1578</v>
      </c>
      <c r="B10" s="318">
        <f>'DOE25'!G112-'DOE25'!G97</f>
        <v>0</v>
      </c>
      <c r="F10" s="315" t="s">
        <v>1591</v>
      </c>
    </row>
    <row r="11" spans="1:9" ht="15" x14ac:dyDescent="0.2">
      <c r="A11" s="315" t="s">
        <v>1579</v>
      </c>
      <c r="B11" s="318">
        <f>'DOE25'!G140</f>
        <v>723.79</v>
      </c>
      <c r="F11" s="315" t="s">
        <v>1592</v>
      </c>
    </row>
    <row r="12" spans="1:9" ht="15" x14ac:dyDescent="0.2">
      <c r="A12" s="315" t="s">
        <v>1580</v>
      </c>
      <c r="B12" s="318">
        <f>'DOE25'!G170</f>
        <v>35083.94</v>
      </c>
      <c r="F12" s="315" t="s">
        <v>1593</v>
      </c>
    </row>
    <row r="13" spans="1:9" ht="15" x14ac:dyDescent="0.2">
      <c r="A13" s="315" t="s">
        <v>1581</v>
      </c>
      <c r="B13" s="318">
        <f>'DOE25'!G193-'DOE25'!G180</f>
        <v>0</v>
      </c>
      <c r="F13" s="315" t="s">
        <v>1603</v>
      </c>
    </row>
    <row r="14" spans="1:9" ht="18" x14ac:dyDescent="0.25">
      <c r="A14" s="317" t="s">
        <v>732</v>
      </c>
      <c r="B14" s="319">
        <f>SUM(B9:B13)</f>
        <v>38491.730000000003</v>
      </c>
    </row>
    <row r="16" spans="1:9" ht="18" x14ac:dyDescent="0.25">
      <c r="A16" s="317" t="s">
        <v>786</v>
      </c>
      <c r="F16" s="324" t="s">
        <v>1595</v>
      </c>
    </row>
    <row r="17" spans="1:6" ht="15" x14ac:dyDescent="0.2">
      <c r="A17" s="315" t="s">
        <v>1582</v>
      </c>
      <c r="B17" s="318">
        <f>'DOE25'!L363-'DOE25'!L362</f>
        <v>59159.290000000008</v>
      </c>
      <c r="F17" s="315" t="s">
        <v>1596</v>
      </c>
    </row>
    <row r="18" spans="1:6" ht="15" x14ac:dyDescent="0.2">
      <c r="A18" s="315" t="s">
        <v>1583</v>
      </c>
      <c r="B18" s="328">
        <v>2313.29</v>
      </c>
      <c r="F18" s="324" t="s">
        <v>1620</v>
      </c>
    </row>
    <row r="19" spans="1:6" ht="18" x14ac:dyDescent="0.25">
      <c r="A19" s="317" t="s">
        <v>725</v>
      </c>
      <c r="B19" s="319">
        <f>SUM(B17:B18)</f>
        <v>61472.580000000009</v>
      </c>
    </row>
    <row r="21" spans="1:6" ht="18.75" thickBot="1" x14ac:dyDescent="0.3">
      <c r="A21" s="317" t="s">
        <v>1584</v>
      </c>
    </row>
    <row r="22" spans="1:6" ht="18.75" thickTop="1" x14ac:dyDescent="0.25">
      <c r="A22" s="317" t="s">
        <v>1585</v>
      </c>
      <c r="B22" s="323">
        <f>B14-B19</f>
        <v>-22980.850000000006</v>
      </c>
      <c r="F22" s="315" t="s">
        <v>1597</v>
      </c>
    </row>
    <row r="26" spans="1:6" ht="18" x14ac:dyDescent="0.25">
      <c r="A26" s="317" t="s">
        <v>186</v>
      </c>
    </row>
    <row r="27" spans="1:6" ht="15" x14ac:dyDescent="0.2">
      <c r="A27" s="315" t="s">
        <v>1586</v>
      </c>
      <c r="B27" s="318">
        <f>'DOE25'!G180</f>
        <v>21000</v>
      </c>
      <c r="F27" s="315" t="s">
        <v>1598</v>
      </c>
    </row>
    <row r="28" spans="1:6" ht="15" x14ac:dyDescent="0.2">
      <c r="A28" s="315" t="s">
        <v>1588</v>
      </c>
      <c r="B28" s="318">
        <f>'DOE25'!L362</f>
        <v>0</v>
      </c>
      <c r="F28" s="315" t="s">
        <v>1599</v>
      </c>
    </row>
    <row r="31" spans="1:6" ht="15" x14ac:dyDescent="0.2">
      <c r="A31" s="315" t="s">
        <v>1628</v>
      </c>
      <c r="B31" s="318">
        <f>'DOE25'!G466</f>
        <v>8461.9599999999991</v>
      </c>
      <c r="F31" s="315" t="s">
        <v>1600</v>
      </c>
    </row>
    <row r="33" spans="1:6" ht="15" x14ac:dyDescent="0.2">
      <c r="A33" s="315" t="s">
        <v>1629</v>
      </c>
      <c r="B33" s="318">
        <f>'DOE25'!G477</f>
        <v>6481.1100000000006</v>
      </c>
      <c r="F33" s="315" t="s">
        <v>1601</v>
      </c>
    </row>
    <row r="36" spans="1:6" ht="15" x14ac:dyDescent="0.2">
      <c r="A36" s="315" t="s">
        <v>1587</v>
      </c>
      <c r="B36" s="329">
        <v>7236.43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STEWARTSTOWN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336617.6</v>
      </c>
      <c r="C9" s="229">
        <f>'DOE25'!G198+'DOE25'!G216+'DOE25'!G234+'DOE25'!G277+'DOE25'!G296+'DOE25'!G315</f>
        <v>194410.53</v>
      </c>
    </row>
    <row r="10" spans="1:3" x14ac:dyDescent="0.2">
      <c r="A10" t="s">
        <v>775</v>
      </c>
      <c r="B10" s="240">
        <f>215783.96+36300+12100+25245.3</f>
        <v>289429.25999999995</v>
      </c>
      <c r="C10" s="240">
        <f>91418.61+12580.74+4193.3+8008.12+74434.7</f>
        <v>190635.47</v>
      </c>
    </row>
    <row r="11" spans="1:3" x14ac:dyDescent="0.2">
      <c r="A11" t="s">
        <v>776</v>
      </c>
      <c r="B11" s="240">
        <v>40923.339999999997</v>
      </c>
      <c r="C11" s="240">
        <v>3273.86</v>
      </c>
    </row>
    <row r="12" spans="1:3" x14ac:dyDescent="0.2">
      <c r="A12" t="s">
        <v>777</v>
      </c>
      <c r="B12" s="240">
        <v>6265</v>
      </c>
      <c r="C12" s="240">
        <v>501.2</v>
      </c>
    </row>
    <row r="13" spans="1:3" x14ac:dyDescent="0.2">
      <c r="A13" t="str">
        <f>IF(B9=B13,IF(C9=C13,"Check Total OK","Check Total Error"),"Check Total Error")</f>
        <v>Check Total OK</v>
      </c>
      <c r="B13" s="231">
        <f>SUM(B10:B12)</f>
        <v>336617.6</v>
      </c>
      <c r="C13" s="231">
        <f>SUM(C10:C12)</f>
        <v>194410.53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134908.43</v>
      </c>
      <c r="C18" s="229">
        <f>'DOE25'!G199+'DOE25'!G217+'DOE25'!G235+'DOE25'!G278+'DOE25'!G297+'DOE25'!G316</f>
        <v>28822.920000000002</v>
      </c>
    </row>
    <row r="19" spans="1:3" x14ac:dyDescent="0.2">
      <c r="A19" t="s">
        <v>775</v>
      </c>
      <c r="B19" s="240">
        <f>56100</f>
        <v>56100</v>
      </c>
      <c r="C19" s="240">
        <f>322.47+7742+14453.78</f>
        <v>22518.25</v>
      </c>
    </row>
    <row r="20" spans="1:3" x14ac:dyDescent="0.2">
      <c r="A20" t="s">
        <v>776</v>
      </c>
      <c r="B20" s="240">
        <f>76352.74+1640.81</f>
        <v>77993.55</v>
      </c>
      <c r="C20" s="240">
        <v>6239.48</v>
      </c>
    </row>
    <row r="21" spans="1:3" x14ac:dyDescent="0.2">
      <c r="A21" t="s">
        <v>777</v>
      </c>
      <c r="B21" s="240">
        <v>814.88</v>
      </c>
      <c r="C21" s="240">
        <v>65.19</v>
      </c>
    </row>
    <row r="22" spans="1:3" x14ac:dyDescent="0.2">
      <c r="A22" t="str">
        <f>IF(B18=B22,IF(C18=C22,"Check Total OK","Check Total Error"),"Check Total Error")</f>
        <v>Check Total OK</v>
      </c>
      <c r="B22" s="231">
        <f>SUM(B19:B21)</f>
        <v>134908.43</v>
      </c>
      <c r="C22" s="231">
        <f>SUM(C19:C21)</f>
        <v>28822.92</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2975</v>
      </c>
      <c r="C36" s="235">
        <f>'DOE25'!G201+'DOE25'!G219+'DOE25'!G237+'DOE25'!G280+'DOE25'!G299+'DOE25'!G318</f>
        <v>757.15</v>
      </c>
    </row>
    <row r="37" spans="1:3" x14ac:dyDescent="0.2">
      <c r="A37" t="s">
        <v>775</v>
      </c>
      <c r="B37" s="240">
        <v>2975</v>
      </c>
      <c r="C37" s="240">
        <v>757.15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2975</v>
      </c>
      <c r="C40" s="231">
        <f>SUM(C37:C39)</f>
        <v>757.15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K36" sqref="K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STEWARTSTOWN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1300090.9000000001</v>
      </c>
      <c r="D5" s="20">
        <f>SUM('DOE25'!L198:L201)+SUM('DOE25'!L216:L219)+SUM('DOE25'!L234:L237)-F5-G5-H5</f>
        <v>1296004.5000000002</v>
      </c>
      <c r="E5" s="243"/>
      <c r="F5" s="244"/>
      <c r="G5" s="53">
        <f>SUM('DOE25'!J198:J201)+SUM('DOE25'!J216:J219)+SUM('DOE25'!J234:J237)</f>
        <v>3221.46</v>
      </c>
      <c r="H5" s="53">
        <f>SUM('DOE25'!K198:K201)+SUM('DOE25'!K216:K219)+SUM('DOE25'!K234:K237)</f>
        <v>864.94</v>
      </c>
      <c r="I5" s="254"/>
    </row>
    <row r="6" spans="1:9" x14ac:dyDescent="0.2">
      <c r="A6" s="32">
        <v>2100</v>
      </c>
      <c r="B6" t="s">
        <v>796</v>
      </c>
      <c r="C6" s="273">
        <f t="shared" si="0"/>
        <v>196496.37999999998</v>
      </c>
      <c r="D6" s="20">
        <f>'DOE25'!L203+'DOE25'!L221+'DOE25'!L239-F6-G6-H6</f>
        <v>161287.63</v>
      </c>
      <c r="E6" s="243"/>
      <c r="F6" s="244">
        <v>13554.3</v>
      </c>
      <c r="G6" s="53">
        <f>'DOE25'!J203+'DOE25'!J221+'DOE25'!J239</f>
        <v>16637.12</v>
      </c>
      <c r="H6" s="53">
        <f>'DOE25'!K203+'DOE25'!K221+'DOE25'!K239</f>
        <v>5017.33</v>
      </c>
      <c r="I6" s="254"/>
    </row>
    <row r="7" spans="1:9" x14ac:dyDescent="0.2">
      <c r="A7" s="32">
        <v>2200</v>
      </c>
      <c r="B7" t="s">
        <v>821</v>
      </c>
      <c r="C7" s="273">
        <f t="shared" si="0"/>
        <v>37376.85</v>
      </c>
      <c r="D7" s="20">
        <f>'DOE25'!L204+'DOE25'!L222+'DOE25'!L240-F7-G7-H7</f>
        <v>36187.93</v>
      </c>
      <c r="E7" s="243"/>
      <c r="F7" s="244"/>
      <c r="G7" s="53">
        <f>'DOE25'!J204+'DOE25'!J222+'DOE25'!J240</f>
        <v>0</v>
      </c>
      <c r="H7" s="53">
        <f>'DOE25'!K204+'DOE25'!K222+'DOE25'!K240</f>
        <v>1188.92</v>
      </c>
      <c r="I7" s="254"/>
    </row>
    <row r="8" spans="1:9" x14ac:dyDescent="0.2">
      <c r="A8" s="32">
        <v>2300</v>
      </c>
      <c r="B8" t="s">
        <v>797</v>
      </c>
      <c r="C8" s="273">
        <f t="shared" si="0"/>
        <v>116191.35999999999</v>
      </c>
      <c r="D8" s="243"/>
      <c r="E8" s="20">
        <f>'DOE25'!L205+'DOE25'!L223+'DOE25'!L241-F8-G8-H8-D9-D11</f>
        <v>113150.20999999999</v>
      </c>
      <c r="F8" s="244"/>
      <c r="G8" s="53">
        <f>'DOE25'!J205+'DOE25'!J223+'DOE25'!J241</f>
        <v>0</v>
      </c>
      <c r="H8" s="53">
        <f>'DOE25'!K205+'DOE25'!K223+'DOE25'!K241</f>
        <v>3041.15</v>
      </c>
      <c r="I8" s="254"/>
    </row>
    <row r="9" spans="1:9" ht="14.25" x14ac:dyDescent="0.2">
      <c r="A9" s="32">
        <v>2310</v>
      </c>
      <c r="B9" s="185" t="s">
        <v>888</v>
      </c>
      <c r="C9" s="273">
        <f t="shared" si="0"/>
        <v>32659.35</v>
      </c>
      <c r="D9" s="244">
        <v>32659.35</v>
      </c>
      <c r="E9" s="243"/>
      <c r="F9" s="251"/>
      <c r="G9" s="251"/>
      <c r="H9" s="251"/>
      <c r="I9" s="254"/>
    </row>
    <row r="10" spans="1:9" ht="14.25" x14ac:dyDescent="0.2">
      <c r="A10" s="32">
        <v>2317</v>
      </c>
      <c r="B10" s="185" t="s">
        <v>889</v>
      </c>
      <c r="C10" s="273">
        <f t="shared" si="0"/>
        <v>8700</v>
      </c>
      <c r="D10" s="243"/>
      <c r="E10" s="244">
        <v>8700</v>
      </c>
      <c r="F10" s="251"/>
      <c r="G10" s="251"/>
      <c r="H10" s="251"/>
      <c r="I10" s="254"/>
    </row>
    <row r="11" spans="1:9" ht="14.25" x14ac:dyDescent="0.2">
      <c r="A11" s="32">
        <v>2321</v>
      </c>
      <c r="B11" s="185" t="s">
        <v>890</v>
      </c>
      <c r="C11" s="273">
        <f t="shared" si="0"/>
        <v>35217.97</v>
      </c>
      <c r="D11" s="244">
        <v>35217.97</v>
      </c>
      <c r="E11" s="243"/>
      <c r="F11" s="251"/>
      <c r="G11" s="251"/>
      <c r="H11" s="251"/>
      <c r="I11" s="254"/>
    </row>
    <row r="12" spans="1:9" x14ac:dyDescent="0.2">
      <c r="A12" s="32">
        <v>2400</v>
      </c>
      <c r="B12" t="s">
        <v>711</v>
      </c>
      <c r="C12" s="273">
        <f t="shared" si="0"/>
        <v>159443.72999999998</v>
      </c>
      <c r="D12" s="20">
        <f>'DOE25'!L206+'DOE25'!L224+'DOE25'!L242-F12-G12-H12</f>
        <v>155549.32999999999</v>
      </c>
      <c r="E12" s="243"/>
      <c r="F12" s="244"/>
      <c r="G12" s="53">
        <f>'DOE25'!J206+'DOE25'!J224+'DOE25'!J242</f>
        <v>300.07</v>
      </c>
      <c r="H12" s="53">
        <f>'DOE25'!K206+'DOE25'!K224+'DOE25'!K242</f>
        <v>3594.33</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240185.97999999998</v>
      </c>
      <c r="D14" s="20">
        <f>'DOE25'!L208+'DOE25'!L226+'DOE25'!L244-F14-G14-H14</f>
        <v>174256.31</v>
      </c>
      <c r="E14" s="243"/>
      <c r="F14" s="244">
        <v>59963</v>
      </c>
      <c r="G14" s="53">
        <f>'DOE25'!J208+'DOE25'!J226+'DOE25'!J244</f>
        <v>3734.02</v>
      </c>
      <c r="H14" s="53">
        <f>'DOE25'!K208+'DOE25'!K226+'DOE25'!K244</f>
        <v>2232.65</v>
      </c>
      <c r="I14" s="254"/>
    </row>
    <row r="15" spans="1:9" x14ac:dyDescent="0.2">
      <c r="A15" s="32">
        <v>2700</v>
      </c>
      <c r="B15" t="s">
        <v>799</v>
      </c>
      <c r="C15" s="273">
        <f t="shared" si="0"/>
        <v>170127.81</v>
      </c>
      <c r="D15" s="20">
        <f>'DOE25'!L209+'DOE25'!L227+'DOE25'!L245-F15-G15-H15</f>
        <v>85455.73</v>
      </c>
      <c r="E15" s="243"/>
      <c r="F15" s="244"/>
      <c r="G15" s="53">
        <f>'DOE25'!J209+'DOE25'!J227+'DOE25'!J245</f>
        <v>84154.08</v>
      </c>
      <c r="H15" s="53">
        <f>'DOE25'!K209+'DOE25'!K227+'DOE25'!K245</f>
        <v>518</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59159.290000000008</v>
      </c>
      <c r="D29" s="281">
        <f>'DOE25'!L359+'DOE25'!L360+'DOE25'!L361-'DOE25'!I368-F29-G29-H29</f>
        <v>14677.720000000007</v>
      </c>
      <c r="E29" s="243"/>
      <c r="F29" s="244">
        <v>44394.29</v>
      </c>
      <c r="G29" s="53">
        <f>'DOE25'!J359+'DOE25'!J360+'DOE25'!J361</f>
        <v>77.930000000000007</v>
      </c>
      <c r="H29" s="53">
        <f>'DOE25'!K359+'DOE25'!K360+'DOE25'!K361</f>
        <v>9.35</v>
      </c>
      <c r="I29" s="254"/>
    </row>
    <row r="30" spans="1:9" x14ac:dyDescent="0.2">
      <c r="A30" s="32"/>
      <c r="C30" s="274"/>
      <c r="D30" s="20"/>
      <c r="E30" s="278"/>
      <c r="F30" s="268"/>
      <c r="G30" s="53"/>
      <c r="H30" s="53"/>
      <c r="I30" s="254"/>
    </row>
    <row r="31" spans="1:9" x14ac:dyDescent="0.2">
      <c r="A31" s="32" t="s">
        <v>818</v>
      </c>
      <c r="B31" t="s">
        <v>817</v>
      </c>
      <c r="C31" s="273">
        <f>SUM(D31:I31)</f>
        <v>155742.88999999996</v>
      </c>
      <c r="D31" s="20">
        <f>'DOE25'!L291+'DOE25'!L310+'DOE25'!L329+'DOE25'!L334+'DOE25'!L335+'DOE25'!L336-F31-G31-H31</f>
        <v>105300.49999999996</v>
      </c>
      <c r="E31" s="243"/>
      <c r="F31" s="244"/>
      <c r="G31" s="53">
        <f>'DOE25'!J291+'DOE25'!J310+'DOE25'!J329+'DOE25'!J334+'DOE25'!J335+'DOE25'!J336</f>
        <v>48149.440000000002</v>
      </c>
      <c r="H31" s="53">
        <f>'DOE25'!K291+'DOE25'!K310+'DOE25'!K329+'DOE25'!K334+'DOE25'!K335+'DOE25'!K336</f>
        <v>2292.9499999999998</v>
      </c>
      <c r="I31" s="254"/>
    </row>
    <row r="32" spans="1:9" ht="12" thickBot="1" x14ac:dyDescent="0.25">
      <c r="C32" s="274"/>
      <c r="G32" s="249"/>
      <c r="H32" s="249"/>
      <c r="I32" s="256"/>
    </row>
    <row r="33" spans="1:9" ht="12" thickTop="1" x14ac:dyDescent="0.2">
      <c r="B33" t="s">
        <v>809</v>
      </c>
      <c r="D33" s="245">
        <f t="shared" ref="D33:I33" si="1">SUM(D5:D31)</f>
        <v>2096596.9700000004</v>
      </c>
      <c r="E33" s="245">
        <f t="shared" si="1"/>
        <v>121850.20999999999</v>
      </c>
      <c r="F33" s="245">
        <f t="shared" si="1"/>
        <v>117911.59</v>
      </c>
      <c r="G33" s="245">
        <f t="shared" si="1"/>
        <v>156274.12</v>
      </c>
      <c r="H33" s="245">
        <f t="shared" si="1"/>
        <v>18759.62</v>
      </c>
      <c r="I33" s="245">
        <f t="shared" si="1"/>
        <v>0</v>
      </c>
    </row>
    <row r="35" spans="1:9" ht="12" thickBot="1" x14ac:dyDescent="0.25">
      <c r="B35" s="249" t="s">
        <v>831</v>
      </c>
      <c r="D35" s="250">
        <f>E33</f>
        <v>121850.20999999999</v>
      </c>
      <c r="E35" s="246"/>
      <c r="F35" s="333" t="s">
        <v>1632</v>
      </c>
      <c r="G35" s="334"/>
      <c r="H35" s="334"/>
      <c r="I35" s="334"/>
    </row>
    <row r="36" spans="1:9" ht="12" thickTop="1" x14ac:dyDescent="0.2">
      <c r="B36" t="s">
        <v>810</v>
      </c>
      <c r="D36" s="20">
        <f>D33</f>
        <v>2096596.9700000004</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STEWARTSTOWN SCHOOL DISTRICT</v>
      </c>
      <c r="B2" s="126">
        <f>'DOE25'!B2</f>
        <v>501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1768922.4100000001</v>
      </c>
      <c r="G4" s="300">
        <f>'DOE25'!L212+'DOE25'!L291</f>
        <v>1768922.41</v>
      </c>
      <c r="H4" s="353">
        <f>F4-G4</f>
        <v>0</v>
      </c>
      <c r="I4" s="372" t="str">
        <f>IF(H4=0,"","ISSUES!! Please review page 7 and 11 totals in comparison with total on this page")</f>
        <v/>
      </c>
      <c r="N4"/>
    </row>
    <row r="5" spans="1:18" x14ac:dyDescent="0.2">
      <c r="A5" s="21" t="s">
        <v>1430</v>
      </c>
      <c r="B5" s="301">
        <f>IFERROR(VLOOKUP(A5,'School Tables'!$C$3:$D$365,2,FALSE),"")</f>
        <v>27560</v>
      </c>
      <c r="C5" s="294" t="str">
        <f>IFERROR(INDEX('School Tables'!$B$3:$B$365,MATCH('School Level Expenditures'!B5,'School Tables'!$D$3:$D$365,0)),"")</f>
        <v>Stewartstown</v>
      </c>
      <c r="D5" s="291">
        <v>1614034.33</v>
      </c>
      <c r="E5" s="291">
        <v>154888.07999999999</v>
      </c>
      <c r="F5" s="304">
        <f>D5+E5</f>
        <v>1768922.4100000001</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1614034.33</v>
      </c>
      <c r="E21" s="351">
        <f>SUM(E5:E20)</f>
        <v>154888.07999999999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2"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674610.81</v>
      </c>
      <c r="G36" s="300">
        <f>'DOE25'!L248+'DOE25'!L329</f>
        <v>674610.81</v>
      </c>
      <c r="H36" s="353">
        <f>F36-G36</f>
        <v>0</v>
      </c>
      <c r="I36" s="372"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674610.81</v>
      </c>
      <c r="E37" s="291"/>
      <c r="F37" s="304">
        <f t="shared" ref="F37:F42" si="2">D37+E37</f>
        <v>674610.81</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674610.81</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STEWARTSTOWN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372064.73</v>
      </c>
      <c r="D8" s="95">
        <f>'DOE25'!G9</f>
        <v>8296.64</v>
      </c>
      <c r="E8" s="95">
        <f>'DOE25'!H9</f>
        <v>0</v>
      </c>
      <c r="F8" s="95">
        <f>'DOE25'!I9</f>
        <v>0</v>
      </c>
      <c r="G8" s="95">
        <f>'DOE25'!J9</f>
        <v>238820.66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67847.490000000005</v>
      </c>
      <c r="D11" s="95">
        <f>'DOE25'!G12</f>
        <v>2661.27</v>
      </c>
      <c r="E11" s="95">
        <f>'DOE25'!H12</f>
        <v>0</v>
      </c>
      <c r="F11" s="95">
        <f>'DOE25'!I12</f>
        <v>0</v>
      </c>
      <c r="G11" s="95">
        <f>'DOE25'!J12</f>
        <v>0</v>
      </c>
      <c r="H11" s="124"/>
      <c r="I11" s="124"/>
    </row>
    <row r="12" spans="1:9" x14ac:dyDescent="0.2">
      <c r="A12" s="1" t="s">
        <v>143</v>
      </c>
      <c r="B12" s="6">
        <v>140</v>
      </c>
      <c r="C12" s="95">
        <f>'DOE25'!F13</f>
        <v>0</v>
      </c>
      <c r="D12" s="95">
        <f>'DOE25'!G13</f>
        <v>0</v>
      </c>
      <c r="E12" s="95">
        <f>'DOE25'!H13</f>
        <v>81943.88</v>
      </c>
      <c r="F12" s="95">
        <f>'DOE25'!I13</f>
        <v>0</v>
      </c>
      <c r="G12" s="95">
        <f>'DOE25'!J13</f>
        <v>0</v>
      </c>
      <c r="H12" s="124"/>
      <c r="I12" s="124"/>
    </row>
    <row r="13" spans="1:9" x14ac:dyDescent="0.2">
      <c r="A13" s="1" t="s">
        <v>144</v>
      </c>
      <c r="B13" s="6">
        <v>150</v>
      </c>
      <c r="C13" s="95">
        <f>'DOE25'!F14</f>
        <v>45.06</v>
      </c>
      <c r="D13" s="95">
        <f>'DOE25'!G14</f>
        <v>2.4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695.26</v>
      </c>
      <c r="E15" s="95">
        <f>'DOE25'!H16</f>
        <v>0</v>
      </c>
      <c r="F15" s="95">
        <f>'DOE25'!I16</f>
        <v>0</v>
      </c>
      <c r="G15" s="24" t="s">
        <v>288</v>
      </c>
      <c r="H15" s="124"/>
      <c r="I15" s="124"/>
    </row>
    <row r="16" spans="1:9" x14ac:dyDescent="0.2">
      <c r="A16" s="1" t="s">
        <v>147</v>
      </c>
      <c r="B16" s="6">
        <v>180</v>
      </c>
      <c r="C16" s="95">
        <f>'DOE25'!F17</f>
        <v>528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440485.27999999997</v>
      </c>
      <c r="D18" s="41">
        <f>SUM(D8:D17)</f>
        <v>11655.57</v>
      </c>
      <c r="E18" s="41">
        <f>SUM(E8:E17)</f>
        <v>81943.88</v>
      </c>
      <c r="F18" s="41">
        <f>SUM(F8:F17)</f>
        <v>0</v>
      </c>
      <c r="G18" s="41">
        <f>SUM(G8:G17)</f>
        <v>238820.66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68867.94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15190.08</v>
      </c>
      <c r="D23" s="95">
        <f>'DOE25'!G24</f>
        <v>5174.4599999999991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11624.95</v>
      </c>
      <c r="D27" s="95">
        <f>'DOE25'!G28</f>
        <v>0</v>
      </c>
      <c r="E27" s="95">
        <f>'DOE25'!H28</f>
        <v>5841.63</v>
      </c>
      <c r="F27" s="95">
        <f>'DOE25'!I28</f>
        <v>0</v>
      </c>
      <c r="G27" s="24" t="s">
        <v>288</v>
      </c>
      <c r="H27" s="124"/>
      <c r="I27" s="124"/>
    </row>
    <row r="28" spans="1:9" x14ac:dyDescent="0.2">
      <c r="A28" s="1" t="s">
        <v>157</v>
      </c>
      <c r="B28" s="6">
        <v>470</v>
      </c>
      <c r="C28" s="95">
        <f>'DOE25'!F29</f>
        <v>3510.92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7234.31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30325.949999999997</v>
      </c>
      <c r="D31" s="41">
        <f>SUM(D21:D30)</f>
        <v>5174.4599999999991</v>
      </c>
      <c r="E31" s="41">
        <f>SUM(E21:E30)</f>
        <v>81943.88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695.26</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19000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21744</v>
      </c>
      <c r="D47" s="95">
        <f>'DOE25'!G48</f>
        <v>5785.8499999999985</v>
      </c>
      <c r="E47" s="95">
        <f>'DOE25'!H48</f>
        <v>0</v>
      </c>
      <c r="F47" s="95">
        <f>'DOE25'!I48</f>
        <v>0</v>
      </c>
      <c r="G47" s="95">
        <f>'DOE25'!J48</f>
        <v>238820.66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369415.33</v>
      </c>
      <c r="D49" s="24" t="s">
        <v>288</v>
      </c>
      <c r="E49" s="24" t="s">
        <v>288</v>
      </c>
      <c r="F49" s="24" t="s">
        <v>288</v>
      </c>
      <c r="G49" s="24" t="s">
        <v>288</v>
      </c>
      <c r="H49" s="124"/>
      <c r="I49" s="124"/>
    </row>
    <row r="50" spans="1:9" ht="12.75" thickTop="1" thickBot="1" x14ac:dyDescent="0.25">
      <c r="A50" s="38" t="s">
        <v>884</v>
      </c>
      <c r="B50" s="48"/>
      <c r="C50" s="41">
        <f>SUM(C34:C49)</f>
        <v>410159.33</v>
      </c>
      <c r="D50" s="41">
        <f>SUM(D34:D49)</f>
        <v>6481.1099999999988</v>
      </c>
      <c r="E50" s="41">
        <f>SUM(E34:E49)</f>
        <v>0</v>
      </c>
      <c r="F50" s="41">
        <f>SUM(F34:F49)</f>
        <v>0</v>
      </c>
      <c r="G50" s="41">
        <f>SUM(G34:G49)</f>
        <v>238820.66</v>
      </c>
      <c r="H50" s="124"/>
      <c r="I50" s="124"/>
    </row>
    <row r="51" spans="1:9" ht="12" thickTop="1" x14ac:dyDescent="0.2">
      <c r="A51" s="38" t="s">
        <v>885</v>
      </c>
      <c r="B51" s="2"/>
      <c r="C51" s="41">
        <f>C50+C31</f>
        <v>440485.28</v>
      </c>
      <c r="D51" s="41">
        <f>D50+D31</f>
        <v>11655.569999999998</v>
      </c>
      <c r="E51" s="41">
        <f>E50+E31</f>
        <v>81943.88</v>
      </c>
      <c r="F51" s="41">
        <f>F50+F31</f>
        <v>0</v>
      </c>
      <c r="G51" s="41">
        <f>G50+G31</f>
        <v>238820.66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1496146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26.42</v>
      </c>
      <c r="D59" s="95">
        <f>'DOE25'!G96</f>
        <v>0</v>
      </c>
      <c r="E59" s="95">
        <f>'DOE25'!H96</f>
        <v>0</v>
      </c>
      <c r="F59" s="95">
        <f>'DOE25'!I96</f>
        <v>0</v>
      </c>
      <c r="G59" s="95">
        <f>'DOE25'!J96</f>
        <v>258.64</v>
      </c>
      <c r="H59"/>
      <c r="I59"/>
    </row>
    <row r="60" spans="1:9" x14ac:dyDescent="0.2">
      <c r="A60" s="1" t="s">
        <v>170</v>
      </c>
      <c r="B60" s="118" t="s">
        <v>171</v>
      </c>
      <c r="C60" s="24" t="s">
        <v>288</v>
      </c>
      <c r="D60" s="95">
        <f>'DOE25'!G97</f>
        <v>2684</v>
      </c>
      <c r="E60" s="24" t="s">
        <v>288</v>
      </c>
      <c r="F60" s="24" t="s">
        <v>288</v>
      </c>
      <c r="G60" s="24" t="s">
        <v>288</v>
      </c>
      <c r="H60"/>
      <c r="I60"/>
    </row>
    <row r="61" spans="1:9" ht="12" thickBot="1" x14ac:dyDescent="0.25">
      <c r="A61" s="1" t="s">
        <v>172</v>
      </c>
      <c r="B61" s="118" t="s">
        <v>173</v>
      </c>
      <c r="C61" s="95">
        <f>SUM('DOE25'!F98:F110)</f>
        <v>43509.26</v>
      </c>
      <c r="D61" s="95">
        <f>SUM('DOE25'!G98:G110)</f>
        <v>0</v>
      </c>
      <c r="E61" s="95">
        <f>SUM('DOE25'!H98:H110)</f>
        <v>854.81000000000006</v>
      </c>
      <c r="F61" s="95">
        <f>SUM('DOE25'!I98:I110)</f>
        <v>0</v>
      </c>
      <c r="G61" s="95">
        <f>SUM('DOE25'!J98:J110)</f>
        <v>0</v>
      </c>
      <c r="H61"/>
      <c r="I61"/>
    </row>
    <row r="62" spans="1:9" ht="12.75" thickTop="1" thickBot="1" x14ac:dyDescent="0.25">
      <c r="A62" s="29" t="s">
        <v>174</v>
      </c>
      <c r="B62" s="6"/>
      <c r="C62" s="130">
        <f>SUM(C57:C61)</f>
        <v>43535.68</v>
      </c>
      <c r="D62" s="130">
        <f>SUM(D57:D61)</f>
        <v>2684</v>
      </c>
      <c r="E62" s="130">
        <f>SUM(E57:E61)</f>
        <v>854.81000000000006</v>
      </c>
      <c r="F62" s="130">
        <f>SUM(F57:F61)</f>
        <v>0</v>
      </c>
      <c r="G62" s="130">
        <f>SUM(G57:G61)</f>
        <v>258.64</v>
      </c>
      <c r="H62"/>
      <c r="I62"/>
    </row>
    <row r="63" spans="1:9" ht="12" thickTop="1" x14ac:dyDescent="0.2">
      <c r="A63" s="29" t="s">
        <v>175</v>
      </c>
      <c r="B63" s="6"/>
      <c r="C63" s="22">
        <f>C56+C62</f>
        <v>1539681.68</v>
      </c>
      <c r="D63" s="22">
        <f>D56+D62</f>
        <v>2684</v>
      </c>
      <c r="E63" s="22">
        <f>E56+E62</f>
        <v>854.81000000000006</v>
      </c>
      <c r="F63" s="22">
        <f>F56+F62</f>
        <v>0</v>
      </c>
      <c r="G63" s="22">
        <f>G56+G62</f>
        <v>258.64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515945.82</v>
      </c>
      <c r="D66" s="24" t="s">
        <v>288</v>
      </c>
      <c r="E66" s="24" t="s">
        <v>288</v>
      </c>
      <c r="F66" s="24" t="s">
        <v>288</v>
      </c>
      <c r="G66" s="24" t="s">
        <v>288</v>
      </c>
      <c r="H66"/>
      <c r="I66"/>
    </row>
    <row r="67" spans="1:9" x14ac:dyDescent="0.2">
      <c r="A67" s="1" t="s">
        <v>770</v>
      </c>
      <c r="B67" s="6">
        <v>3112</v>
      </c>
      <c r="C67" s="95">
        <f>'DOE25'!F118</f>
        <v>173600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689545.82000000007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723.79</v>
      </c>
      <c r="E77" s="95">
        <f>SUM('DOE25'!H131:H135)</f>
        <v>0</v>
      </c>
      <c r="F77" s="95">
        <f>SUM('DOE25'!I131:I135)</f>
        <v>0</v>
      </c>
      <c r="G77" s="95">
        <f>SUM('DOE25'!J131:J135)</f>
        <v>0</v>
      </c>
      <c r="H77"/>
      <c r="I77"/>
    </row>
    <row r="78" spans="1:9" ht="12.75" thickTop="1" thickBot="1" x14ac:dyDescent="0.25">
      <c r="A78" s="29" t="s">
        <v>259</v>
      </c>
      <c r="B78" s="6"/>
      <c r="C78" s="130">
        <f>SUM(C72:C77)</f>
        <v>0</v>
      </c>
      <c r="D78" s="130">
        <f>SUM(D72:D77)</f>
        <v>723.79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689545.82000000007</v>
      </c>
      <c r="D81" s="130">
        <f>SUM(D79:D80)+D78+D70</f>
        <v>723.79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35083.94</v>
      </c>
      <c r="E88" s="331">
        <f>SUM('DOE25'!H153:H162)</f>
        <v>154888.08000000002</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35083.94</v>
      </c>
      <c r="E91" s="131">
        <f>SUM(E85:E90)</f>
        <v>154888.08000000002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21000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60000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60000</v>
      </c>
      <c r="D103" s="86">
        <f>SUM(D93:D102)</f>
        <v>21000</v>
      </c>
      <c r="E103" s="86">
        <f>SUM(E93:E102)</f>
        <v>0</v>
      </c>
      <c r="F103" s="86">
        <f>SUM(F93:F102)</f>
        <v>0</v>
      </c>
      <c r="G103" s="86">
        <f>SUM(G93:G102)</f>
        <v>25000</v>
      </c>
    </row>
    <row r="104" spans="1:7" ht="12.75" thickTop="1" thickBot="1" x14ac:dyDescent="0.25">
      <c r="A104" s="33" t="s">
        <v>761</v>
      </c>
      <c r="C104" s="86">
        <f>C63+C81+C91+C103</f>
        <v>2289227.5</v>
      </c>
      <c r="D104" s="86">
        <f>D63+D81+D91+D103</f>
        <v>59491.73</v>
      </c>
      <c r="E104" s="86">
        <f>E63+E81+E91+E103</f>
        <v>155742.89000000001</v>
      </c>
      <c r="F104" s="86">
        <f>F63+F81+F91+F103</f>
        <v>0</v>
      </c>
      <c r="G104" s="86">
        <f>G63+G81+G103</f>
        <v>25258.639999999999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1116752.1400000001</v>
      </c>
      <c r="D109" s="24" t="s">
        <v>288</v>
      </c>
      <c r="E109" s="95">
        <f>('DOE25'!L277)+('DOE25'!L296)+('DOE25'!L315)</f>
        <v>81964.429999999993</v>
      </c>
      <c r="F109" s="24" t="s">
        <v>288</v>
      </c>
      <c r="G109" s="24" t="s">
        <v>288</v>
      </c>
    </row>
    <row r="110" spans="1:7" x14ac:dyDescent="0.2">
      <c r="A110" t="s">
        <v>198</v>
      </c>
      <c r="B110" s="32" t="s">
        <v>199</v>
      </c>
      <c r="C110" s="95">
        <f>('DOE25'!L199)+('DOE25'!L217)+('DOE25'!L235)</f>
        <v>183263.76</v>
      </c>
      <c r="D110" s="24" t="s">
        <v>288</v>
      </c>
      <c r="E110" s="95">
        <f>('DOE25'!L278)+('DOE25'!L297)+('DOE25'!L316)</f>
        <v>1652.28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75</v>
      </c>
      <c r="D112" s="24" t="s">
        <v>288</v>
      </c>
      <c r="E112" s="95">
        <f>+('DOE25'!L280)+('DOE25'!L299)+('DOE25'!L318)</f>
        <v>3732.15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1300090.9000000001</v>
      </c>
      <c r="D115" s="86">
        <f>SUM(D109:D114)</f>
        <v>0</v>
      </c>
      <c r="E115" s="86">
        <f>SUM(E109:E114)</f>
        <v>87348.859999999986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196496.37999999998</v>
      </c>
      <c r="D118" s="24" t="s">
        <v>288</v>
      </c>
      <c r="E118" s="95">
        <f>+('DOE25'!L282)+('DOE25'!L301)+('DOE25'!L320)</f>
        <v>9958.18</v>
      </c>
      <c r="F118" s="24" t="s">
        <v>288</v>
      </c>
      <c r="G118" s="24" t="s">
        <v>288</v>
      </c>
    </row>
    <row r="119" spans="1:7" x14ac:dyDescent="0.2">
      <c r="A119" t="s">
        <v>208</v>
      </c>
      <c r="B119" s="32" t="s">
        <v>209</v>
      </c>
      <c r="C119" s="95">
        <f>('DOE25'!L204)+('DOE25'!L222)+('DOE25'!L240)</f>
        <v>37376.85</v>
      </c>
      <c r="D119" s="24" t="s">
        <v>288</v>
      </c>
      <c r="E119" s="95">
        <f>+('DOE25'!L283)+('DOE25'!L302)+('DOE25'!L321)</f>
        <v>40962.17</v>
      </c>
      <c r="F119" s="24" t="s">
        <v>288</v>
      </c>
      <c r="G119" s="24" t="s">
        <v>288</v>
      </c>
    </row>
    <row r="120" spans="1:7" x14ac:dyDescent="0.2">
      <c r="A120" t="s">
        <v>210</v>
      </c>
      <c r="B120" s="32" t="s">
        <v>211</v>
      </c>
      <c r="C120" s="95">
        <f>('DOE25'!L205)+('DOE25'!L223)+('DOE25'!L241)</f>
        <v>184068.68</v>
      </c>
      <c r="D120" s="24" t="s">
        <v>288</v>
      </c>
      <c r="E120" s="95">
        <f>+('DOE25'!L284)+('DOE25'!L303)+('DOE25'!L322)</f>
        <v>3126.91</v>
      </c>
      <c r="F120" s="24" t="s">
        <v>288</v>
      </c>
      <c r="G120" s="24" t="s">
        <v>288</v>
      </c>
    </row>
    <row r="121" spans="1:7" x14ac:dyDescent="0.2">
      <c r="A121" t="s">
        <v>212</v>
      </c>
      <c r="B121" s="32" t="s">
        <v>213</v>
      </c>
      <c r="C121" s="95">
        <f>('DOE25'!L206)+('DOE25'!L224)+('DOE25'!L242)</f>
        <v>159443.72999999998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1264</v>
      </c>
      <c r="F122" s="24" t="s">
        <v>288</v>
      </c>
      <c r="G122" s="24" t="s">
        <v>288</v>
      </c>
    </row>
    <row r="123" spans="1:7" x14ac:dyDescent="0.2">
      <c r="A123" t="s">
        <v>216</v>
      </c>
      <c r="B123" s="32" t="s">
        <v>217</v>
      </c>
      <c r="C123" s="95">
        <f>('DOE25'!L208)+('DOE25'!L226)+('DOE25'!L244)</f>
        <v>240185.97999999998</v>
      </c>
      <c r="D123" s="24" t="s">
        <v>288</v>
      </c>
      <c r="E123" s="95">
        <f>+('DOE25'!L287)+('DOE25'!L306)+('DOE25'!L325)</f>
        <v>13082.769999999999</v>
      </c>
      <c r="F123" s="24" t="s">
        <v>288</v>
      </c>
      <c r="G123" s="24" t="s">
        <v>288</v>
      </c>
    </row>
    <row r="124" spans="1:7" x14ac:dyDescent="0.2">
      <c r="A124" t="s">
        <v>218</v>
      </c>
      <c r="B124" s="32" t="s">
        <v>219</v>
      </c>
      <c r="C124" s="95">
        <f>('DOE25'!L209)+('DOE25'!L227)+('DOE25'!L245+'DOE25'!L255)</f>
        <v>170127.81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59159.290000000008</v>
      </c>
      <c r="E127" s="24" t="s">
        <v>288</v>
      </c>
      <c r="F127" s="24" t="s">
        <v>288</v>
      </c>
      <c r="G127" s="24" t="s">
        <v>288</v>
      </c>
    </row>
    <row r="128" spans="1:7" ht="12.75" thickTop="1" thickBot="1" x14ac:dyDescent="0.25">
      <c r="A128" s="33" t="s">
        <v>226</v>
      </c>
      <c r="C128" s="86">
        <f>SUM(C118:C127)</f>
        <v>987699.42999999993</v>
      </c>
      <c r="D128" s="86">
        <f>SUM(D118:D127)</f>
        <v>59159.290000000008</v>
      </c>
      <c r="E128" s="86">
        <f>SUM(E118:E127)</f>
        <v>68394.03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60050</v>
      </c>
    </row>
    <row r="135" spans="1:7" x14ac:dyDescent="0.2">
      <c r="A135" t="s">
        <v>233</v>
      </c>
      <c r="B135" s="32" t="s">
        <v>234</v>
      </c>
      <c r="C135" s="95">
        <f>'DOE25'!L264</f>
        <v>21000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43.97</v>
      </c>
      <c r="D138" s="24" t="s">
        <v>288</v>
      </c>
      <c r="E138" s="24" t="s">
        <v>288</v>
      </c>
      <c r="F138" s="24" t="s">
        <v>288</v>
      </c>
      <c r="G138" s="24" t="s">
        <v>288</v>
      </c>
    </row>
    <row r="139" spans="1:7" x14ac:dyDescent="0.2">
      <c r="A139" t="s">
        <v>239</v>
      </c>
      <c r="B139" s="32">
        <v>5252</v>
      </c>
      <c r="C139" s="95">
        <f>'DOE25'!L402</f>
        <v>25214.670000000002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-258.64000000000306</v>
      </c>
      <c r="D141" s="24" t="s">
        <v>288</v>
      </c>
      <c r="E141" s="24" t="s">
        <v>288</v>
      </c>
      <c r="F141" s="24" t="s">
        <v>288</v>
      </c>
      <c r="G141" s="24" t="s">
        <v>288</v>
      </c>
    </row>
    <row r="142" spans="1:7" x14ac:dyDescent="0.2">
      <c r="A142" t="s">
        <v>241</v>
      </c>
      <c r="B142" s="32">
        <v>5310</v>
      </c>
      <c r="C142" s="129">
        <f>'DOE25'!L269</f>
        <v>20714.900000000001</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66714.899999999994</v>
      </c>
      <c r="D144" s="141">
        <f>SUM(D130:D143)</f>
        <v>0</v>
      </c>
      <c r="E144" s="141">
        <f>SUM(E130:E143)</f>
        <v>0</v>
      </c>
      <c r="F144" s="141">
        <f>SUM(F130:F143)</f>
        <v>0</v>
      </c>
      <c r="G144" s="141">
        <f>SUM(G130:G143)</f>
        <v>60050</v>
      </c>
    </row>
    <row r="145" spans="1:9" ht="12.75" thickTop="1" thickBot="1" x14ac:dyDescent="0.25">
      <c r="A145" s="33" t="s">
        <v>244</v>
      </c>
      <c r="C145" s="86">
        <f>(C115+C128+C144)</f>
        <v>2354505.23</v>
      </c>
      <c r="D145" s="86">
        <f>(D115+D128+D144)</f>
        <v>59159.290000000008</v>
      </c>
      <c r="E145" s="86">
        <f>(E115+E128+E144)</f>
        <v>155742.88999999998</v>
      </c>
      <c r="F145" s="86">
        <f>(F115+F128+F144)</f>
        <v>0</v>
      </c>
      <c r="G145" s="86">
        <f>(G115+G128+G144)</f>
        <v>60050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STEWARTSTOWN SCHOOL DISTRICT</v>
      </c>
    </row>
    <row r="3" spans="1:4" x14ac:dyDescent="0.2">
      <c r="B3" s="188" t="s">
        <v>1666</v>
      </c>
    </row>
    <row r="4" spans="1:4" x14ac:dyDescent="0.2">
      <c r="B4" t="s">
        <v>61</v>
      </c>
      <c r="C4" s="179">
        <f>IF('DOE25'!F666+'DOE25'!F671=0,0,ROUND('DOE25'!F673,0))</f>
        <v>29785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29785</v>
      </c>
    </row>
    <row r="9" spans="1:4" x14ac:dyDescent="0.2">
      <c r="A9" s="187" t="s">
        <v>94</v>
      </c>
      <c r="B9" s="188" t="s">
        <v>1671</v>
      </c>
      <c r="C9" s="181" t="s">
        <v>720</v>
      </c>
      <c r="D9" s="181" t="s">
        <v>721</v>
      </c>
    </row>
    <row r="10" spans="1:4" x14ac:dyDescent="0.2">
      <c r="A10">
        <v>1100</v>
      </c>
      <c r="B10" t="s">
        <v>702</v>
      </c>
      <c r="C10" s="179">
        <f>ROUND('DOE25'!L198+'DOE25'!L216+'DOE25'!L234+'DOE25'!L277+'DOE25'!L296+'DOE25'!L315,0)</f>
        <v>1198717</v>
      </c>
      <c r="D10" s="182">
        <f>ROUND((C10/$C$28)*100,1)</f>
        <v>47.6</v>
      </c>
    </row>
    <row r="11" spans="1:4" x14ac:dyDescent="0.2">
      <c r="A11">
        <v>1200</v>
      </c>
      <c r="B11" t="s">
        <v>703</v>
      </c>
      <c r="C11" s="179">
        <f>ROUND('DOE25'!L199+'DOE25'!L217+'DOE25'!L235+'DOE25'!L278+'DOE25'!L297+'DOE25'!L316,0)</f>
        <v>184916</v>
      </c>
      <c r="D11" s="182">
        <f>ROUND((C11/$C$28)*100,1)</f>
        <v>7.3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3807</v>
      </c>
      <c r="D13" s="182">
        <f>ROUND((C13/$C$28)*100,1)</f>
        <v>0.2</v>
      </c>
    </row>
    <row r="14" spans="1:4" x14ac:dyDescent="0.2">
      <c r="D14" s="182"/>
    </row>
    <row r="15" spans="1:4" x14ac:dyDescent="0.2">
      <c r="A15">
        <v>2100</v>
      </c>
      <c r="B15" t="s">
        <v>706</v>
      </c>
      <c r="C15" s="179">
        <f>ROUND('DOE25'!L203+'DOE25'!L221+'DOE25'!L239+'DOE25'!L282+'DOE25'!L301+'DOE25'!L320,0)</f>
        <v>206455</v>
      </c>
      <c r="D15" s="182">
        <f t="shared" ref="D15:D27" si="0">ROUND((C15/$C$28)*100,1)</f>
        <v>8.1999999999999993</v>
      </c>
    </row>
    <row r="16" spans="1:4" x14ac:dyDescent="0.2">
      <c r="A16">
        <v>2200</v>
      </c>
      <c r="B16" t="s">
        <v>707</v>
      </c>
      <c r="C16" s="179">
        <f>ROUND('DOE25'!L204+'DOE25'!L222+'DOE25'!L240+'DOE25'!L283+'DOE25'!L302+'DOE25'!L321,0)</f>
        <v>78339</v>
      </c>
      <c r="D16" s="182">
        <f t="shared" si="0"/>
        <v>3.1</v>
      </c>
    </row>
    <row r="17" spans="1:4" x14ac:dyDescent="0.2">
      <c r="A17" s="183" t="s">
        <v>723</v>
      </c>
      <c r="B17" t="s">
        <v>738</v>
      </c>
      <c r="C17" s="179">
        <f>ROUND('DOE25'!L205+'DOE25'!L210+'DOE25'!L223+'DOE25'!L228+'DOE25'!L241+'DOE25'!L246+'DOE25'!L284+'DOE25'!L289+'DOE25'!L303+'DOE25'!L308+'DOE25'!L322+'DOE25'!L327,0)</f>
        <v>187196</v>
      </c>
      <c r="D17" s="182">
        <f t="shared" si="0"/>
        <v>7.4</v>
      </c>
    </row>
    <row r="18" spans="1:4" x14ac:dyDescent="0.2">
      <c r="A18">
        <v>2400</v>
      </c>
      <c r="B18" t="s">
        <v>711</v>
      </c>
      <c r="C18" s="179">
        <f>ROUND('DOE25'!L206+'DOE25'!L224+'DOE25'!L242+'DOE25'!L285+'DOE25'!L304+'DOE25'!L323,0)</f>
        <v>159444</v>
      </c>
      <c r="D18" s="182">
        <f t="shared" si="0"/>
        <v>6.3</v>
      </c>
    </row>
    <row r="19" spans="1:4" x14ac:dyDescent="0.2">
      <c r="A19">
        <v>2500</v>
      </c>
      <c r="B19" t="s">
        <v>708</v>
      </c>
      <c r="C19" s="179">
        <f>ROUND('DOE25'!L207+'DOE25'!L225+'DOE25'!L243+'DOE25'!L286+'DOE25'!L305+'DOE25'!L324,0)</f>
        <v>1264</v>
      </c>
      <c r="D19" s="182">
        <f t="shared" si="0"/>
        <v>0.1</v>
      </c>
    </row>
    <row r="20" spans="1:4" x14ac:dyDescent="0.2">
      <c r="A20">
        <v>2600</v>
      </c>
      <c r="B20" t="s">
        <v>709</v>
      </c>
      <c r="C20" s="179">
        <f>ROUND('DOE25'!L208+'DOE25'!L226+'DOE25'!L244+'DOE25'!L287+'DOE25'!L306+'DOE25'!L325,0)</f>
        <v>253269</v>
      </c>
      <c r="D20" s="182">
        <f t="shared" si="0"/>
        <v>10</v>
      </c>
    </row>
    <row r="21" spans="1:4" x14ac:dyDescent="0.2">
      <c r="A21">
        <v>2700</v>
      </c>
      <c r="B21" t="s">
        <v>710</v>
      </c>
      <c r="C21" s="179">
        <f>ROUND('DOE25'!L209+'DOE25'!L227+'DOE25'!L245+'DOE25'!L288+'DOE25'!L307+'DOE25'!L326,0)</f>
        <v>170128</v>
      </c>
      <c r="D21" s="182">
        <f t="shared" si="0"/>
        <v>6.7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20714.900000000001</v>
      </c>
      <c r="D26" s="182">
        <f t="shared" si="0"/>
        <v>0.8</v>
      </c>
    </row>
    <row r="27" spans="1:4" x14ac:dyDescent="0.2">
      <c r="A27">
        <v>3100</v>
      </c>
      <c r="B27" t="s">
        <v>11</v>
      </c>
      <c r="C27" s="179">
        <f>ROUND('DOE25'!L363-'DOE25'!L362,0)-SUM('DOE25'!G97:G110)</f>
        <v>56475</v>
      </c>
      <c r="D27" s="182">
        <f t="shared" si="0"/>
        <v>2.2000000000000002</v>
      </c>
    </row>
    <row r="28" spans="1:4" x14ac:dyDescent="0.2">
      <c r="B28" s="187" t="s">
        <v>719</v>
      </c>
      <c r="C28" s="180">
        <f>SUM(C10:C27)</f>
        <v>2520724.9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2520724.9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1496146</v>
      </c>
      <c r="D35" s="182">
        <f t="shared" ref="D35:D40" si="1">ROUND((C35/$C$41)*100,1)</f>
        <v>61.8</v>
      </c>
    </row>
    <row r="36" spans="1:4" x14ac:dyDescent="0.2">
      <c r="B36" s="185" t="s">
        <v>739</v>
      </c>
      <c r="C36" s="179">
        <f>SUM('DOE25'!F112:J112)-SUM('DOE25'!G97:G110)+('DOE25'!F175+'DOE25'!F176+'DOE25'!I175+'DOE25'!I176)-C35</f>
        <v>44649.129999999888</v>
      </c>
      <c r="D36" s="182">
        <f t="shared" si="1"/>
        <v>1.8</v>
      </c>
    </row>
    <row r="37" spans="1:4" x14ac:dyDescent="0.2">
      <c r="A37" s="183" t="s">
        <v>835</v>
      </c>
      <c r="B37" s="185" t="s">
        <v>728</v>
      </c>
      <c r="C37" s="179">
        <f>ROUND('DOE25'!F117+'DOE25'!F118,0)</f>
        <v>689546</v>
      </c>
      <c r="D37" s="182">
        <f t="shared" si="1"/>
        <v>28.5</v>
      </c>
    </row>
    <row r="38" spans="1:4" x14ac:dyDescent="0.2">
      <c r="A38" s="183" t="s">
        <v>734</v>
      </c>
      <c r="B38" s="185" t="s">
        <v>729</v>
      </c>
      <c r="C38" s="179">
        <f>ROUND(SUM('DOE25'!F140:J140)-SUM('DOE25'!F117:F119),0)</f>
        <v>724</v>
      </c>
      <c r="D38" s="182">
        <f t="shared" si="1"/>
        <v>0</v>
      </c>
    </row>
    <row r="39" spans="1:4" x14ac:dyDescent="0.2">
      <c r="A39">
        <v>4000</v>
      </c>
      <c r="B39" s="185" t="s">
        <v>730</v>
      </c>
      <c r="C39" s="179">
        <f>ROUND('DOE25'!F170+'DOE25'!G170+'DOE25'!H170+'DOE25'!I170,0)</f>
        <v>189972</v>
      </c>
      <c r="D39" s="182">
        <f t="shared" si="1"/>
        <v>7.8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2421037.13</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STEWARTSTOWN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2021-09-13T19:33:29Z</cp:lastPrinted>
  <dcterms:created xsi:type="dcterms:W3CDTF">1997-12-04T19:04:30Z</dcterms:created>
  <dcterms:modified xsi:type="dcterms:W3CDTF">2021-12-13T19:42:21Z</dcterms:modified>
</cp:coreProperties>
</file>