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3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F48" i="1"/>
  <c r="H161" i="1"/>
  <c r="H162" i="1"/>
  <c r="F162" i="1"/>
  <c r="E22" i="17"/>
  <c r="E26" i="17"/>
  <c r="H542" i="1"/>
  <c r="C37" i="12"/>
  <c r="B37" i="12"/>
  <c r="B19" i="12"/>
  <c r="B21" i="12"/>
  <c r="B20" i="12"/>
  <c r="B11" i="12"/>
  <c r="B10" i="12"/>
  <c r="E37" i="14" l="1"/>
  <c r="D37" i="14"/>
  <c r="E5" i="14"/>
  <c r="D5" i="14"/>
  <c r="F15" i="13"/>
  <c r="D9" i="13"/>
  <c r="H398" i="1"/>
  <c r="H390" i="1"/>
  <c r="F470" i="1"/>
  <c r="J469" i="1"/>
  <c r="G474" i="1"/>
  <c r="H155" i="1"/>
  <c r="F12" i="1"/>
  <c r="G22" i="1"/>
  <c r="F500" i="1" l="1"/>
  <c r="F499" i="1"/>
  <c r="E30" i="17"/>
  <c r="H605" i="1"/>
  <c r="H159" i="1"/>
  <c r="K286" i="1"/>
  <c r="G282" i="1"/>
  <c r="F282" i="1"/>
  <c r="G278" i="1"/>
  <c r="F278" i="1"/>
  <c r="G277" i="1"/>
  <c r="F277" i="1"/>
  <c r="G612" i="1"/>
  <c r="F612" i="1"/>
  <c r="H522" i="1"/>
  <c r="H527" i="1"/>
  <c r="G527" i="1"/>
  <c r="F527" i="1"/>
  <c r="G199" i="1"/>
  <c r="F199" i="1"/>
  <c r="H524" i="1"/>
  <c r="K522" i="1"/>
  <c r="I522" i="1"/>
  <c r="G522" i="1"/>
  <c r="G524" i="1"/>
  <c r="F522" i="1"/>
  <c r="H593" i="1"/>
  <c r="H592" i="1"/>
  <c r="G209" i="1"/>
  <c r="F209" i="1"/>
  <c r="H209" i="1"/>
  <c r="F57" i="1"/>
  <c r="H203" i="1"/>
  <c r="K203" i="1"/>
  <c r="H199" i="1"/>
  <c r="I199" i="1"/>
  <c r="H234" i="1"/>
  <c r="H198" i="1"/>
  <c r="H208" i="1"/>
  <c r="J208" i="1"/>
  <c r="I208" i="1"/>
  <c r="G208" i="1"/>
  <c r="F208" i="1"/>
  <c r="K206" i="1"/>
  <c r="H206" i="1"/>
  <c r="G206" i="1"/>
  <c r="F206" i="1"/>
  <c r="I204" i="1"/>
  <c r="G204" i="1"/>
  <c r="F204" i="1"/>
  <c r="H205" i="1"/>
  <c r="G205" i="1"/>
  <c r="F205" i="1"/>
  <c r="I203" i="1"/>
  <c r="G203" i="1"/>
  <c r="F203" i="1"/>
  <c r="I201" i="1"/>
  <c r="G201" i="1"/>
  <c r="F201" i="1"/>
  <c r="K199" i="1"/>
  <c r="J198" i="1"/>
  <c r="I198" i="1"/>
  <c r="G198" i="1"/>
  <c r="F198" i="1"/>
  <c r="F63" i="1"/>
  <c r="H283" i="1"/>
  <c r="G283" i="1"/>
  <c r="I282" i="1"/>
  <c r="G473" i="1" l="1"/>
  <c r="F359" i="1"/>
  <c r="I359" i="1"/>
  <c r="G359"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3" i="1"/>
  <c r="F551"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G475" i="1"/>
  <c r="I475" i="1"/>
  <c r="J475" i="1"/>
  <c r="K496" i="1"/>
  <c r="K497" i="1"/>
  <c r="K498" i="1"/>
  <c r="K499" i="1"/>
  <c r="K500" i="1"/>
  <c r="K502" i="1"/>
  <c r="K503" i="1"/>
  <c r="F518" i="1"/>
  <c r="G518" i="1"/>
  <c r="H518" i="1"/>
  <c r="I518" i="1"/>
  <c r="F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2" i="1"/>
  <c r="H636" i="1"/>
  <c r="H637" i="1"/>
  <c r="H638" i="1"/>
  <c r="H639" i="1"/>
  <c r="G644" i="1"/>
  <c r="G645" i="1"/>
  <c r="G646" i="1"/>
  <c r="G651" i="1"/>
  <c r="G652" i="1"/>
  <c r="H653" i="1"/>
  <c r="G654" i="1"/>
  <c r="H654" i="1"/>
  <c r="G655" i="1"/>
  <c r="H655" i="1"/>
  <c r="H656" i="1"/>
  <c r="I170" i="1"/>
  <c r="G62" i="2" l="1"/>
  <c r="E110" i="2"/>
  <c r="E13" i="13"/>
  <c r="C13" i="13" s="1"/>
  <c r="J652" i="1"/>
  <c r="H663" i="1"/>
  <c r="G662" i="1"/>
  <c r="J258" i="1"/>
  <c r="J656" i="1"/>
  <c r="J572" i="1"/>
  <c r="E123" i="2"/>
  <c r="E119" i="2"/>
  <c r="H409" i="1"/>
  <c r="H645" i="1" s="1"/>
  <c r="J645" i="1" s="1"/>
  <c r="K339" i="1"/>
  <c r="K353" i="1" s="1"/>
  <c r="G339" i="1"/>
  <c r="G353" i="1" s="1"/>
  <c r="D50" i="2"/>
  <c r="E131" i="2"/>
  <c r="E144" i="2" s="1"/>
  <c r="G553" i="1"/>
  <c r="F258" i="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L352" i="1"/>
  <c r="F130" i="2"/>
  <c r="F144" i="2" s="1"/>
  <c r="F145" i="2" s="1"/>
  <c r="G170" i="1"/>
  <c r="B12" i="16" s="1"/>
  <c r="J618"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C81" i="2"/>
  <c r="F194" i="1"/>
  <c r="E128" i="2"/>
  <c r="F661" i="1"/>
  <c r="F665" i="1" s="1"/>
  <c r="F668" i="1" s="1"/>
  <c r="H649" i="1"/>
  <c r="J649" i="1" s="1"/>
  <c r="E51" i="2"/>
  <c r="E115" i="2"/>
  <c r="H661" i="1"/>
  <c r="H665" i="1" s="1"/>
  <c r="H668" i="1" s="1"/>
  <c r="H194" i="1"/>
  <c r="F51" i="2"/>
  <c r="G36" i="14"/>
  <c r="H36" i="14" s="1"/>
  <c r="I36" i="14" s="1"/>
  <c r="E104" i="2"/>
  <c r="C36" i="10"/>
  <c r="L435" i="1"/>
  <c r="G639" i="1" s="1"/>
  <c r="J639" i="1" s="1"/>
  <c r="I662" i="1"/>
  <c r="G104" i="2"/>
  <c r="L339" i="1"/>
  <c r="L353" i="1" s="1"/>
  <c r="I194" i="1"/>
  <c r="G631" i="1" s="1"/>
  <c r="J631" i="1" s="1"/>
  <c r="G636" i="1"/>
  <c r="J636" i="1" s="1"/>
  <c r="G51" i="2"/>
  <c r="D104" i="2"/>
  <c r="L409" i="1"/>
  <c r="C27" i="10"/>
  <c r="C28" i="10" s="1"/>
  <c r="D23" i="10" s="1"/>
  <c r="G4" i="14"/>
  <c r="H4" i="14" s="1"/>
  <c r="I4" i="14" s="1"/>
  <c r="J626" i="1"/>
  <c r="F104" i="2"/>
  <c r="B14" i="16"/>
  <c r="B22" i="16" s="1"/>
  <c r="E33" i="13"/>
  <c r="D35" i="13" s="1"/>
  <c r="J648" i="1"/>
  <c r="L258" i="1"/>
  <c r="L272" i="1" s="1"/>
  <c r="C115" i="2"/>
  <c r="C63" i="2"/>
  <c r="C104" i="2" s="1"/>
  <c r="C39" i="10"/>
  <c r="G33" i="13"/>
  <c r="C128" i="2"/>
  <c r="D31" i="13"/>
  <c r="C31" i="13" s="1"/>
  <c r="I462" i="1"/>
  <c r="H643" i="1" s="1"/>
  <c r="J643" i="1" s="1"/>
  <c r="G661" i="1"/>
  <c r="G665" i="1" s="1"/>
  <c r="G673" i="1" s="1"/>
  <c r="C5" i="10" s="1"/>
  <c r="C25" i="13"/>
  <c r="I33" i="13"/>
  <c r="C51" i="2"/>
  <c r="G632" i="1"/>
  <c r="J632" i="1" s="1"/>
  <c r="G194" i="1"/>
  <c r="G627" i="1"/>
  <c r="J627" i="1" s="1"/>
  <c r="J52" i="1"/>
  <c r="H622" i="1" s="1"/>
  <c r="J622" i="1" s="1"/>
  <c r="C38" i="10"/>
  <c r="G628" i="1" l="1"/>
  <c r="F469" i="1"/>
  <c r="G633" i="1"/>
  <c r="F473" i="1"/>
  <c r="G630" i="1"/>
  <c r="H469" i="1"/>
  <c r="E145" i="2"/>
  <c r="G634" i="1"/>
  <c r="H473" i="1"/>
  <c r="G629" i="1"/>
  <c r="G469"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J628" i="1" s="1"/>
  <c r="F471" i="1"/>
  <c r="H633" i="1"/>
  <c r="J633" i="1" s="1"/>
  <c r="F475" i="1"/>
  <c r="H471" i="1"/>
  <c r="H630" i="1"/>
  <c r="J630" i="1" s="1"/>
  <c r="H634" i="1"/>
  <c r="J634" i="1" s="1"/>
  <c r="H475" i="1"/>
  <c r="G471" i="1"/>
  <c r="G477" i="1" s="1"/>
  <c r="H629" i="1"/>
  <c r="J629" i="1" s="1"/>
  <c r="I668" i="1"/>
  <c r="D28" i="10"/>
  <c r="D37" i="10"/>
  <c r="D36" i="10"/>
  <c r="D35" i="10"/>
  <c r="D40" i="10"/>
  <c r="D39" i="10"/>
  <c r="F477" i="1" l="1"/>
  <c r="H623" i="1" s="1"/>
  <c r="J623" i="1" s="1"/>
  <c r="H477" i="1"/>
  <c r="H625" i="1" s="1"/>
  <c r="J625" i="1" s="1"/>
  <c r="H624" i="1"/>
  <c r="B33" i="16"/>
  <c r="D41" i="10"/>
  <c r="J624" i="1" l="1"/>
  <c r="H657" i="1"/>
  <c r="L522" i="1"/>
  <c r="F550" i="1" s="1"/>
  <c r="G525" i="1"/>
  <c r="G546" i="1" s="1"/>
  <c r="K550" i="1" l="1"/>
  <c r="L524" i="1"/>
  <c r="F552" i="1" l="1"/>
  <c r="L525" i="1"/>
  <c r="L546" i="1" s="1"/>
  <c r="K552" i="1" l="1"/>
  <c r="K553" i="1" s="1"/>
  <c r="F553"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<sst xmlns="http://schemas.openxmlformats.org/spreadsheetml/2006/main" count="5576" uniqueCount="1675">
  <si>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</si>
  <si>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</si>
  <si>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</si>
  <si>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</si>
  <si>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</si>
  <si>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</si>
  <si>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</si>
  <si>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</si>
  <si>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</si>
  <si>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</si>
  <si>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</si>
  <si>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</si>
  <si>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</si>
  <si>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</si>
  <si>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</si>
  <si>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</si>
  <si>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</si>
  <si>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</si>
  <si>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</si>
  <si>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</si>
  <si>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</si>
  <si>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</si>
  <si>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</si>
  <si>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</si>
  <si>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</si>
  <si>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</si>
  <si>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</si>
  <si>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</si>
  <si>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</si>
  <si>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</si>
  <si>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</si>
  <si>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</si>
  <si>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</si>
  <si>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</si>
  <si>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</si>
  <si>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</si>
  <si>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</si>
  <si>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</si>
  <si>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</si>
  <si>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</si>
  <si>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</si>
  <si>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</si>
  <si>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</si>
  <si>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</si>
  <si>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</si>
  <si>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</si>
  <si>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</si>
  <si>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</si>
  <si>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</si>
  <si>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</si>
  <si>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</si>
  <si>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</si>
  <si>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</si>
  <si>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</si>
  <si>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</si>
  <si>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</si>
  <si>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</si>
  <si>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</si>
  <si>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</si>
  <si>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</si>
  <si>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</si>
  <si>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</si>
  <si>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</si>
  <si>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</si>
  <si>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</si>
  <si>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</si>
  <si>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</si>
  <si>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</si>
  <si>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</si>
  <si>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</si>
  <si>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</si>
  <si>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</si>
  <si>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</si>
  <si>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</si>
  <si>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</si>
  <si>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</si>
  <si>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</si>
  <si>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</si>
  <si>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</si>
  <si>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</si>
  <si>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</si>
  <si>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</si>
  <si>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</si>
  <si>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</si>
  <si>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</si>
  <si>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</si>
  <si>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</si>
  <si>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</si>
  <si>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</si>
  <si>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</si>
  <si>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</si>
  <si>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</si>
  <si>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</si>
  <si>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</si>
  <si>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</si>
  <si>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</si>
  <si>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</si>
  <si>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</si>
  <si>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</si>
  <si>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</si>
  <si>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</si>
  <si>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</si>
  <si>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</si>
  <si>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</si>
  <si>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</si>
  <si>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</si>
  <si>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</si>
  <si>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</si>
  <si>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</si>
  <si>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</si>
  <si>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</si>
  <si>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</si>
  <si>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</si>
  <si>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</si>
  <si>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</si>
  <si>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</si>
  <si>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</si>
  <si>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</si>
  <si>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</si>
  <si>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</si>
  <si>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</si>
  <si>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</si>
  <si>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</si>
  <si>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</si>
  <si>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</si>
  <si>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</si>
  <si>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</si>
  <si>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</si>
  <si>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</si>
  <si>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</si>
  <si>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</si>
  <si>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</si>
  <si>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</si>
  <si>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</si>
  <si>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</si>
  <si>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</si>
  <si>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</si>
  <si>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</si>
  <si>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</si>
  <si>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</si>
  <si>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</si>
  <si>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</si>
  <si>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</si>
  <si>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</si>
  <si>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</si>
  <si>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</si>
  <si>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</si>
  <si>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</si>
  <si>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</si>
  <si>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</si>
  <si>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</si>
  <si>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</si>
  <si>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</si>
  <si>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</si>
  <si>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</si>
  <si>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</si>
  <si>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</si>
  <si>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</si>
  <si>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</si>
  <si>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</si>
  <si>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</si>
  <si>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</si>
  <si>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</si>
  <si>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</si>
  <si>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</si>
  <si>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</si>
  <si>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</si>
  <si>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</si>
  <si>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</si>
  <si>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</si>
  <si>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</si>
  <si>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</si>
  <si>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</si>
  <si>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</si>
  <si>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</si>
  <si>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</si>
  <si>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</si>
  <si>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</si>
  <si>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</si>
  <si>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</si>
  <si>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</si>
  <si>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</si>
  <si>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</si>
  <si>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</si>
  <si>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</si>
  <si>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</si>
  <si>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</si>
  <si>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</si>
  <si>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</si>
  <si>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</si>
  <si>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</si>
  <si>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</si>
  <si>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</si>
  <si>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</si>
  <si>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</si>
  <si>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</si>
  <si>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</si>
  <si>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</si>
  <si>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</si>
  <si>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</si>
  <si>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</si>
  <si>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</si>
  <si>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</si>
  <si>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</si>
  <si>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</si>
  <si>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</si>
  <si>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</si>
  <si>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</si>
  <si>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</si>
  <si>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</si>
  <si>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</si>
  <si>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</si>
  <si>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</si>
  <si>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</si>
  <si>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</si>
  <si>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</si>
  <si>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</si>
  <si>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</si>
  <si>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</si>
  <si>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</si>
  <si>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</si>
  <si>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</si>
  <si>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</si>
  <si>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</si>
  <si>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</si>
  <si>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</si>
  <si>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</si>
  <si>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</si>
  <si>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</si>
  <si>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</si>
  <si>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</si>
  <si>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</si>
  <si>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</si>
  <si>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</si>
  <si>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</si>
  <si>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</si>
  <si>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</si>
  <si>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</si>
  <si>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</si>
  <si>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</si>
  <si>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</si>
  <si>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</si>
  <si>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</si>
  <si>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</si>
  <si>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</si>
  <si>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</si>
  <si>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</si>
  <si>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</si>
  <si>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</si>
  <si>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</si>
  <si>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</si>
  <si>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</si>
  <si>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</si>
  <si>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</si>
  <si>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</si>
  <si>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</si>
  <si>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</si>
  <si>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</si>
  <si>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</si>
  <si>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</si>
  <si>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</si>
  <si>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</si>
  <si>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</si>
  <si>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</si>
  <si>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</si>
  <si>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</si>
  <si>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</si>
  <si>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</si>
  <si>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</si>
  <si>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</si>
  <si>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</si>
  <si>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</si>
  <si>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</si>
  <si>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</si>
  <si>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</si>
  <si>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</si>
  <si>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</si>
  <si>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</si>
  <si>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</si>
  <si>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</si>
  <si>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</si>
  <si>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</si>
  <si>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</si>
  <si>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</si>
  <si>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</si>
  <si>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</si>
  <si>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</si>
  <si>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</si>
  <si>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</si>
  <si>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</si>
  <si>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</si>
  <si>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</si>
  <si>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</si>
  <si>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</si>
  <si>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</si>
  <si>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</si>
  <si>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</si>
  <si>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</si>
  <si>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</si>
  <si>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</si>
  <si>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</si>
  <si>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</si>
  <si>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</si>
  <si>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</si>
  <si>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</si>
  <si>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</si>
  <si>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</si>
  <si>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</si>
  <si>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</si>
  <si>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</si>
  <si>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</si>
  <si>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</si>
  <si>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</si>
  <si>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</si>
  <si>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</si>
  <si>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</si>
  <si>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</si>
  <si>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</si>
  <si>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</si>
  <si>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</si>
  <si>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</si>
  <si>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</si>
  <si>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</si>
  <si>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</si>
  <si>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</si>
  <si>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</si>
  <si>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</si>
  <si>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</si>
  <si>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</si>
  <si>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</si>
  <si>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</si>
  <si>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</si>
  <si>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</si>
  <si>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</si>
  <si>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</si>
  <si>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</si>
  <si>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</si>
  <si>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</si>
  <si>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</si>
  <si>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</si>
  <si>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</si>
  <si>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</si>
  <si>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</si>
  <si>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</si>
  <si>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</si>
  <si>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</si>
  <si>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</si>
  <si>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</si>
  <si>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</si>
  <si>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</si>
  <si>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</si>
  <si>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</si>
  <si>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</si>
  <si>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</si>
  <si>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</si>
  <si>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</si>
  <si>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</si>
  <si>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</si>
  <si>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</si>
  <si>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</si>
  <si>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</si>
  <si>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</si>
  <si>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</si>
  <si>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</si>
  <si>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</si>
  <si>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</si>
  <si>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</si>
  <si>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</si>
  <si>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</si>
  <si>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</si>
  <si>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</si>
  <si>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</si>
  <si>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</si>
  <si>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</si>
  <si>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</si>
  <si>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</si>
  <si>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</si>
  <si>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</si>
  <si>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</si>
  <si>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</si>
  <si>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</si>
  <si>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</si>
  <si>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</si>
  <si>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</si>
  <si>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</si>
  <si>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</si>
  <si>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</si>
  <si>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</si>
  <si>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</si>
  <si>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</si>
  <si>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</si>
  <si>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</si>
  <si>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</si>
  <si>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</si>
  <si>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</si>
  <si>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</si>
  <si>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</si>
  <si>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</si>
  <si>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</si>
  <si>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</si>
  <si>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</si>
  <si>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</si>
  <si>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</si>
  <si>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</si>
  <si>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</si>
  <si>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</si>
  <si>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</si>
  <si>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</si>
  <si>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</si>
  <si>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</si>
  <si>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</si>
  <si>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</si>
  <si>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</si>
  <si>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</si>
  <si>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</si>
  <si>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</si>
  <si>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</si>
  <si>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</si>
  <si>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</si>
  <si>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</si>
  <si>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</si>
  <si>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</si>
  <si>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</si>
  <si>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</si>
  <si>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</si>
  <si>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</si>
  <si>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</si>
  <si>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</si>
  <si>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</si>
  <si>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</si>
  <si>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</si>
  <si>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</si>
  <si>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</si>
  <si>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</si>
  <si>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</si>
  <si>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</si>
  <si>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</si>
  <si>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</si>
  <si>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</si>
  <si>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</si>
  <si>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</si>
  <si>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</si>
  <si>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</si>
  <si>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</si>
  <si>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</si>
  <si>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</si>
  <si>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</si>
  <si>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</si>
  <si>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</si>
  <si>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</si>
  <si>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</si>
  <si>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</si>
  <si>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</si>
  <si>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</si>
  <si>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</si>
  <si>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</si>
  <si>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</si>
  <si>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</si>
  <si>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</si>
  <si>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</si>
  <si>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</si>
  <si>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</si>
  <si>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</si>
  <si>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</si>
  <si>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</si>
  <si>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</si>
  <si>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</si>
  <si>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</si>
  <si>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</si>
  <si>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</si>
  <si>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</si>
  <si>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</si>
  <si>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</si>
  <si>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</si>
  <si>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</si>
  <si>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</si>
  <si>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</si>
  <si>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</si>
  <si>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</si>
  <si>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</si>
  <si>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</si>
  <si>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</si>
  <si>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</si>
  <si>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</si>
  <si>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</si>
  <si>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</si>
  <si>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</si>
  <si>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</si>
  <si>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</si>
  <si>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</si>
  <si>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</si>
  <si>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</si>
  <si>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</si>
  <si>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</si>
  <si>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</si>
  <si>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</si>
  <si>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</si>
  <si>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</si>
  <si>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</si>
  <si>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</si>
  <si>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</si>
  <si>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</si>
  <si>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</si>
  <si>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</si>
  <si>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</si>
  <si>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</si>
  <si>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</si>
  <si>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</si>
  <si>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</si>
  <si>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</si>
  <si>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</si>
  <si>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</si>
  <si>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</si>
  <si>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</si>
  <si>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</si>
  <si>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</si>
  <si>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</si>
  <si>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</si>
  <si>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</si>
  <si>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</si>
  <si>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</si>
  <si>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</si>
  <si>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</si>
  <si>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</si>
  <si>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</si>
  <si>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</si>
  <si>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</si>
  <si>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</si>
  <si>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</si>
  <si>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</si>
  <si>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</si>
  <si>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</si>
  <si>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</si>
  <si>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</si>
  <si>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</si>
  <si>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</si>
  <si>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</si>
  <si>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</si>
  <si>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</si>
  <si>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</si>
  <si>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</si>
  <si>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</si>
  <si>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</si>
  <si>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</si>
  <si>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</si>
  <si>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</si>
  <si>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</si>
  <si>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</si>
  <si>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</si>
  <si>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</si>
  <si>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</si>
  <si>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</si>
  <si>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</si>
  <si>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</si>
  <si>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</si>
  <si>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</si>
  <si>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</si>
  <si>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</si>
  <si>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</si>
  <si>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</si>
  <si>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</si>
  <si>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</si>
  <si>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</si>
  <si>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</si>
  <si>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</si>
  <si>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</si>
  <si>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</si>
  <si>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</si>
  <si>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</si>
  <si>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</si>
  <si>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</si>
  <si>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</si>
  <si>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</si>
  <si>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</si>
  <si>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</si>
  <si>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</si>
  <si>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</si>
  <si>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</si>
  <si>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</si>
  <si>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</si>
  <si>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</si>
  <si>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</si>
  <si>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</si>
  <si>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</si>
  <si>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</si>
  <si>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</si>
  <si>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</si>
  <si>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</si>
  <si>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</si>
  <si>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</si>
  <si>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</si>
  <si>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</si>
  <si>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</si>
  <si>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</si>
  <si>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</si>
  <si>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</si>
  <si>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</si>
  <si>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</si>
  <si>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</si>
  <si>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</si>
  <si>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</si>
  <si>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</si>
  <si>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</si>
  <si>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</si>
  <si>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</si>
  <si>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</si>
  <si>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</si>
  <si>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</si>
  <si>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</si>
  <si>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</si>
  <si>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</si>
  <si>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</si>
  <si>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</si>
  <si>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</si>
  <si>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</si>
  <si>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</si>
  <si>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</si>
  <si>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</si>
  <si>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</si>
  <si>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</si>
  <si>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</si>
  <si>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</si>
  <si>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</si>
  <si>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</si>
  <si>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</si>
  <si>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</si>
  <si>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</si>
  <si>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</si>
  <si>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</si>
  <si>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</si>
  <si>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</si>
  <si>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</si>
  <si>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</si>
  <si>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</si>
  <si>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</si>
  <si>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</si>
  <si>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</si>
  <si>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</si>
  <si>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</si>
  <si>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</si>
  <si>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</si>
  <si>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</si>
  <si>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</si>
  <si>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</si>
  <si>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</si>
  <si>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</si>
  <si>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</si>
  <si>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</si>
  <si>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</si>
  <si>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</si>
  <si>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</si>
  <si>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</si>
  <si>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</si>
  <si>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</si>
  <si>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</si>
  <si>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</si>
  <si>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</si>
  <si>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</si>
  <si>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</si>
  <si>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</si>
  <si>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</si>
  <si>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</si>
  <si>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</si>
  <si>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</si>
  <si>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</si>
  <si>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</si>
  <si>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</si>
  <si>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</si>
  <si>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</si>
  <si>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</si>
  <si>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</si>
  <si>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</si>
  <si>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</si>
  <si>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</si>
  <si>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</si>
  <si>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</si>
  <si>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</si>
  <si>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</si>
  <si>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</si>
  <si>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</si>
  <si>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</si>
  <si>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</si>
  <si>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</si>
  <si>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</si>
  <si>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</si>
  <si>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</si>
  <si>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</si>
  <si>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</si>
  <si>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</si>
  <si>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</si>
  <si>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</si>
  <si>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</si>
  <si>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</si>
  <si>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</si>
  <si>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</si>
  <si>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</si>
  <si>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</si>
  <si>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</si>
  <si>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</si>
  <si>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</si>
  <si>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</si>
  <si>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</si>
  <si>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</si>
  <si>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</si>
  <si>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</si>
  <si>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</si>
  <si>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</si>
  <si>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</si>
  <si>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</si>
  <si>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</si>
  <si>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</si>
  <si>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</si>
  <si>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</si>
  <si>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</si>
  <si>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</si>
  <si>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</si>
  <si>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</si>
  <si>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</si>
  <si>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</si>
  <si>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</si>
  <si>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</si>
  <si>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</si>
  <si>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</si>
  <si>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</si>
  <si>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</si>
  <si>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</si>
  <si>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</si>
  <si>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</si>
  <si>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</si>
  <si>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</si>
  <si>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</si>
  <si>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</si>
  <si>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</si>
  <si>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</si>
  <si>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</si>
  <si>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</si>
  <si>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</si>
  <si>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</si>
  <si>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</si>
  <si>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</si>
  <si>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</si>
  <si>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</si>
  <si>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</si>
  <si>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</si>
  <si>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</si>
  <si>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</si>
  <si>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</si>
  <si>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</si>
  <si>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</si>
  <si>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</si>
  <si>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</si>
  <si>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</si>
  <si>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</si>
  <si>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</si>
  <si>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</si>
  <si>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</si>
  <si>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</si>
  <si>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</si>
  <si>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</si>
  <si>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</si>
  <si>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</si>
  <si>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</si>
  <si>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</si>
  <si>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</si>
  <si>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</si>
  <si>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</si>
  <si>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</si>
  <si>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</si>
  <si>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</si>
  <si>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</si>
  <si>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</si>
  <si>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</si>
  <si>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</si>
  <si>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</si>
  <si>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</si>
  <si>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</si>
  <si>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</si>
  <si>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</si>
  <si>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</si>
  <si>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</si>
  <si>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</si>
  <si>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</si>
  <si>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</si>
  <si>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</si>
  <si>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</si>
  <si>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</si>
  <si>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</si>
  <si>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</si>
  <si>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</si>
  <si>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</si>
  <si>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</si>
  <si>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</si>
  <si>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</si>
  <si>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</si>
  <si>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</si>
  <si>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</si>
  <si>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</si>
  <si>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</si>
  <si>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</si>
  <si>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</si>
  <si>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</si>
  <si>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</si>
  <si>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</si>
  <si>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</si>
  <si>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</si>
  <si>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</si>
  <si>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</si>
  <si>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</si>
  <si>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</si>
  <si>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</si>
  <si>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</si>
  <si>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</si>
  <si>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</si>
  <si>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</si>
  <si>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</si>
  <si>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</si>
  <si>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</si>
  <si>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</si>
  <si>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</si>
  <si>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</si>
  <si>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</si>
  <si>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</si>
  <si>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</si>
  <si>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</si>
  <si>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</si>
  <si>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</si>
  <si>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</si>
  <si>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</si>
  <si>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</si>
  <si>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</si>
  <si>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</si>
  <si>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</si>
  <si>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</si>
  <si>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</si>
  <si>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</si>
  <si>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</si>
  <si>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</si>
  <si>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</si>
  <si>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</si>
  <si>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</si>
  <si>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</si>
  <si>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</si>
  <si>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</si>
  <si>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</si>
  <si>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</si>
  <si>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</si>
  <si>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</si>
  <si>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</si>
  <si>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</si>
  <si>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</si>
  <si>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</si>
  <si>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</si>
  <si>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</si>
  <si>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</si>
  <si>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</si>
  <si>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</si>
  <si>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</si>
  <si>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</si>
  <si>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</si>
  <si>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</si>
  <si>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</si>
  <si>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</si>
  <si>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</si>
  <si>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</si>
  <si>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</si>
  <si>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</si>
  <si>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</si>
  <si>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</si>
  <si>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</si>
  <si>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</si>
  <si>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</si>
  <si>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</si>
  <si>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</si>
  <si>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</si>
  <si>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</si>
  <si>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</si>
  <si>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</si>
  <si>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</si>
  <si>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</si>
  <si>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</si>
  <si>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</si>
  <si>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</si>
  <si>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</si>
  <si>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</si>
  <si>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</si>
  <si>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</si>
  <si>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</si>
  <si>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</si>
  <si>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</si>
  <si>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</si>
  <si>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</si>
  <si>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</si>
  <si>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</si>
  <si>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</si>
  <si>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</si>
  <si>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</si>
  <si>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</si>
  <si>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</si>
  <si>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</si>
  <si>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</si>
  <si>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</si>
  <si>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</si>
  <si>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</si>
  <si>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</si>
  <si>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</si>
  <si>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</si>
  <si>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</si>
  <si>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</si>
  <si>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</si>
  <si>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</si>
  <si>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</si>
  <si>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</si>
  <si>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</si>
  <si>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</si>
  <si>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</si>
  <si>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</si>
  <si>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</si>
  <si>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</si>
  <si>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</si>
  <si>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</si>
  <si>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</si>
  <si>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</si>
  <si>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</si>
  <si>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</si>
  <si>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</si>
  <si>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</si>
  <si>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</si>
  <si>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</si>
  <si>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</si>
  <si>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</si>
  <si>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</si>
  <si>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</si>
  <si>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</si>
  <si>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</si>
  <si>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</si>
  <si>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</si>
  <si>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</si>
  <si>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</si>
  <si>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</si>
  <si>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</si>
  <si>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</si>
  <si>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</si>
  <si>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</si>
  <si>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</si>
  <si>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</si>
  <si>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</si>
  <si>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</si>
  <si>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</si>
  <si>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</si>
  <si>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</si>
  <si>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</si>
  <si>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</si>
  <si>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</si>
  <si>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</si>
  <si>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</si>
  <si>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</si>
  <si>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</si>
  <si>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</si>
  <si>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</si>
  <si>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</si>
  <si>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</si>
  <si>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</si>
  <si>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</si>
  <si>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</si>
  <si>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</si>
  <si>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</si>
  <si>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</si>
  <si>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</si>
  <si>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</si>
  <si>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</si>
  <si>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</si>
  <si>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</si>
  <si>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</si>
  <si>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</si>
  <si>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</si>
  <si>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</si>
  <si>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</si>
  <si>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</si>
  <si>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</si>
  <si>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</si>
  <si>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</si>
  <si>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</si>
  <si>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</si>
  <si>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</si>
  <si>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</si>
  <si>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</si>
  <si>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</si>
  <si>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</si>
  <si>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</si>
  <si>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</si>
  <si>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</si>
  <si>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</si>
  <si>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</si>
  <si>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</si>
  <si>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</si>
  <si>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</si>
  <si>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</si>
  <si>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</si>
  <si>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</si>
  <si>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</si>
  <si>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</si>
  <si>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</si>
  <si>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</si>
  <si>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</si>
  <si>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</si>
  <si>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</si>
  <si>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</si>
  <si>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</si>
  <si>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</si>
  <si>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</si>
  <si>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</si>
  <si>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</si>
  <si>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</si>
  <si>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</si>
  <si>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</si>
  <si>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</si>
  <si>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</si>
  <si>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</si>
  <si>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</si>
  <si>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</si>
  <si>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</si>
  <si>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</si>
  <si>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</si>
  <si>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</si>
  <si>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</si>
  <si>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</si>
  <si>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</si>
  <si>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</si>
  <si>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</si>
  <si>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</si>
  <si>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</si>
  <si>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</si>
  <si>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</si>
  <si>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</si>
  <si>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</si>
  <si>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</si>
  <si>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</si>
  <si>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</si>
  <si>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</si>
  <si>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</si>
  <si>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</si>
  <si>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</si>
  <si>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</si>
  <si>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</si>
  <si>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</si>
  <si>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</si>
  <si>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</si>
  <si>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</si>
  <si>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</si>
  <si>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</si>
  <si>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</si>
  <si>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</si>
  <si>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</si>
  <si>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</si>
  <si>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</si>
  <si>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</si>
  <si>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</si>
  <si>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</si>
  <si>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</si>
  <si>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</si>
  <si>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</si>
  <si>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</si>
  <si>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</si>
  <si>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</si>
  <si>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</si>
  <si>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</si>
  <si>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</si>
  <si>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</si>
  <si>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</si>
  <si>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</si>
  <si>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</si>
  <si>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</si>
  <si>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</si>
  <si>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</si>
  <si>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</si>
  <si>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</si>
  <si>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</si>
  <si>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</si>
  <si>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</si>
  <si>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</si>
  <si>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</si>
  <si>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</si>
  <si>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</si>
  <si>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</si>
  <si>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</si>
  <si>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</si>
  <si>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</si>
  <si>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</si>
  <si>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</si>
  <si>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</si>
  <si>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</si>
  <si>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</si>
  <si>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</si>
  <si>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</si>
  <si>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</si>
  <si>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</si>
  <si>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</si>
  <si>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</si>
  <si>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</si>
  <si>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</si>
  <si>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</si>
  <si>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</si>
  <si>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</si>
  <si>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</si>
  <si>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</si>
  <si>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</si>
  <si>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</si>
  <si>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</si>
  <si>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</si>
  <si>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</si>
  <si>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</si>
  <si>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</si>
  <si>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</si>
  <si>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</si>
  <si>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</si>
  <si>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</si>
  <si>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</si>
  <si>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</si>
  <si>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</si>
  <si>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</si>
  <si>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</si>
  <si>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</si>
  <si>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</si>
  <si>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</si>
  <si>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</si>
  <si>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</si>
  <si>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</si>
  <si>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</si>
  <si>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</si>
  <si>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</si>
  <si>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</si>
  <si>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</si>
  <si>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</si>
  <si>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</si>
  <si>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</si>
  <si>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</si>
  <si>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</si>
  <si>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</si>
  <si>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</si>
  <si>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</si>
  <si>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</si>
  <si>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</si>
  <si>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</si>
  <si>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</si>
  <si>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</si>
  <si>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</si>
  <si>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</si>
  <si>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</si>
  <si>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</si>
  <si>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</si>
  <si>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</si>
  <si>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</si>
  <si>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</si>
  <si>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</si>
  <si>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</si>
  <si>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</si>
  <si>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</si>
  <si>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</si>
  <si>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</si>
  <si>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</si>
  <si>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</si>
  <si>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</si>
  <si>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</si>
  <si>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</si>
  <si>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</si>
  <si>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</si>
  <si>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</si>
  <si>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</si>
  <si>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</si>
  <si>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</si>
  <si>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</si>
  <si>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</si>
  <si>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</si>
  <si>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</si>
  <si>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</si>
  <si>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</si>
  <si>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</si>
  <si>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</si>
  <si>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</si>
  <si>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</si>
  <si>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</si>
  <si>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</si>
  <si>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</si>
  <si>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</si>
  <si>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</si>
  <si>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</si>
  <si>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</si>
  <si>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</si>
  <si>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</si>
  <si>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</si>
  <si>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</si>
  <si>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</si>
  <si>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</si>
  <si>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</si>
  <si>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</si>
  <si>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</si>
  <si>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</si>
  <si>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</si>
  <si>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</si>
  <si>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</si>
  <si>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</si>
  <si>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</si>
  <si>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</si>
  <si>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</si>
  <si>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</si>
  <si>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</si>
  <si>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</si>
  <si>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</si>
  <si>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</si>
  <si>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</si>
  <si>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</si>
  <si>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</si>
  <si>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</si>
  <si>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</si>
  <si>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</si>
  <si>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</si>
  <si>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</si>
  <si>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</si>
  <si>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</si>
  <si>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</si>
  <si>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</si>
  <si>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</si>
  <si>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</si>
  <si>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</si>
  <si>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</si>
  <si>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</si>
  <si>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</si>
  <si>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</si>
  <si>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</si>
  <si>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</si>
  <si>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</si>
  <si>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</si>
  <si>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</si>
  <si>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</si>
  <si>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</si>
  <si>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</si>
  <si>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</si>
  <si>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</si>
  <si>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</si>
  <si>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</si>
  <si>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</si>
  <si>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</si>
  <si>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</si>
  <si>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</si>
  <si>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</si>
  <si>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</si>
  <si>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</si>
  <si>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</si>
  <si>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</si>
  <si>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</si>
  <si>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</si>
  <si>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</si>
  <si>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</si>
  <si>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</si>
  <si>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</si>
  <si>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</si>
  <si>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</si>
  <si>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</si>
  <si>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</si>
  <si>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</si>
  <si>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</si>
  <si>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</si>
  <si>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</si>
  <si>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</si>
  <si>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</si>
  <si>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</si>
  <si>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</si>
  <si>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</si>
  <si>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</si>
  <si>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</si>
  <si>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</si>
  <si>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</si>
  <si>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</si>
  <si>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</si>
  <si>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</si>
  <si>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</si>
  <si>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</si>
  <si>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</si>
  <si>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</si>
  <si>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</si>
  <si>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</si>
  <si>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</si>
  <si>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</si>
  <si>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</si>
  <si>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</si>
  <si>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</si>
  <si>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</si>
  <si>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</si>
  <si>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</si>
  <si>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</si>
  <si>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</si>
  <si>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</si>
  <si>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</si>
  <si>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</si>
  <si>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</si>
  <si>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</si>
  <si>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</si>
  <si>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</si>
  <si>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</si>
  <si>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</si>
  <si>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</si>
  <si>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</si>
  <si>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</si>
  <si>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</si>
  <si>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</si>
  <si>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</si>
  <si>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</si>
  <si>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</si>
  <si>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</si>
  <si>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</si>
  <si>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</si>
  <si>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</si>
  <si>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</si>
  <si>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</si>
  <si>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</si>
  <si>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</si>
  <si>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</si>
  <si>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</si>
  <si>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</si>
  <si>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</si>
  <si>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</si>
  <si>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</si>
  <si>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</si>
  <si>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</si>
  <si>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</si>
  <si>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</si>
  <si>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</si>
  <si>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</si>
  <si>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</si>
  <si>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</si>
  <si>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</si>
  <si>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</si>
  <si>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</si>
  <si>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</si>
  <si>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</si>
  <si>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</si>
  <si>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</si>
  <si>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</si>
  <si>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</si>
  <si>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</si>
  <si>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</si>
  <si>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</si>
  <si>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</si>
  <si>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</si>
  <si>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</si>
  <si>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</si>
  <si>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</si>
  <si>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</si>
  <si>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</si>
  <si>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</si>
  <si>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</si>
  <si>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</si>
  <si>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</si>
  <si>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</si>
  <si>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</si>
  <si>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</si>
  <si>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</si>
  <si>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</si>
  <si>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</si>
  <si>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</si>
  <si>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</si>
  <si>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</si>
  <si>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</si>
  <si>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</si>
  <si>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</si>
  <si>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</si>
  <si>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</si>
  <si>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</si>
  <si>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</si>
  <si>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</si>
  <si>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</si>
  <si>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</si>
  <si>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</si>
  <si>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</si>
  <si>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</si>
  <si>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</si>
  <si>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</si>
  <si>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</si>
  <si>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</si>
  <si>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</si>
  <si>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</si>
  <si>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</si>
  <si>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</si>
  <si>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</si>
  <si>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</si>
  <si>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</si>
  <si>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</si>
  <si>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</si>
  <si>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</si>
  <si>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</si>
  <si>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</si>
  <si>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</si>
  <si>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</si>
  <si>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</si>
  <si>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</si>
  <si>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</si>
  <si>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</si>
  <si>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</si>
  <si>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</si>
  <si>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</si>
  <si>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</si>
  <si>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</si>
  <si>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</si>
  <si>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</si>
  <si>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</si>
  <si>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</si>
  <si>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</si>
  <si>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</si>
  <si>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</si>
  <si>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</si>
  <si>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</si>
  <si>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</si>
  <si>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</si>
  <si>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</si>
  <si>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</si>
  <si>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</si>
  <si>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</si>
  <si>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</si>
  <si>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</si>
  <si>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</si>
  <si>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</si>
  <si>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</si>
  <si>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</si>
  <si>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</si>
  <si>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</si>
  <si>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</si>
  <si>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</si>
  <si>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</si>
  <si>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</si>
  <si>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</si>
  <si>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</si>
  <si>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</si>
  <si>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</si>
  <si>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</si>
  <si>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</si>
  <si>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</si>
  <si>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</si>
  <si>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</si>
  <si>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</si>
  <si>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</si>
  <si>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</si>
  <si>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</si>
  <si>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</si>
  <si>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</si>
  <si>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</si>
  <si>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</si>
  <si>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</si>
  <si>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</si>
  <si>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</si>
  <si>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</si>
  <si>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</si>
  <si>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</si>
  <si>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</si>
  <si>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</si>
  <si>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</si>
  <si>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</si>
  <si>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</si>
  <si>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</si>
  <si>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</si>
  <si>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</si>
  <si>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</si>
  <si>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</si>
  <si>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</si>
  <si>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</si>
  <si>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</si>
  <si>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</si>
  <si>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</si>
  <si>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</si>
  <si>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</si>
  <si>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</si>
  <si>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</si>
  <si>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</si>
  <si>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</si>
  <si>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</si>
  <si>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</si>
  <si>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</si>
  <si>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</si>
  <si>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</si>
  <si>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</si>
  <si>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</si>
  <si>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</si>
  <si>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</si>
  <si>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</si>
  <si>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</si>
  <si>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</si>
  <si>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</si>
  <si>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</si>
  <si>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</si>
  <si>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</si>
  <si>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</si>
  <si>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</si>
  <si>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</si>
  <si>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</si>
  <si>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</si>
  <si>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</si>
  <si>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</si>
  <si>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</si>
  <si>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</si>
  <si>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</si>
  <si>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</si>
  <si>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</si>
  <si>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</si>
  <si>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</si>
  <si>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</si>
  <si>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</si>
  <si>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</si>
  <si>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</si>
  <si>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</si>
  <si>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</si>
  <si>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</si>
  <si>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</si>
  <si>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</si>
  <si>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</si>
  <si>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</si>
  <si>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</si>
  <si>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</si>
  <si>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</si>
  <si>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</si>
  <si>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</si>
  <si>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</si>
  <si>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</si>
  <si>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</si>
  <si>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</si>
  <si>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</si>
  <si>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</si>
  <si>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</si>
  <si>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</si>
  <si>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</si>
  <si>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</si>
  <si>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</si>
  <si>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</si>
  <si>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</si>
  <si>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</si>
  <si>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</si>
  <si>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</si>
  <si>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</si>
  <si>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</si>
  <si>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</si>
  <si>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</si>
  <si>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</si>
  <si>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</si>
  <si>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</si>
  <si>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</si>
  <si>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</si>
  <si>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</si>
  <si>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</si>
  <si>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</si>
  <si>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</si>
  <si>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</si>
  <si>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</si>
  <si>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</si>
  <si>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</si>
  <si>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</si>
  <si>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</si>
  <si>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</si>
  <si>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</si>
  <si>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</si>
  <si>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</si>
  <si>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</si>
  <si>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</si>
  <si>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</si>
  <si>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</si>
  <si>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</si>
  <si>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</si>
  <si>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</si>
  <si>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</si>
  <si>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</si>
  <si>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</si>
  <si>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</si>
  <si>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</si>
  <si>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</si>
  <si>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</si>
  <si>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</si>
  <si>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</si>
  <si>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</si>
  <si>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</si>
  <si>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</si>
  <si>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</si>
  <si>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</si>
  <si>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</si>
  <si>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</si>
  <si>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</si>
  <si>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</si>
  <si>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</si>
  <si>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</si>
  <si>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</si>
  <si>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</si>
  <si>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</si>
  <si>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</si>
  <si>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</si>
  <si>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</si>
  <si>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</si>
  <si>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</si>
  <si>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</si>
  <si>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</si>
  <si>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</si>
  <si>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</si>
  <si>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</si>
  <si>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</si>
  <si>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</si>
  <si>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</si>
  <si>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</si>
  <si>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</si>
  <si>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</si>
  <si>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</si>
  <si>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</si>
  <si>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</si>
  <si>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</si>
  <si>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</si>
  <si>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</si>
  <si>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</si>
  <si>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</si>
  <si>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</si>
  <si>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</si>
  <si>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</si>
  <si>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</si>
  <si>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</si>
  <si>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</si>
  <si>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</si>
  <si>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</si>
  <si>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</si>
  <si>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</si>
  <si>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</si>
  <si>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</si>
  <si>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</si>
  <si>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</si>
  <si>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</si>
  <si>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</si>
  <si>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</si>
  <si>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</si>
  <si>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</si>
  <si>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</si>
  <si>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</si>
  <si>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</si>
  <si>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</si>
  <si>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</si>
  <si>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</si>
  <si>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</si>
  <si>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</si>
  <si>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</si>
  <si>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</si>
  <si>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</si>
  <si>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</si>
  <si>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</si>
  <si>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</si>
  <si>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</si>
  <si>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</si>
  <si>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</si>
  <si>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</si>
  <si>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</si>
  <si>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</si>
  <si>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</si>
  <si>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</si>
  <si>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</si>
  <si>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</si>
  <si>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</si>
  <si>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</si>
  <si>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</si>
  <si>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</si>
  <si>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</si>
  <si>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</si>
  <si>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</si>
  <si>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</si>
  <si>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</si>
  <si>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</si>
  <si>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</si>
  <si>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</si>
  <si>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</si>
  <si>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</si>
  <si>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</si>
  <si>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</si>
  <si>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</si>
  <si>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20</t>
  </si>
  <si>
    <t>8/10</t>
  </si>
  <si>
    <t>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</si>
</sst>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8" zoomScaleNormal="98" workbookViewId="0">
      <pane xSplit="5" ySplit="7" topLeftCell="F649" activePane="bottomRight" state="frozen"/>
      <selection pane="topRight" activeCell="F1" sqref="F1"/>
      <selection pane="bottomLeft" activeCell="A8" sqref="A8"/>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1433</v>
      </c>
      <c r="B2" s="21">
        <v>507</v>
      </c>
      <c r="C2" s="21">
        <v>507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896651.74</v>
      </c>
      <c r="G9" s="18"/>
      <c r="H9" s="18"/>
      <c r="I9" s="18"/>
      <c r="J9" s="67">
        <f>SUM(I440)</f>
        <v>489304.33999999997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67853.78-54983.96</f>
        <v>12869.82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12869.82</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12123.76</v>
      </c>
      <c r="G14" s="18"/>
      <c r="H14" s="18">
        <v>39234.800000000003</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12289.65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921645.32</v>
      </c>
      <c r="G19" s="41">
        <f>SUM(G9:G18)</f>
        <v>25159.47</v>
      </c>
      <c r="H19" s="41">
        <f>SUM(H9:H18)</f>
        <v>39234.800000000003</v>
      </c>
      <c r="I19" s="41">
        <f>SUM(I9:I18)</f>
        <v>0</v>
      </c>
      <c r="J19" s="41">
        <f>SUM(J9:J18)</f>
        <v>489304.33999999997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67853.78-54983.96</f>
        <v>12869.82</v>
      </c>
      <c r="H22" s="18">
        <v>0</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28472.84</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v>10761.96</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108245.23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108245.23</v>
      </c>
      <c r="G32" s="41">
        <f>SUM(G22:G31)</f>
        <v>12869.82</v>
      </c>
      <c r="H32" s="41">
        <f>SUM(H22:H31)</f>
        <v>39234.800000000003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12289.65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343750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127400+21435-44000-13771.97</f>
        <v>91063.03</v>
      </c>
      <c r="G48" s="18"/>
      <c r="H48" s="18"/>
      <c r="I48" s="18"/>
      <c r="J48" s="13">
        <f>SUM(I460)</f>
        <v>489304.33999999997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921645.32-501995.23-91063.03</f>
        <v>328587.05999999994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813400.09</v>
      </c>
      <c r="G51" s="41">
        <f>SUM(G35:G50)</f>
        <v>12289.65</v>
      </c>
      <c r="H51" s="41">
        <f>SUM(H35:H50)</f>
        <v>0</v>
      </c>
      <c r="I51" s="41">
        <f>SUM(I35:I50)</f>
        <v>0</v>
      </c>
      <c r="J51" s="41">
        <f>SUM(J35:J50)</f>
        <v>489304.33999999997</v>
      </c>
      <c r="K51" s="45" t="s">
        <v>288</v>
      </c>
      <c r="L51" s="45" t="s">
        <v>288</v>
      </c>
      <c r="N51" s="264"/>
    </row>
    <row r="52" spans="1:14" s="3" customFormat="1" ht="12.2" customHeight="1" thickTop="1" x14ac:dyDescent="0.15">
      <c r="A52" s="38" t="s">
        <v>455</v>
      </c>
      <c r="B52" s="39" t="s">
        <v>289</v>
      </c>
      <c r="C52" s="6">
        <v>37</v>
      </c>
      <c r="D52" s="39" t="s">
        <v>653</v>
      </c>
      <c r="E52" s="39"/>
      <c r="F52" s="41">
        <f>F51+F32</f>
        <v>921645.32</v>
      </c>
      <c r="G52" s="41">
        <f>G51+G32</f>
        <v>25159.47</v>
      </c>
      <c r="H52" s="41">
        <f>H51+H32</f>
        <v>39234.800000000003</v>
      </c>
      <c r="I52" s="41">
        <f>I51+I32</f>
        <v>0</v>
      </c>
      <c r="J52" s="41">
        <f>J51+J32</f>
        <v>489304.33999999997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9170928-1131912</f>
        <v>8039016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8039016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1970+9271.57</f>
        <v>11241.57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11241.57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1342.72</v>
      </c>
      <c r="G96" s="18"/>
      <c r="H96" s="18"/>
      <c r="I96" s="18"/>
      <c r="J96" s="18">
        <v>6268.77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-101.9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4724.43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64207.3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70274.45</v>
      </c>
      <c r="G111" s="41">
        <f>SUM(G96:G110)</f>
        <v>-101.9</v>
      </c>
      <c r="H111" s="41">
        <f>SUM(H96:H110)</f>
        <v>0</v>
      </c>
      <c r="I111" s="41">
        <f>SUM(I96:I110)</f>
        <v>0</v>
      </c>
      <c r="J111" s="41">
        <f>SUM(J96:J110)</f>
        <v>6268.77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8120532.0200000005</v>
      </c>
      <c r="G112" s="41">
        <f>G60+G111</f>
        <v>-101.9</v>
      </c>
      <c r="H112" s="41">
        <f>H60+H79+H94+H111</f>
        <v>0</v>
      </c>
      <c r="I112" s="41">
        <f>I60+I111</f>
        <v>0</v>
      </c>
      <c r="J112" s="41">
        <f>J60+J111</f>
        <v>6268.77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2293425.19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1131912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3427332.4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77482.5</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2291.6999999999998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77482.5</v>
      </c>
      <c r="G136" s="41">
        <f>SUM(G123:G135)</f>
        <v>2291.6999999999998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3504814.9</v>
      </c>
      <c r="G140" s="41">
        <f>G121+SUM(G136:G137)</f>
        <v>2291.6999999999998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72975.14+4520.95-48043.07-0.33</f>
        <v>29452.689999999995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86192.35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1686.6+129.03+300.22+1327.25</f>
        <v>3443.1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22560.66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21435</v>
      </c>
      <c r="G161" s="18"/>
      <c r="H161" s="18">
        <f>24533.93+20066.04</f>
        <v>44599.97</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f>148832.88-21435</f>
        <v>127397.88</v>
      </c>
      <c r="G162" s="24" t="s">
        <v>288</v>
      </c>
      <c r="H162" s="18">
        <f>24533.93+20066.04-24533.93-20066.04</f>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171393.54</v>
      </c>
      <c r="G163" s="41">
        <f>SUM(G150:G162)</f>
        <v>86192.35</v>
      </c>
      <c r="H163" s="41">
        <f>SUM(H150:H162)</f>
        <v>77495.759999999995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171393.54</v>
      </c>
      <c r="G170" s="41">
        <f>G147+G163+SUM(G164:G169)</f>
        <v>86192.35</v>
      </c>
      <c r="H170" s="41">
        <f>H147+H163+SUM(H164:H169)</f>
        <v>77495.759999999995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54983.96</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54983.96</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54983.96</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11796740.459999999</v>
      </c>
      <c r="G194" s="47">
        <f>G112+G140+G170+G193</f>
        <v>143366.11000000002</v>
      </c>
      <c r="H194" s="47">
        <f>H112+H140+H170+H193</f>
        <v>77495.759999999995</v>
      </c>
      <c r="I194" s="47">
        <f>I112+I140+I170+I193</f>
        <v>0</v>
      </c>
      <c r="J194" s="47">
        <f>J112+J140+J193</f>
        <v>56268.770000000004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1559147.06+88363.36+19969.5+5852.72+87984.47</f>
        <v>1761317.11</v>
      </c>
      <c r="G198" s="18">
        <f>417667.77+6750+15039.87+2410.8+4323.79+128058.01+14164.99+274376.92+4771.15+6632.88</f>
        <v>874196.17999999993</v>
      </c>
      <c r="H198" s="18">
        <f>12153.32+108.03</f>
        <v>12261.35</v>
      </c>
      <c r="I198" s="18">
        <f>1866.04+2342.55+3370.92+2203.29+791.08+349.92+559.97+12367.96+5919.5+288.26+10820.45+98.22+2191.66+1446.46+1048.25</f>
        <v>45664.529999999992</v>
      </c>
      <c r="J198" s="18">
        <f>3633.01+955.03+1052.43</f>
        <v>5640.47</v>
      </c>
      <c r="K198" s="18"/>
      <c r="L198" s="19">
        <f>SUM(F198:K198)</f>
        <v>2699079.64</v>
      </c>
      <c r="M198" s="8"/>
      <c r="N198" s="266"/>
    </row>
    <row r="199" spans="1:14" s="3" customFormat="1" ht="12.2" customHeight="1" x14ac:dyDescent="0.15">
      <c r="A199" s="1" t="s">
        <v>439</v>
      </c>
      <c r="B199" s="2" t="s">
        <v>341</v>
      </c>
      <c r="C199" s="2" t="s">
        <v>291</v>
      </c>
      <c r="D199" s="2" t="s">
        <v>431</v>
      </c>
      <c r="E199" s="6">
        <v>1200</v>
      </c>
      <c r="F199" s="18">
        <f>175247.99+10000+288111.13+37610.44+20965.33+750.43+6600</f>
        <v>539285.32000000007</v>
      </c>
      <c r="G199" s="18">
        <f>239627.58+5000+6029.78+302.4+39006.22+34080.07+33462.58+2335.93+2273.26+1000</f>
        <v>363117.82</v>
      </c>
      <c r="H199" s="18">
        <f>883.7+4407.75+60558.92</f>
        <v>65850.37</v>
      </c>
      <c r="I199" s="18">
        <f>1980.6+184.74+589.94+111.56+989.76+1235.7+1599+2439.33</f>
        <v>9130.630000000001</v>
      </c>
      <c r="J199" s="18"/>
      <c r="K199" s="18">
        <f>300+292.61</f>
        <v>592.61</v>
      </c>
      <c r="L199" s="19">
        <f>SUM(F199:K199)</f>
        <v>977976.75000000012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1700+600+2500+9940+5688.78</f>
        <v>20428.78</v>
      </c>
      <c r="G201" s="18">
        <f>357.05+201.06+311.5+759.73+231.4+429.15+998.58</f>
        <v>3288.4700000000003</v>
      </c>
      <c r="H201" s="18">
        <v>753.5</v>
      </c>
      <c r="I201" s="18">
        <f>122+1429.97</f>
        <v>1551.97</v>
      </c>
      <c r="J201" s="18"/>
      <c r="K201" s="18">
        <v>182.5</v>
      </c>
      <c r="L201" s="19">
        <f>SUM(F201:K201)</f>
        <v>26205.22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550+67816.45+60991.13+600+139532.4</f>
        <v>269489.98</v>
      </c>
      <c r="G203" s="18">
        <f>42.08+1020.23+505.75+75.6+5264.26+8968.38+241.49+272.14+1075.6+4788.13+10856.37+149.25+230.42+30787.84+1011.5+191.66+10056.25+24836.72+323.99+547.33</f>
        <v>101244.99</v>
      </c>
      <c r="H203" s="18">
        <f>12422.5+18929.8+14759.64+10445.16+43670.02</f>
        <v>100227.12</v>
      </c>
      <c r="I203" s="18">
        <f>220.75+10766.23+826.85+1029.88</f>
        <v>12843.71</v>
      </c>
      <c r="J203" s="18"/>
      <c r="K203" s="18">
        <f>431.43+229+2813.34</f>
        <v>3473.7700000000004</v>
      </c>
      <c r="L203" s="19">
        <f t="shared" ref="L203:L209" si="0">SUM(F203:K203)</f>
        <v>487279.57</v>
      </c>
      <c r="M203" s="8"/>
      <c r="N203" s="266"/>
    </row>
    <row r="204" spans="1:14" s="3" customFormat="1" ht="12.2" customHeight="1" x14ac:dyDescent="0.15">
      <c r="A204" s="1" t="s">
        <v>443</v>
      </c>
      <c r="B204" s="2" t="s">
        <v>341</v>
      </c>
      <c r="C204" s="2" t="s">
        <v>295</v>
      </c>
      <c r="D204" s="2" t="s">
        <v>431</v>
      </c>
      <c r="E204" s="6">
        <v>2200</v>
      </c>
      <c r="F204" s="18">
        <f>4350+4200+1000+68409.26+45703.89+17817.68</f>
        <v>141480.82999999999</v>
      </c>
      <c r="G204" s="18">
        <f>1042.56+251.32+2100.4+4887.19+9404.66+525.98+75.6+5114.45+12176.78+243.99+288.06+323.68+3214.75+5036.54</f>
        <v>44685.959999999992</v>
      </c>
      <c r="H204" s="18">
        <v>6964.66</v>
      </c>
      <c r="I204" s="18">
        <f>295.08+464.06+1858.21+208.78+75+56752.19</f>
        <v>59653.32</v>
      </c>
      <c r="J204" s="18">
        <v>67123.98</v>
      </c>
      <c r="K204" s="18"/>
      <c r="L204" s="19">
        <f t="shared" si="0"/>
        <v>319908.75</v>
      </c>
      <c r="M204" s="8"/>
      <c r="N204" s="266"/>
    </row>
    <row r="205" spans="1:14" s="3" customFormat="1" ht="12.2" customHeight="1" x14ac:dyDescent="0.15">
      <c r="A205" s="1" t="s">
        <v>444</v>
      </c>
      <c r="B205" s="2" t="s">
        <v>341</v>
      </c>
      <c r="C205" s="2" t="s">
        <v>296</v>
      </c>
      <c r="D205" s="2" t="s">
        <v>431</v>
      </c>
      <c r="E205" s="6">
        <v>2300</v>
      </c>
      <c r="F205" s="18">
        <f>10000+6534.4+600+5200</f>
        <v>22334.400000000001</v>
      </c>
      <c r="G205" s="18">
        <f>765+545.8+397.8</f>
        <v>1708.6</v>
      </c>
      <c r="H205" s="18">
        <f>42016.57+556.43+9000+30363.78+395507.34</f>
        <v>477444.12</v>
      </c>
      <c r="I205" s="18"/>
      <c r="J205" s="18"/>
      <c r="K205" s="18">
        <v>4081.3</v>
      </c>
      <c r="L205" s="19">
        <f t="shared" si="0"/>
        <v>505568.42</v>
      </c>
      <c r="M205" s="8"/>
      <c r="N205" s="266"/>
    </row>
    <row r="206" spans="1:14" s="3" customFormat="1" ht="12.2" customHeight="1" x14ac:dyDescent="0.15">
      <c r="A206" s="1" t="s">
        <v>445</v>
      </c>
      <c r="B206" s="2" t="s">
        <v>341</v>
      </c>
      <c r="C206" s="2" t="s">
        <v>297</v>
      </c>
      <c r="D206" s="2" t="s">
        <v>431</v>
      </c>
      <c r="E206" s="6">
        <v>2400</v>
      </c>
      <c r="F206" s="18">
        <f>104241.39+69355.56+63409.28</f>
        <v>237006.23</v>
      </c>
      <c r="G206" s="18">
        <f>59290.18+2366.69+625.3+144.96+2250+18105.96+7082.87+30944.9+756.98+902.26</f>
        <v>122470.09999999998</v>
      </c>
      <c r="H206" s="18">
        <f>801.92+348+4356.48+1502.71+92.74</f>
        <v>7101.8499999999995</v>
      </c>
      <c r="I206" s="18">
        <v>784</v>
      </c>
      <c r="J206" s="18"/>
      <c r="K206" s="18">
        <f>1355+809</f>
        <v>2164</v>
      </c>
      <c r="L206" s="19">
        <f t="shared" si="0"/>
        <v>369526.17999999993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66784.19+53217.31+21409.03</f>
        <v>141410.53</v>
      </c>
      <c r="G208" s="18">
        <f>30214.78+1058.07+75.6+10390.88+10002.38+613.73+376.73</f>
        <v>52732.17</v>
      </c>
      <c r="H208" s="18">
        <f>12714.22+3467.38+42785.77+12411.46+50983.39+525.99+400+2925+17054+157.22+6780+7530.24+3119.02+529+4911+7510.66</f>
        <v>173804.34999999998</v>
      </c>
      <c r="I208" s="18">
        <f>48438.35+83.8+500+631.91+1110+38235.07+23954.74</f>
        <v>112953.87000000001</v>
      </c>
      <c r="J208" s="18">
        <f>6035+3750</f>
        <v>9785</v>
      </c>
      <c r="K208" s="18"/>
      <c r="L208" s="19">
        <f t="shared" si="0"/>
        <v>490685.92</v>
      </c>
      <c r="M208" s="8"/>
      <c r="N208" s="266"/>
    </row>
    <row r="209" spans="1:14" s="3" customFormat="1" ht="12.2" customHeight="1" x14ac:dyDescent="0.15">
      <c r="A209" s="1" t="s">
        <v>448</v>
      </c>
      <c r="B209" s="2" t="s">
        <v>341</v>
      </c>
      <c r="C209" s="2" t="s">
        <v>300</v>
      </c>
      <c r="D209" s="2" t="s">
        <v>431</v>
      </c>
      <c r="E209" s="6">
        <v>2700</v>
      </c>
      <c r="F209" s="18">
        <f>2464.01</f>
        <v>2464.0100000000002</v>
      </c>
      <c r="G209" s="18">
        <f>163.8+275.21</f>
        <v>439.01</v>
      </c>
      <c r="H209" s="18">
        <f>394795.8+47334.6</f>
        <v>442130.39999999997</v>
      </c>
      <c r="I209" s="18"/>
      <c r="J209" s="18"/>
      <c r="K209" s="18"/>
      <c r="L209" s="19">
        <f t="shared" si="0"/>
        <v>445033.42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3135217.1899999995</v>
      </c>
      <c r="G212" s="41">
        <f t="shared" si="1"/>
        <v>1563883.3</v>
      </c>
      <c r="H212" s="41">
        <f t="shared" si="1"/>
        <v>1286537.72</v>
      </c>
      <c r="I212" s="41">
        <f t="shared" si="1"/>
        <v>242582.03000000003</v>
      </c>
      <c r="J212" s="41">
        <f t="shared" si="1"/>
        <v>82549.45</v>
      </c>
      <c r="K212" s="41">
        <f t="shared" si="1"/>
        <v>10494.18</v>
      </c>
      <c r="L212" s="41">
        <f t="shared" si="1"/>
        <v>6321263.8699999992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101673.03+3723894.37</f>
        <v>3825567.4</v>
      </c>
      <c r="I234" s="18"/>
      <c r="J234" s="18"/>
      <c r="K234" s="18"/>
      <c r="L234" s="19">
        <f>SUM(F234:K234)</f>
        <v>3825567.4</v>
      </c>
      <c r="M234" s="8"/>
      <c r="N234" s="266"/>
    </row>
    <row r="235" spans="1:14" s="3" customFormat="1" ht="12.2" customHeight="1" x14ac:dyDescent="0.15">
      <c r="A235" s="1" t="s">
        <v>439</v>
      </c>
      <c r="B235" s="2" t="s">
        <v>350</v>
      </c>
      <c r="C235" s="2" t="s">
        <v>291</v>
      </c>
      <c r="D235" s="2" t="s">
        <v>431</v>
      </c>
      <c r="E235" s="6">
        <v>1200</v>
      </c>
      <c r="F235" s="18">
        <v>149062.9</v>
      </c>
      <c r="G235" s="18"/>
      <c r="H235" s="18">
        <v>226977.6</v>
      </c>
      <c r="I235" s="18"/>
      <c r="J235" s="18"/>
      <c r="K235" s="18"/>
      <c r="L235" s="19">
        <f>SUM(F235:K235)</f>
        <v>376040.5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33306.230000000003</v>
      </c>
      <c r="I239" s="18"/>
      <c r="J239" s="18"/>
      <c r="K239" s="18">
        <v>1449.31</v>
      </c>
      <c r="L239" s="19">
        <f t="shared" ref="L239:L245" si="4">SUM(F239:K239)</f>
        <v>34755.54</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40494.6</v>
      </c>
      <c r="I245" s="18"/>
      <c r="J245" s="18"/>
      <c r="K245" s="18"/>
      <c r="L245" s="19">
        <f t="shared" si="4"/>
        <v>40494.6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149062.9</v>
      </c>
      <c r="G248" s="41">
        <f t="shared" si="5"/>
        <v>0</v>
      </c>
      <c r="H248" s="41">
        <f t="shared" si="5"/>
        <v>4126345.83</v>
      </c>
      <c r="I248" s="41">
        <f t="shared" si="5"/>
        <v>0</v>
      </c>
      <c r="J248" s="41">
        <f t="shared" si="5"/>
        <v>0</v>
      </c>
      <c r="K248" s="41">
        <f t="shared" si="5"/>
        <v>1449.31</v>
      </c>
      <c r="L248" s="41">
        <f t="shared" si="5"/>
        <v>4276858.04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3284280.0899999994</v>
      </c>
      <c r="G258" s="41">
        <f t="shared" si="8"/>
        <v>1563883.3</v>
      </c>
      <c r="H258" s="41">
        <f t="shared" si="8"/>
        <v>5412883.5499999998</v>
      </c>
      <c r="I258" s="41">
        <f t="shared" si="8"/>
        <v>242582.03000000003</v>
      </c>
      <c r="J258" s="41">
        <f t="shared" si="8"/>
        <v>82549.45</v>
      </c>
      <c r="K258" s="41">
        <f t="shared" si="8"/>
        <v>11943.49</v>
      </c>
      <c r="L258" s="41">
        <f t="shared" si="8"/>
        <v>10598121.91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240000</v>
      </c>
      <c r="L261" s="19">
        <f>SUM(F261:K261)</f>
        <v>240000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151341.5</v>
      </c>
      <c r="L262" s="19">
        <f>SUM(F262:K262)</f>
        <v>151341.5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54983.96</v>
      </c>
      <c r="L264" s="19">
        <f>SUM(F264:K264)</f>
        <v>54983.96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44000</v>
      </c>
      <c r="L270" s="19">
        <f t="shared" si="9"/>
        <v>44000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540325.46</v>
      </c>
      <c r="L271" s="41">
        <f t="shared" si="9"/>
        <v>540325.46</v>
      </c>
      <c r="M271" s="8"/>
      <c r="N271" s="266"/>
    </row>
    <row r="272" spans="1:14" s="34" customFormat="1" ht="12.2" customHeight="1" thickTop="1" x14ac:dyDescent="0.2">
      <c r="A272" s="43" t="s">
        <v>464</v>
      </c>
      <c r="B272" s="40">
        <v>10</v>
      </c>
      <c r="C272" s="40">
        <v>18</v>
      </c>
      <c r="D272" s="39" t="s">
        <v>431</v>
      </c>
      <c r="E272" s="40"/>
      <c r="F272" s="42">
        <f t="shared" ref="F272:L272" si="11">F258+F271</f>
        <v>3284280.0899999994</v>
      </c>
      <c r="G272" s="42">
        <f t="shared" si="11"/>
        <v>1563883.3</v>
      </c>
      <c r="H272" s="42">
        <f t="shared" si="11"/>
        <v>5412883.5499999998</v>
      </c>
      <c r="I272" s="42">
        <f t="shared" si="11"/>
        <v>242582.03000000003</v>
      </c>
      <c r="J272" s="42">
        <f t="shared" si="11"/>
        <v>82549.45</v>
      </c>
      <c r="K272" s="42">
        <f t="shared" si="11"/>
        <v>552268.94999999995</v>
      </c>
      <c r="L272" s="42">
        <f t="shared" si="11"/>
        <v>11138447.370000001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400+1600+7500+9997.19</f>
        <v>19497.190000000002</v>
      </c>
      <c r="G277" s="18">
        <f>122.4+573.75+57.94+231.76+1335+764.77+30.6</f>
        <v>3116.22</v>
      </c>
      <c r="H277" s="18">
        <v>-125</v>
      </c>
      <c r="I277" s="18">
        <v>1283.97</v>
      </c>
      <c r="J277" s="18">
        <v>7000</v>
      </c>
      <c r="K277" s="18"/>
      <c r="L277" s="19">
        <f>SUM(F277:K277)</f>
        <v>30772.380000000005</v>
      </c>
      <c r="M277" s="8"/>
      <c r="N277" s="266"/>
    </row>
    <row r="278" spans="1:14" s="3" customFormat="1" ht="12.2" customHeight="1" x14ac:dyDescent="0.15">
      <c r="A278" s="1" t="s">
        <v>439</v>
      </c>
      <c r="B278" s="2" t="s">
        <v>357</v>
      </c>
      <c r="C278" s="2" t="s">
        <v>291</v>
      </c>
      <c r="D278" s="2" t="s">
        <v>431</v>
      </c>
      <c r="E278" s="6">
        <v>1200</v>
      </c>
      <c r="F278" s="18">
        <f>1686.6</f>
        <v>1686.6</v>
      </c>
      <c r="G278" s="18">
        <f>129.03+300.22</f>
        <v>429.25</v>
      </c>
      <c r="H278" s="18"/>
      <c r="I278" s="18"/>
      <c r="J278" s="18"/>
      <c r="K278" s="18"/>
      <c r="L278" s="19">
        <f>SUM(F278:K278)</f>
        <v>2115.85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2750+222.54</f>
        <v>2972.54</v>
      </c>
      <c r="G282" s="18">
        <f>210.38+489.5+17.03</f>
        <v>716.91</v>
      </c>
      <c r="H282" s="18"/>
      <c r="I282" s="18">
        <f>7320+3840+5044.5+1440+3660+1875</f>
        <v>23179.5</v>
      </c>
      <c r="J282" s="18"/>
      <c r="K282" s="18"/>
      <c r="L282" s="19">
        <f t="shared" ref="L282:L288" si="12">SUM(F282:K282)</f>
        <v>26868.95</v>
      </c>
      <c r="M282" s="8"/>
      <c r="N282" s="266"/>
    </row>
    <row r="283" spans="1:14" s="3" customFormat="1" ht="12.2" customHeight="1" x14ac:dyDescent="0.15">
      <c r="A283" s="1" t="s">
        <v>443</v>
      </c>
      <c r="B283" s="2" t="s">
        <v>357</v>
      </c>
      <c r="C283" s="2" t="s">
        <v>295</v>
      </c>
      <c r="D283" s="2" t="s">
        <v>431</v>
      </c>
      <c r="E283" s="6">
        <v>2200</v>
      </c>
      <c r="F283" s="18">
        <v>1920</v>
      </c>
      <c r="G283" s="18">
        <f>146.88+341.76</f>
        <v>488.64</v>
      </c>
      <c r="H283" s="18">
        <f>-51.2-498.75+103.86+1896.14+498.75+1387.85</f>
        <v>3336.65</v>
      </c>
      <c r="I283" s="18"/>
      <c r="J283" s="18"/>
      <c r="K283" s="18"/>
      <c r="L283" s="19">
        <f t="shared" si="12"/>
        <v>5745.29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f>96.04+46.2+420.85+446.43+51.2+13.96+6.7+546.54+388.12</f>
        <v>2016.04</v>
      </c>
      <c r="L286" s="19">
        <f t="shared" si="12"/>
        <v>2016.04</v>
      </c>
      <c r="M286" s="8"/>
      <c r="N286" s="266"/>
    </row>
    <row r="287" spans="1:14" s="3" customFormat="1" ht="12.2" customHeight="1" x14ac:dyDescent="0.15">
      <c r="A287" s="1" t="s">
        <v>447</v>
      </c>
      <c r="B287" s="2" t="s">
        <v>357</v>
      </c>
      <c r="C287" s="2" t="s">
        <v>299</v>
      </c>
      <c r="D287" s="2" t="s">
        <v>431</v>
      </c>
      <c r="E287" s="6">
        <v>2600</v>
      </c>
      <c r="F287" s="18">
        <v>8650</v>
      </c>
      <c r="G287" s="18"/>
      <c r="H287" s="18"/>
      <c r="I287" s="18"/>
      <c r="J287" s="18"/>
      <c r="K287" s="18"/>
      <c r="L287" s="19">
        <f t="shared" si="12"/>
        <v>8650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34726.33</v>
      </c>
      <c r="G291" s="42">
        <f t="shared" si="13"/>
        <v>4751.0200000000004</v>
      </c>
      <c r="H291" s="42">
        <f t="shared" si="13"/>
        <v>3211.65</v>
      </c>
      <c r="I291" s="42">
        <f t="shared" si="13"/>
        <v>24463.47</v>
      </c>
      <c r="J291" s="42">
        <f t="shared" si="13"/>
        <v>7000</v>
      </c>
      <c r="K291" s="42">
        <f t="shared" si="13"/>
        <v>2016.04</v>
      </c>
      <c r="L291" s="41">
        <f t="shared" si="13"/>
        <v>76168.510000000009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v>1327.25</v>
      </c>
      <c r="I316" s="18"/>
      <c r="J316" s="18"/>
      <c r="K316" s="18"/>
      <c r="L316" s="19">
        <f>SUM(F316:K316)</f>
        <v>1327.25</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1327.25</v>
      </c>
      <c r="I329" s="42">
        <f t="shared" si="17"/>
        <v>0</v>
      </c>
      <c r="J329" s="42">
        <f t="shared" si="17"/>
        <v>0</v>
      </c>
      <c r="K329" s="42">
        <f t="shared" si="17"/>
        <v>0</v>
      </c>
      <c r="L329" s="41">
        <f t="shared" si="17"/>
        <v>1327.25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34726.33</v>
      </c>
      <c r="G339" s="41">
        <f t="shared" si="20"/>
        <v>4751.0200000000004</v>
      </c>
      <c r="H339" s="41">
        <f t="shared" si="20"/>
        <v>4538.8999999999996</v>
      </c>
      <c r="I339" s="41">
        <f t="shared" si="20"/>
        <v>24463.47</v>
      </c>
      <c r="J339" s="41">
        <f t="shared" si="20"/>
        <v>7000</v>
      </c>
      <c r="K339" s="41">
        <f t="shared" si="20"/>
        <v>2016.04</v>
      </c>
      <c r="L339" s="41">
        <f t="shared" si="20"/>
        <v>77495.760000000009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34726.33</v>
      </c>
      <c r="G353" s="41">
        <f>G339</f>
        <v>4751.0200000000004</v>
      </c>
      <c r="H353" s="41">
        <f>H339</f>
        <v>4538.8999999999996</v>
      </c>
      <c r="I353" s="41">
        <f>I339</f>
        <v>24463.47</v>
      </c>
      <c r="J353" s="41">
        <f>J339</f>
        <v>7000</v>
      </c>
      <c r="K353" s="47">
        <f>K339+K352</f>
        <v>2016.04</v>
      </c>
      <c r="L353" s="41">
        <f>L339+L352</f>
        <v>77495.760000000009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38999.6+17569.05</f>
        <v>56568.649999999994</v>
      </c>
      <c r="G359" s="18">
        <f>2445.06+4480.54+4356.22+286.49+324.87</f>
        <v>11893.18</v>
      </c>
      <c r="H359" s="18">
        <v>24</v>
      </c>
      <c r="I359" s="18">
        <f>14170.01+47702.2</f>
        <v>61872.21</v>
      </c>
      <c r="J359" s="18"/>
      <c r="K359" s="18">
        <v>58</v>
      </c>
      <c r="L359" s="13">
        <f>SUM(F359:K359)</f>
        <v>130416.03999999998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56568.649999999994</v>
      </c>
      <c r="G363" s="47">
        <f t="shared" si="22"/>
        <v>11893.18</v>
      </c>
      <c r="H363" s="47">
        <f t="shared" si="22"/>
        <v>24</v>
      </c>
      <c r="I363" s="47">
        <f t="shared" si="22"/>
        <v>61872.21</v>
      </c>
      <c r="J363" s="47">
        <f t="shared" si="22"/>
        <v>0</v>
      </c>
      <c r="K363" s="47">
        <f t="shared" si="22"/>
        <v>58</v>
      </c>
      <c r="L363" s="47">
        <f t="shared" si="22"/>
        <v>130416.03999999998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47702.2</v>
      </c>
      <c r="G368" s="18"/>
      <c r="H368" s="4"/>
      <c r="I368" s="56">
        <f>SUM(F368:G368)</f>
        <v>47702.2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14170.01</v>
      </c>
      <c r="G369" s="63"/>
      <c r="H369" s="63"/>
      <c r="I369" s="56">
        <f>SUM(F369:H369)</f>
        <v>14170.01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61872.21</v>
      </c>
      <c r="G370" s="47">
        <f>SUM(G368:G369)</f>
        <v>0</v>
      </c>
      <c r="H370" s="47">
        <f>SUM(H368:H369)</f>
        <v>0</v>
      </c>
      <c r="I370" s="47">
        <f>SUM(I368:I369)</f>
        <v>61872.21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25000</v>
      </c>
      <c r="H390" s="18">
        <f>6268*0.5</f>
        <v>3134</v>
      </c>
      <c r="I390" s="18"/>
      <c r="J390" s="24" t="s">
        <v>288</v>
      </c>
      <c r="K390" s="24" t="s">
        <v>288</v>
      </c>
      <c r="L390" s="56">
        <f t="shared" si="25"/>
        <v>28134</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3134</v>
      </c>
      <c r="I394" s="65">
        <f>SUM(I388:I393)</f>
        <v>0</v>
      </c>
      <c r="J394" s="45" t="s">
        <v>288</v>
      </c>
      <c r="K394" s="45" t="s">
        <v>288</v>
      </c>
      <c r="L394" s="47">
        <f>SUM(L388:L393)</f>
        <v>28134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25000</v>
      </c>
      <c r="H398" s="18">
        <f>3134.77</f>
        <v>3134.77</v>
      </c>
      <c r="I398" s="18"/>
      <c r="J398" s="24" t="s">
        <v>288</v>
      </c>
      <c r="K398" s="24" t="s">
        <v>288</v>
      </c>
      <c r="L398" s="56">
        <f t="shared" si="26"/>
        <v>28134.77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3134.77</v>
      </c>
      <c r="I402" s="47">
        <f>SUM(I396:I401)</f>
        <v>0</v>
      </c>
      <c r="J402" s="45" t="s">
        <v>288</v>
      </c>
      <c r="K402" s="45" t="s">
        <v>288</v>
      </c>
      <c r="L402" s="47">
        <f>SUM(L396:L401)</f>
        <v>28134.77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6268.77</v>
      </c>
      <c r="I409" s="47">
        <f>I394+I402+I408</f>
        <v>0</v>
      </c>
      <c r="J409" s="24" t="s">
        <v>288</v>
      </c>
      <c r="K409" s="24" t="s">
        <v>288</v>
      </c>
      <c r="L409" s="47">
        <f>L394+L402+L408</f>
        <v>56268.770000000004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252024.09</v>
      </c>
      <c r="G440" s="18">
        <v>237280.25</v>
      </c>
      <c r="H440" s="18"/>
      <c r="I440" s="56">
        <f t="shared" ref="I440:I446" si="33">SUM(F440:H440)</f>
        <v>489304.33999999997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252024.09</v>
      </c>
      <c r="G447" s="13">
        <f>SUM(G440:G446)</f>
        <v>237280.25</v>
      </c>
      <c r="H447" s="13">
        <f>SUM(H440:H446)</f>
        <v>0</v>
      </c>
      <c r="I447" s="13">
        <f>SUM(I440:I446)</f>
        <v>489304.33999999997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252024.09</v>
      </c>
      <c r="G460" s="18">
        <v>237280.25</v>
      </c>
      <c r="H460" s="18"/>
      <c r="I460" s="56">
        <f t="shared" si="34"/>
        <v>489304.33999999997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252024.09</v>
      </c>
      <c r="G461" s="83">
        <f>SUM(G455:G460)</f>
        <v>237280.25</v>
      </c>
      <c r="H461" s="83">
        <f>SUM(H455:H460)</f>
        <v>0</v>
      </c>
      <c r="I461" s="83">
        <f>SUM(I455:I460)</f>
        <v>489304.33999999997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252024.09</v>
      </c>
      <c r="G462" s="42">
        <f>G453+G461</f>
        <v>237280.25</v>
      </c>
      <c r="H462" s="42">
        <f>H453+H461</f>
        <v>0</v>
      </c>
      <c r="I462" s="42">
        <f>I453+I461</f>
        <v>489304.33999999997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74129.62</v>
      </c>
      <c r="G466" s="18">
        <v>21402.43</v>
      </c>
      <c r="H466" s="18">
        <v>-3636.96</v>
      </c>
      <c r="I466" s="18"/>
      <c r="J466" s="18">
        <v>433035.57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11796740.459999999</v>
      </c>
      <c r="G469" s="18">
        <f>G194</f>
        <v>143366.11000000002</v>
      </c>
      <c r="H469" s="18">
        <f>H194</f>
        <v>77495.759999999995</v>
      </c>
      <c r="I469" s="18"/>
      <c r="J469" s="18">
        <f>489304.34-433035.57</f>
        <v>56268.770000000019</v>
      </c>
      <c r="K469" s="24" t="s">
        <v>288</v>
      </c>
      <c r="L469" s="24" t="s">
        <v>288</v>
      </c>
      <c r="N469" s="265"/>
    </row>
    <row r="470" spans="1:14" s="52" customFormat="1" ht="12.2" customHeight="1" x14ac:dyDescent="0.2">
      <c r="A470" s="93" t="s">
        <v>611</v>
      </c>
      <c r="B470" s="75">
        <v>19</v>
      </c>
      <c r="C470" s="80">
        <v>3</v>
      </c>
      <c r="D470" s="2" t="s">
        <v>432</v>
      </c>
      <c r="E470" s="80"/>
      <c r="F470" s="18">
        <f>50000+30977.38</f>
        <v>80977.38</v>
      </c>
      <c r="G470" s="18"/>
      <c r="H470" s="18">
        <v>3636.96</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11877717.84</v>
      </c>
      <c r="G471" s="53">
        <f>SUM(G469:G470)</f>
        <v>143366.11000000002</v>
      </c>
      <c r="H471" s="53">
        <f>SUM(H469:H470)</f>
        <v>81132.72</v>
      </c>
      <c r="I471" s="53">
        <f>SUM(I469:I470)</f>
        <v>0</v>
      </c>
      <c r="J471" s="53">
        <f>SUM(J469:J470)</f>
        <v>56268.770000000019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11138447.370000001</v>
      </c>
      <c r="G473" s="18">
        <f>L363</f>
        <v>130416.03999999998</v>
      </c>
      <c r="H473" s="18">
        <f>L353</f>
        <v>77495.760000000009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f>21402.43+12950.07-12289.65</f>
        <v>22062.85</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11138447.370000001</v>
      </c>
      <c r="G475" s="53">
        <f>SUM(G473:G474)</f>
        <v>152478.88999999998</v>
      </c>
      <c r="H475" s="53">
        <f>SUM(H473:H474)</f>
        <v>77495.760000000009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813400.08999999799</v>
      </c>
      <c r="G477" s="53">
        <f>(G466+G471)- G475</f>
        <v>12289.650000000023</v>
      </c>
      <c r="H477" s="53">
        <f>(H466+H471)- H475</f>
        <v>0</v>
      </c>
      <c r="I477" s="53">
        <f>(I466+I471)- I475</f>
        <v>0</v>
      </c>
      <c r="J477" s="53">
        <f>(J466+J471)- J475</f>
        <v>489304.34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55" t="s">
        <v>1674</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3.99</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3440000</v>
      </c>
      <c r="G496" s="18"/>
      <c r="H496" s="18"/>
      <c r="I496" s="18"/>
      <c r="J496" s="18"/>
      <c r="K496" s="53">
        <f>SUM(F496:J496)</f>
        <v>3440000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240000</v>
      </c>
      <c r="G498" s="18"/>
      <c r="H498" s="18"/>
      <c r="I498" s="18"/>
      <c r="J498" s="18"/>
      <c r="K498" s="53">
        <f t="shared" si="35"/>
        <v>240000</v>
      </c>
      <c r="L498" s="24" t="s">
        <v>288</v>
      </c>
      <c r="N498" s="265"/>
    </row>
    <row r="499" spans="1:14" s="52" customFormat="1" ht="12.2" customHeight="1" x14ac:dyDescent="0.2">
      <c r="A499" s="200" t="s">
        <v>622</v>
      </c>
      <c r="B499" s="201">
        <v>20</v>
      </c>
      <c r="C499" s="202">
        <v>9</v>
      </c>
      <c r="D499" s="203" t="s">
        <v>432</v>
      </c>
      <c r="E499" s="202"/>
      <c r="F499" s="204">
        <f>F496-F498</f>
        <v>3200000</v>
      </c>
      <c r="G499" s="204"/>
      <c r="H499" s="204"/>
      <c r="I499" s="204"/>
      <c r="J499" s="204"/>
      <c r="K499" s="205">
        <f t="shared" si="35"/>
        <v>3200000</v>
      </c>
      <c r="L499" s="206" t="s">
        <v>288</v>
      </c>
      <c r="N499" s="265"/>
    </row>
    <row r="500" spans="1:14" s="52" customFormat="1" ht="12.2" customHeight="1" thickBot="1" x14ac:dyDescent="0.25">
      <c r="A500" s="22" t="s">
        <v>623</v>
      </c>
      <c r="B500" s="75">
        <v>20</v>
      </c>
      <c r="C500" s="115">
        <v>10</v>
      </c>
      <c r="D500" s="2" t="s">
        <v>432</v>
      </c>
      <c r="E500" s="115"/>
      <c r="F500" s="18">
        <f>1018844-K262</f>
        <v>867502.5</v>
      </c>
      <c r="G500" s="18"/>
      <c r="H500" s="18"/>
      <c r="I500" s="18"/>
      <c r="J500" s="18"/>
      <c r="K500" s="53">
        <f t="shared" si="35"/>
        <v>867502.5</v>
      </c>
      <c r="L500" s="24" t="s">
        <v>288</v>
      </c>
      <c r="N500" s="265"/>
    </row>
    <row r="501" spans="1:14" s="52" customFormat="1" ht="12.2" customHeight="1" thickTop="1" x14ac:dyDescent="0.2">
      <c r="A501" s="139" t="s">
        <v>624</v>
      </c>
      <c r="B501" s="44">
        <v>20</v>
      </c>
      <c r="C501" s="195">
        <v>11</v>
      </c>
      <c r="D501" s="39" t="s">
        <v>432</v>
      </c>
      <c r="E501" s="195"/>
      <c r="F501" s="42">
        <f>SUM(F499:F500)</f>
        <v>4067502.5</v>
      </c>
      <c r="G501" s="42">
        <f>SUM(G499:G500)</f>
        <v>0</v>
      </c>
      <c r="H501" s="42">
        <f>SUM(H499:H500)</f>
        <v>0</v>
      </c>
      <c r="I501" s="42">
        <f>SUM(I499:I500)</f>
        <v>0</v>
      </c>
      <c r="J501" s="42">
        <f>SUM(J499:J500)</f>
        <v>0</v>
      </c>
      <c r="K501" s="42">
        <f t="shared" si="35"/>
        <v>4067502.5</v>
      </c>
      <c r="L501" s="45" t="s">
        <v>288</v>
      </c>
      <c r="N501" s="265"/>
    </row>
    <row r="502" spans="1:14" s="52" customFormat="1" ht="12.2" customHeight="1" x14ac:dyDescent="0.2">
      <c r="A502" s="200" t="s">
        <v>651</v>
      </c>
      <c r="B502" s="201">
        <v>20</v>
      </c>
      <c r="C502" s="202">
        <v>12</v>
      </c>
      <c r="D502" s="203" t="s">
        <v>432</v>
      </c>
      <c r="E502" s="202"/>
      <c r="F502" s="204">
        <v>255000</v>
      </c>
      <c r="G502" s="204"/>
      <c r="H502" s="204"/>
      <c r="I502" s="204"/>
      <c r="J502" s="204"/>
      <c r="K502" s="205">
        <f t="shared" si="35"/>
        <v>255000</v>
      </c>
      <c r="L502" s="206" t="s">
        <v>288</v>
      </c>
      <c r="N502" s="265"/>
    </row>
    <row r="503" spans="1:14" s="52" customFormat="1" ht="12.2" customHeight="1" thickBot="1" x14ac:dyDescent="0.25">
      <c r="A503" s="22" t="s">
        <v>625</v>
      </c>
      <c r="B503" s="75">
        <v>20</v>
      </c>
      <c r="C503" s="115">
        <v>13</v>
      </c>
      <c r="D503" s="2" t="s">
        <v>432</v>
      </c>
      <c r="E503" s="115"/>
      <c r="F503" s="18">
        <v>135182.5</v>
      </c>
      <c r="G503" s="18"/>
      <c r="H503" s="18"/>
      <c r="I503" s="18"/>
      <c r="J503" s="18"/>
      <c r="K503" s="53">
        <f t="shared" si="35"/>
        <v>135182.5</v>
      </c>
      <c r="L503" s="24" t="s">
        <v>288</v>
      </c>
      <c r="N503" s="265"/>
    </row>
    <row r="504" spans="1:14" s="52" customFormat="1" ht="12.2" customHeight="1" thickTop="1" x14ac:dyDescent="0.2">
      <c r="A504" s="139" t="s">
        <v>626</v>
      </c>
      <c r="B504" s="44">
        <v>20</v>
      </c>
      <c r="C504" s="195">
        <v>14</v>
      </c>
      <c r="D504" s="39" t="s">
        <v>432</v>
      </c>
      <c r="E504" s="195"/>
      <c r="F504" s="42">
        <f>SUM(F502:F503)</f>
        <v>390182.5</v>
      </c>
      <c r="G504" s="42">
        <f>SUM(G502:G503)</f>
        <v>0</v>
      </c>
      <c r="H504" s="42">
        <f>SUM(H502:H503)</f>
        <v>0</v>
      </c>
      <c r="I504" s="42">
        <f>SUM(I502:I503)</f>
        <v>0</v>
      </c>
      <c r="J504" s="42">
        <f>SUM(J502:J503)</f>
        <v>0</v>
      </c>
      <c r="K504" s="42">
        <f t="shared" si="35"/>
        <v>390182.5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689348.22-149062.9</f>
        <v>540285.31999999995</v>
      </c>
      <c r="G522" s="18">
        <f>239627.58+5000+6029.78+302.4+39006.22+34080.07+33462.58+2335.93+2273.26-78289.87</f>
        <v>283827.95</v>
      </c>
      <c r="H522" s="18">
        <f>H199+18929.8+10445.16+43670.02</f>
        <v>138895.35</v>
      </c>
      <c r="I522" s="18">
        <f>I199</f>
        <v>9130.630000000001</v>
      </c>
      <c r="J522" s="18"/>
      <c r="K522" s="18">
        <f>K199</f>
        <v>592.61</v>
      </c>
      <c r="L522" s="88">
        <f>SUM(F522:K522)</f>
        <v>972731.86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149062.9</v>
      </c>
      <c r="G524" s="18">
        <f>362117.82*0.2162</f>
        <v>78289.872684000002</v>
      </c>
      <c r="H524" s="18">
        <f>H235</f>
        <v>226977.6</v>
      </c>
      <c r="I524" s="18"/>
      <c r="J524" s="18"/>
      <c r="K524" s="18"/>
      <c r="L524" s="88">
        <f>SUM(F524:K524)</f>
        <v>454330.372684</v>
      </c>
      <c r="N524" s="265"/>
    </row>
    <row r="525" spans="1:14" s="52" customFormat="1" ht="12.2" customHeight="1" thickTop="1" x14ac:dyDescent="0.2">
      <c r="A525" s="139" t="s">
        <v>63</v>
      </c>
      <c r="B525" s="107">
        <v>21</v>
      </c>
      <c r="C525" s="195">
        <v>4</v>
      </c>
      <c r="D525" s="196" t="s">
        <v>432</v>
      </c>
      <c r="E525" s="195"/>
      <c r="F525" s="108">
        <f>SUM(F522:F524)</f>
        <v>689348.22</v>
      </c>
      <c r="G525" s="108">
        <f t="shared" ref="G525:L525" si="36">SUM(G522:G524)</f>
        <v>362117.82268400001</v>
      </c>
      <c r="H525" s="108">
        <f t="shared" si="36"/>
        <v>365872.95</v>
      </c>
      <c r="I525" s="108">
        <f t="shared" si="36"/>
        <v>9130.630000000001</v>
      </c>
      <c r="J525" s="108">
        <f t="shared" si="36"/>
        <v>0</v>
      </c>
      <c r="K525" s="108">
        <f t="shared" si="36"/>
        <v>592.61</v>
      </c>
      <c r="L525" s="89">
        <f t="shared" si="36"/>
        <v>1427062.2326839999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139532.4</f>
        <v>139532.4</v>
      </c>
      <c r="G527" s="18">
        <f>30787.84+1011.5+191.66+10056.25+24836.72+323.99+547.33</f>
        <v>67755.290000000008</v>
      </c>
      <c r="H527" s="18">
        <f>14759.64</f>
        <v>14759.64</v>
      </c>
      <c r="I527" s="18"/>
      <c r="J527" s="18"/>
      <c r="K527" s="18"/>
      <c r="L527" s="88">
        <f>SUM(F527:K527)</f>
        <v>222047.33000000002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33306.230000000003</v>
      </c>
      <c r="I529" s="18"/>
      <c r="J529" s="18"/>
      <c r="K529" s="18">
        <v>1449.31</v>
      </c>
      <c r="L529" s="88">
        <f>SUM(F529:K529)</f>
        <v>34755.54</v>
      </c>
      <c r="M529" s="8"/>
      <c r="N529" s="266"/>
    </row>
    <row r="530" spans="1:14" s="3" customFormat="1" ht="12.2" customHeight="1" thickTop="1" x14ac:dyDescent="0.15">
      <c r="A530" s="139" t="s">
        <v>65</v>
      </c>
      <c r="B530" s="107">
        <v>21</v>
      </c>
      <c r="C530" s="107">
        <v>8</v>
      </c>
      <c r="D530" s="158" t="s">
        <v>432</v>
      </c>
      <c r="E530" s="107"/>
      <c r="F530" s="89">
        <f>SUM(F527:F529)</f>
        <v>139532.4</v>
      </c>
      <c r="G530" s="89">
        <f t="shared" ref="G530:L530" si="37">SUM(G527:G529)</f>
        <v>67755.290000000008</v>
      </c>
      <c r="H530" s="89">
        <f t="shared" si="37"/>
        <v>48065.87</v>
      </c>
      <c r="I530" s="89">
        <f t="shared" si="37"/>
        <v>0</v>
      </c>
      <c r="J530" s="89">
        <f t="shared" si="37"/>
        <v>0</v>
      </c>
      <c r="K530" s="89">
        <f t="shared" si="37"/>
        <v>1449.31</v>
      </c>
      <c r="L530" s="89">
        <f t="shared" si="37"/>
        <v>256802.87000000002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47334.6+2464.01+439.01</f>
        <v>50237.62</v>
      </c>
      <c r="I542" s="18"/>
      <c r="J542" s="18"/>
      <c r="K542" s="18"/>
      <c r="L542" s="88">
        <f>SUM(F542:K542)</f>
        <v>50237.62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50237.62</v>
      </c>
      <c r="I545" s="193">
        <f t="shared" si="40"/>
        <v>0</v>
      </c>
      <c r="J545" s="193">
        <f t="shared" si="40"/>
        <v>0</v>
      </c>
      <c r="K545" s="193">
        <f t="shared" si="40"/>
        <v>0</v>
      </c>
      <c r="L545" s="193">
        <f t="shared" si="40"/>
        <v>50237.62</v>
      </c>
      <c r="M545" s="8"/>
      <c r="N545" s="266"/>
    </row>
    <row r="546" spans="1:14" s="3" customFormat="1" ht="12.2" customHeight="1" thickTop="1" x14ac:dyDescent="0.15">
      <c r="A546" s="98" t="s">
        <v>72</v>
      </c>
      <c r="B546" s="107">
        <v>21</v>
      </c>
      <c r="C546" s="107">
        <v>21</v>
      </c>
      <c r="D546" s="158" t="s">
        <v>432</v>
      </c>
      <c r="E546" s="107"/>
      <c r="F546" s="89">
        <f>F525+F530+F535+F540+F545</f>
        <v>828880.62</v>
      </c>
      <c r="G546" s="89">
        <f t="shared" ref="G546:L546" si="41">G525+G530+G535+G540+G545</f>
        <v>429873.11268400005</v>
      </c>
      <c r="H546" s="89">
        <f t="shared" si="41"/>
        <v>464176.44</v>
      </c>
      <c r="I546" s="89">
        <f t="shared" si="41"/>
        <v>9130.630000000001</v>
      </c>
      <c r="J546" s="89">
        <f t="shared" si="41"/>
        <v>0</v>
      </c>
      <c r="K546" s="89">
        <f t="shared" si="41"/>
        <v>2041.92</v>
      </c>
      <c r="L546" s="89">
        <f t="shared" si="41"/>
        <v>1734102.7226840002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972731.86</v>
      </c>
      <c r="G550" s="87">
        <f>L527</f>
        <v>222047.33000000002</v>
      </c>
      <c r="H550" s="87">
        <f>L532</f>
        <v>0</v>
      </c>
      <c r="I550" s="87">
        <f>L537</f>
        <v>0</v>
      </c>
      <c r="J550" s="87">
        <f>L542</f>
        <v>50237.62</v>
      </c>
      <c r="K550" s="87">
        <f>SUM(F550:J550)</f>
        <v>1245016.81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454330.372684</v>
      </c>
      <c r="G552" s="87">
        <f>L529</f>
        <v>34755.54</v>
      </c>
      <c r="H552" s="87">
        <f>L534</f>
        <v>0</v>
      </c>
      <c r="I552" s="87">
        <f>L539</f>
        <v>0</v>
      </c>
      <c r="J552" s="87">
        <f>L544</f>
        <v>0</v>
      </c>
      <c r="K552" s="87">
        <f>SUM(F552:J552)</f>
        <v>489085.91268399998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1427062.2326839999</v>
      </c>
      <c r="G553" s="89">
        <f t="shared" si="42"/>
        <v>256802.87000000002</v>
      </c>
      <c r="H553" s="89">
        <f t="shared" si="42"/>
        <v>0</v>
      </c>
      <c r="I553" s="89">
        <f t="shared" si="42"/>
        <v>0</v>
      </c>
      <c r="J553" s="89">
        <f t="shared" si="42"/>
        <v>50237.62</v>
      </c>
      <c r="K553" s="89">
        <f t="shared" si="42"/>
        <v>1734102.7226840002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101673.03</v>
      </c>
      <c r="I576" s="87">
        <f>SUM(F576:H576)</f>
        <v>101673.03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4"/>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3723894.37</v>
      </c>
      <c r="I578" s="87">
        <f t="shared" si="47"/>
        <v>3723894.37</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60558.92</v>
      </c>
      <c r="G580" s="18"/>
      <c r="H580" s="18"/>
      <c r="I580" s="87">
        <f t="shared" si="47"/>
        <v>60558.92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226977.6</v>
      </c>
      <c r="I582" s="87">
        <f t="shared" si="47"/>
        <v>226977.6</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4407.75</v>
      </c>
      <c r="G583" s="18"/>
      <c r="H583" s="18"/>
      <c r="I583" s="87">
        <f t="shared" si="47"/>
        <v>4407.75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394795.8</f>
        <v>394795.8</v>
      </c>
      <c r="I592" s="18"/>
      <c r="J592" s="18">
        <v>40494.6</v>
      </c>
      <c r="K592" s="104">
        <f t="shared" ref="K592:K598" si="48">SUM(H592:J592)</f>
        <v>435290.39999999997</v>
      </c>
      <c r="L592" s="24" t="s">
        <v>288</v>
      </c>
      <c r="M592" s="8"/>
      <c r="N592" s="266"/>
    </row>
    <row r="593" spans="1:14" s="3" customFormat="1" ht="12.2" customHeight="1" x14ac:dyDescent="0.15">
      <c r="A593" s="3" t="s">
        <v>638</v>
      </c>
      <c r="B593" s="75">
        <v>23</v>
      </c>
      <c r="C593" s="75">
        <v>2</v>
      </c>
      <c r="D593" s="2" t="s">
        <v>432</v>
      </c>
      <c r="E593" s="75"/>
      <c r="F593" s="102">
        <v>2722</v>
      </c>
      <c r="G593" s="103" t="s">
        <v>97</v>
      </c>
      <c r="H593" s="18">
        <f>47334.6+F209+G209</f>
        <v>50237.62</v>
      </c>
      <c r="I593" s="18"/>
      <c r="J593" s="18"/>
      <c r="K593" s="104">
        <f t="shared" si="48"/>
        <v>50237.62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445033.42</v>
      </c>
      <c r="I599" s="108">
        <f>SUM(I592:I598)</f>
        <v>0</v>
      </c>
      <c r="J599" s="108">
        <f>SUM(J592:J598)</f>
        <v>40494.6</v>
      </c>
      <c r="K599" s="108">
        <f>SUM(K592:K598)</f>
        <v>485528.01999999996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J258+J277</f>
        <v>89549.45</v>
      </c>
      <c r="I605" s="18"/>
      <c r="J605" s="18"/>
      <c r="K605" s="104">
        <f>SUM(H605:J605)</f>
        <v>89549.45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89549.45</v>
      </c>
      <c r="I606" s="108">
        <f>SUM(I603:I605)</f>
        <v>0</v>
      </c>
      <c r="J606" s="108">
        <f>SUM(J603:J605)</f>
        <v>0</v>
      </c>
      <c r="K606" s="108">
        <f>SUM(K603:K605)</f>
        <v>89549.45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2500+5688.78</f>
        <v>8188.78</v>
      </c>
      <c r="G612" s="18">
        <f>429.15+191.25</f>
        <v>620.4</v>
      </c>
      <c r="H612" s="18"/>
      <c r="I612" s="18"/>
      <c r="J612" s="18"/>
      <c r="K612" s="18"/>
      <c r="L612" s="88">
        <f>SUM(F612:K612)</f>
        <v>8809.18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8188.78</v>
      </c>
      <c r="G615" s="108">
        <f t="shared" si="49"/>
        <v>620.4</v>
      </c>
      <c r="H615" s="108">
        <f t="shared" si="49"/>
        <v>0</v>
      </c>
      <c r="I615" s="108">
        <f t="shared" si="49"/>
        <v>0</v>
      </c>
      <c r="J615" s="108">
        <f t="shared" si="49"/>
        <v>0</v>
      </c>
      <c r="K615" s="108">
        <f t="shared" si="49"/>
        <v>0</v>
      </c>
      <c r="L615" s="89">
        <f t="shared" si="49"/>
        <v>8809.18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921645.32</v>
      </c>
      <c r="H618" s="109">
        <f>SUM(F52)</f>
        <v>921645.32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25159.47</v>
      </c>
      <c r="H619" s="109">
        <f>SUM(G52)</f>
        <v>25159.47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39234.800000000003</v>
      </c>
      <c r="H620" s="109">
        <f>SUM(H52)</f>
        <v>39234.800000000003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489304.33999999997</v>
      </c>
      <c r="H622" s="109">
        <f>SUM(J52)</f>
        <v>489304.33999999997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813400.09</v>
      </c>
      <c r="H623" s="109">
        <f>F477</f>
        <v>813400.08999999799</v>
      </c>
      <c r="I623" s="121" t="s">
        <v>101</v>
      </c>
      <c r="J623" s="109">
        <f t="shared" ref="J623:J656" si="50">G623-H623</f>
        <v>1.9790604710578918E-9</v>
      </c>
      <c r="K623" s="109"/>
      <c r="L623" s="109"/>
      <c r="M623" s="8"/>
    </row>
    <row r="624" spans="1:14" s="3" customFormat="1" ht="12.2" customHeight="1" x14ac:dyDescent="0.15">
      <c r="A624" s="97"/>
      <c r="B624" s="105"/>
      <c r="C624" s="119"/>
      <c r="D624" s="119"/>
      <c r="E624" s="119"/>
      <c r="F624" s="119" t="s">
        <v>866</v>
      </c>
      <c r="G624" s="109">
        <f>G51</f>
        <v>12289.65</v>
      </c>
      <c r="H624" s="109">
        <f>G477</f>
        <v>12289.650000000023</v>
      </c>
      <c r="I624" s="121" t="s">
        <v>102</v>
      </c>
      <c r="J624" s="109">
        <f t="shared" si="50"/>
        <v>-2.3646862246096134E-11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489304.33999999997</v>
      </c>
      <c r="H627" s="109">
        <f>J477</f>
        <v>489304.34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11796740.459999999</v>
      </c>
      <c r="H628" s="104">
        <f>SUM(F469)</f>
        <v>11796740.459999999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143366.11000000002</v>
      </c>
      <c r="H629" s="104">
        <f>SUM(G469)</f>
        <v>143366.11000000002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77495.759999999995</v>
      </c>
      <c r="H630" s="104">
        <f>SUM(H469)</f>
        <v>77495.759999999995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56268.770000000004</v>
      </c>
      <c r="H632" s="104">
        <f>SUM(J469)</f>
        <v>56268.770000000019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11138447.370000001</v>
      </c>
      <c r="H633" s="104">
        <f>SUM(F473)</f>
        <v>11138447.370000001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77495.760000000009</v>
      </c>
      <c r="H634" s="104">
        <f>SUM(H473)</f>
        <v>77495.760000000009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61872.21</v>
      </c>
      <c r="H635" s="104">
        <f>I370</f>
        <v>61872.21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130416.03999999998</v>
      </c>
      <c r="H636" s="104">
        <f>SUM(G473)</f>
        <v>130416.03999999998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56268.770000000004</v>
      </c>
      <c r="H638" s="164">
        <f>SUM(J469)</f>
        <v>56268.770000000019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252024.09</v>
      </c>
      <c r="H640" s="104">
        <f>SUM(F462)</f>
        <v>252024.09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237280.25</v>
      </c>
      <c r="H641" s="104">
        <f>SUM(G462)</f>
        <v>237280.25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489304.33999999997</v>
      </c>
      <c r="H643" s="104">
        <f>SUM(I462)</f>
        <v>489304.33999999997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6268.77</v>
      </c>
      <c r="H645" s="104">
        <f>H409</f>
        <v>6268.77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56268.770000000004</v>
      </c>
      <c r="H647" s="104">
        <f>L409</f>
        <v>56268.770000000004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485528.01999999996</v>
      </c>
      <c r="H648" s="104">
        <f>L209+L227+L245</f>
        <v>485528.01999999996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89549.45</v>
      </c>
      <c r="H649" s="104">
        <f>(J258+J339)-(J256+J337)</f>
        <v>89549.45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445033.42</v>
      </c>
      <c r="H650" s="104">
        <f>H599</f>
        <v>445033.42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40494.6</v>
      </c>
      <c r="H652" s="104">
        <f>J599</f>
        <v>40494.6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54983.96</v>
      </c>
      <c r="H653" s="104">
        <f>K264+K346</f>
        <v>54983.96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6527848.419999999</v>
      </c>
      <c r="G661" s="19">
        <f>(L230+L310+L360)</f>
        <v>0</v>
      </c>
      <c r="H661" s="19">
        <f>(L248+L329+L361)</f>
        <v>4278185.29</v>
      </c>
      <c r="I661" s="19">
        <f>SUM(F661:H661)</f>
        <v>10806033.709999999</v>
      </c>
      <c r="J661" s="13"/>
      <c r="K661" s="13"/>
      <c r="L661" s="13"/>
      <c r="M661" s="9"/>
    </row>
    <row r="662" spans="1:13" s="3" customFormat="1" ht="12.2" customHeight="1" x14ac:dyDescent="0.2">
      <c r="A662" s="1" t="s">
        <v>127</v>
      </c>
      <c r="F662" s="19">
        <f>(L359/IF(SUM(L359:L361)=0,1,SUM(L359:L361))*(SUM(G97:G110)))</f>
        <v>-101.9</v>
      </c>
      <c r="G662" s="19">
        <f>(L360/IF(SUM(L359:L361)=0,1,SUM(L359:L361))*(SUM(G97:G110)))</f>
        <v>0</v>
      </c>
      <c r="H662" s="19">
        <f>(L361/IF(SUM(L359:L361)=0,1,SUM(L359:L361))*(SUM(G97:G110)))</f>
        <v>0</v>
      </c>
      <c r="I662" s="19">
        <f>SUM(F662:H662)</f>
        <v>-101.9</v>
      </c>
      <c r="J662"/>
      <c r="K662" s="13"/>
      <c r="L662" s="13"/>
      <c r="M662" s="8"/>
    </row>
    <row r="663" spans="1:13" s="3" customFormat="1" ht="12.2" customHeight="1" x14ac:dyDescent="0.2">
      <c r="A663" s="1" t="s">
        <v>128</v>
      </c>
      <c r="F663" s="19">
        <f>(L209+L288)-(J209+J288)</f>
        <v>445033.42</v>
      </c>
      <c r="G663" s="19">
        <f>(L227+L307)-(J227+J307)</f>
        <v>0</v>
      </c>
      <c r="H663" s="19">
        <f>(L245+L326)-(J245+J326)</f>
        <v>40494.6</v>
      </c>
      <c r="I663" s="19">
        <f>SUM(F663:H663)</f>
        <v>485528.01999999996</v>
      </c>
      <c r="J663"/>
      <c r="K663" s="13"/>
      <c r="L663" s="13"/>
      <c r="M663" s="9"/>
    </row>
    <row r="664" spans="1:13" s="3" customFormat="1" ht="12.2" customHeight="1" x14ac:dyDescent="0.15">
      <c r="A664" s="198" t="s">
        <v>129</v>
      </c>
      <c r="B664" s="169"/>
      <c r="C664" s="169"/>
      <c r="D664" s="169"/>
      <c r="E664" s="169"/>
      <c r="F664" s="199">
        <f>SUM(F576:F588)+SUM(H603:H605)+SUM(L612)</f>
        <v>163325.29999999999</v>
      </c>
      <c r="G664" s="199">
        <f>SUM(G576:G588)+SUM(I603:I605)+L613</f>
        <v>0</v>
      </c>
      <c r="H664" s="199">
        <f>SUM(H576:H588)+SUM(J603:J605)+L614</f>
        <v>4052545</v>
      </c>
      <c r="I664" s="19">
        <f>SUM(F664:H664)</f>
        <v>4215870.3</v>
      </c>
      <c r="J664" s="13"/>
      <c r="K664" s="13"/>
      <c r="L664" s="13"/>
      <c r="M664" s="9"/>
    </row>
    <row r="665" spans="1:13" s="3" customFormat="1" ht="12.2" customHeight="1" x14ac:dyDescent="0.15">
      <c r="A665" s="1" t="s">
        <v>130</v>
      </c>
      <c r="F665" s="19">
        <f>F661-SUM(F662:F664)</f>
        <v>5919591.5999999987</v>
      </c>
      <c r="G665" s="19">
        <f>G661-SUM(G662:G664)</f>
        <v>0</v>
      </c>
      <c r="H665" s="19">
        <f>H661-SUM(H662:H664)</f>
        <v>185145.68999999994</v>
      </c>
      <c r="I665" s="19">
        <f>I661-SUM(I662:I664)</f>
        <v>6104737.2899999991</v>
      </c>
      <c r="J665" s="13"/>
      <c r="K665" s="13"/>
      <c r="L665" s="13"/>
      <c r="M665" s="8"/>
    </row>
    <row r="666" spans="1:13" s="3" customFormat="1" ht="12.2" customHeight="1" x14ac:dyDescent="0.2">
      <c r="A666" s="1" t="s">
        <v>131</v>
      </c>
      <c r="F666" s="246">
        <v>393.72</v>
      </c>
      <c r="G666" s="247"/>
      <c r="H666" s="247"/>
      <c r="I666" s="19">
        <f>SUM(F666:H666)</f>
        <v>393.72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15035.03</v>
      </c>
      <c r="G668" s="19" t="e">
        <f>ROUND(G665/G666,2)</f>
        <v>#DIV/0!</v>
      </c>
      <c r="H668" s="19" t="e">
        <f>ROUND(H665/H666,2)</f>
        <v>#DIV/0!</v>
      </c>
      <c r="I668" s="19">
        <f>ROUND(I665/I666,2)</f>
        <v>15505.28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-185145.69</v>
      </c>
      <c r="I670" s="19">
        <f>SUM(F670:H670)</f>
        <v>-185145.69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15035.03</v>
      </c>
      <c r="G673" s="19" t="e">
        <f>ROUND((G665+G670)/(G666+G671),2)</f>
        <v>#DIV/0!</v>
      </c>
      <c r="H673" s="19" t="e">
        <f>ROUND((H665+H670)/(H666+H671),2)</f>
        <v>#DIV/0!</v>
      </c>
      <c r="I673" s="19">
        <f>ROUND((I665+I670)/(I666+I671),2)</f>
        <v>15035.03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4" zoomScaleNormal="100" workbookViewId="0">
      <selection activeCell="E22" sqref="E22:E30"/>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127397.88</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21435</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9997.17+764.77+2750+210.38+1283.97+489.5+7320+3840+5044.5+1440+3660+1875+44000</f>
        <v>82675.290000000008</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f>2750+210.38+489.5+7320+3840+5044.5+1440+3660+1875</f>
        <v>26629.38</v>
      </c>
      <c r="F26" s="348"/>
    </row>
    <row r="27" spans="2:8" x14ac:dyDescent="0.25">
      <c r="B27" s="348"/>
      <c r="C27" s="350"/>
      <c r="D27" s="348"/>
      <c r="E27" s="348"/>
      <c r="F27" s="348"/>
    </row>
    <row r="28" spans="2:8" ht="15.75" customHeight="1" x14ac:dyDescent="0.25">
      <c r="B28" s="348"/>
      <c r="C28" s="350" t="s">
        <v>1663</v>
      </c>
      <c r="D28" s="348"/>
      <c r="E28" s="344">
        <v>8650</v>
      </c>
      <c r="F28" s="348"/>
    </row>
    <row r="29" spans="2:8" x14ac:dyDescent="0.25">
      <c r="B29" s="348"/>
      <c r="C29" s="348"/>
      <c r="D29" s="348"/>
      <c r="E29" s="348"/>
      <c r="F29" s="348"/>
    </row>
    <row r="30" spans="2:8" ht="16.5" customHeight="1" x14ac:dyDescent="0.25">
      <c r="B30" s="348"/>
      <c r="C30" s="350" t="s">
        <v>1664</v>
      </c>
      <c r="D30" s="348"/>
      <c r="E30" s="343">
        <f>7000</f>
        <v>7000</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Strafford</v>
      </c>
      <c r="C5" s="364"/>
      <c r="D5" s="364"/>
      <c r="E5" s="364"/>
      <c r="F5" s="364"/>
    </row>
    <row r="8" spans="1:9" ht="18" x14ac:dyDescent="0.25">
      <c r="A8" s="319" t="s">
        <v>1576</v>
      </c>
      <c r="F8" s="326" t="s">
        <v>1594</v>
      </c>
    </row>
    <row r="9" spans="1:9" ht="15" x14ac:dyDescent="0.2">
      <c r="A9" s="317" t="s">
        <v>1577</v>
      </c>
      <c r="B9" s="320">
        <f>'DOE25'!G97</f>
        <v>-101.9</v>
      </c>
      <c r="F9" s="317" t="s">
        <v>1590</v>
      </c>
    </row>
    <row r="10" spans="1:9" ht="15" x14ac:dyDescent="0.2">
      <c r="A10" s="317" t="s">
        <v>1578</v>
      </c>
      <c r="B10" s="320">
        <f>'DOE25'!G112-'DOE25'!G97</f>
        <v>0</v>
      </c>
      <c r="F10" s="317" t="s">
        <v>1591</v>
      </c>
    </row>
    <row r="11" spans="1:9" ht="15" x14ac:dyDescent="0.2">
      <c r="A11" s="317" t="s">
        <v>1579</v>
      </c>
      <c r="B11" s="320">
        <f>'DOE25'!G140</f>
        <v>2291.6999999999998</v>
      </c>
      <c r="F11" s="317" t="s">
        <v>1592</v>
      </c>
    </row>
    <row r="12" spans="1:9" ht="15" x14ac:dyDescent="0.2">
      <c r="A12" s="317" t="s">
        <v>1580</v>
      </c>
      <c r="B12" s="320">
        <f>'DOE25'!G170</f>
        <v>86192.35</v>
      </c>
      <c r="F12" s="317" t="s">
        <v>1593</v>
      </c>
    </row>
    <row r="13" spans="1:9" ht="15" x14ac:dyDescent="0.2">
      <c r="A13" s="317" t="s">
        <v>1581</v>
      </c>
      <c r="B13" s="320">
        <f>'DOE25'!G193-'DOE25'!G180</f>
        <v>0</v>
      </c>
      <c r="F13" s="317" t="s">
        <v>1603</v>
      </c>
    </row>
    <row r="14" spans="1:9" ht="18" x14ac:dyDescent="0.25">
      <c r="A14" s="319" t="s">
        <v>732</v>
      </c>
      <c r="B14" s="321">
        <f>SUM(B9:B13)</f>
        <v>88382.150000000009</v>
      </c>
    </row>
    <row r="16" spans="1:9" ht="18" x14ac:dyDescent="0.25">
      <c r="A16" s="319" t="s">
        <v>786</v>
      </c>
      <c r="F16" s="326" t="s">
        <v>1595</v>
      </c>
    </row>
    <row r="17" spans="1:6" ht="15" x14ac:dyDescent="0.2">
      <c r="A17" s="317" t="s">
        <v>1582</v>
      </c>
      <c r="B17" s="320">
        <f>'DOE25'!L363-'DOE25'!L362</f>
        <v>130416.03999999998</v>
      </c>
      <c r="F17" s="317" t="s">
        <v>1596</v>
      </c>
    </row>
    <row r="18" spans="1:6" ht="15" x14ac:dyDescent="0.2">
      <c r="A18" s="317" t="s">
        <v>1583</v>
      </c>
      <c r="B18" s="330"/>
      <c r="F18" s="326" t="s">
        <v>1620</v>
      </c>
    </row>
    <row r="19" spans="1:6" ht="18" x14ac:dyDescent="0.25">
      <c r="A19" s="319" t="s">
        <v>725</v>
      </c>
      <c r="B19" s="321">
        <f>SUM(B17:B18)</f>
        <v>130416.03999999998</v>
      </c>
    </row>
    <row r="21" spans="1:6" ht="18.75" thickBot="1" x14ac:dyDescent="0.3">
      <c r="A21" s="319" t="s">
        <v>1584</v>
      </c>
    </row>
    <row r="22" spans="1:6" ht="18.75" thickTop="1" x14ac:dyDescent="0.25">
      <c r="A22" s="319" t="s">
        <v>1585</v>
      </c>
      <c r="B22" s="325">
        <f>B14-B19</f>
        <v>-42033.88999999997</v>
      </c>
      <c r="F22" s="317" t="s">
        <v>1597</v>
      </c>
    </row>
    <row r="26" spans="1:6" ht="18" x14ac:dyDescent="0.25">
      <c r="A26" s="319" t="s">
        <v>186</v>
      </c>
    </row>
    <row r="27" spans="1:6" ht="15" x14ac:dyDescent="0.2">
      <c r="A27" s="317" t="s">
        <v>1586</v>
      </c>
      <c r="B27" s="320">
        <f>'DOE25'!G180</f>
        <v>54983.96</v>
      </c>
      <c r="F27" s="317" t="s">
        <v>1598</v>
      </c>
    </row>
    <row r="28" spans="1:6" ht="15" x14ac:dyDescent="0.2">
      <c r="A28" s="317" t="s">
        <v>1588</v>
      </c>
      <c r="B28" s="320">
        <f>'DOE25'!L362</f>
        <v>0</v>
      </c>
      <c r="F28" s="317" t="s">
        <v>1599</v>
      </c>
    </row>
    <row r="31" spans="1:6" ht="15" x14ac:dyDescent="0.2">
      <c r="A31" s="317" t="s">
        <v>1628</v>
      </c>
      <c r="B31" s="320">
        <f>'DOE25'!G466</f>
        <v>21402.43</v>
      </c>
      <c r="F31" s="317" t="s">
        <v>1600</v>
      </c>
    </row>
    <row r="33" spans="1:6" ht="15" x14ac:dyDescent="0.2">
      <c r="A33" s="317" t="s">
        <v>1629</v>
      </c>
      <c r="B33" s="320">
        <f>'DOE25'!G477</f>
        <v>12289.650000000023</v>
      </c>
      <c r="F33" s="317" t="s">
        <v>1601</v>
      </c>
    </row>
    <row r="36" spans="1:6" ht="15" x14ac:dyDescent="0.2">
      <c r="A36" s="317" t="s">
        <v>1587</v>
      </c>
      <c r="B36" s="331">
        <v>15087.11</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 sqref="B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Strafford</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1780814.3</v>
      </c>
      <c r="C9" s="229">
        <f>'DOE25'!G198+'DOE25'!G216+'DOE25'!G234+'DOE25'!G277+'DOE25'!G296+'DOE25'!G315</f>
        <v>877312.39999999991</v>
      </c>
    </row>
    <row r="10" spans="1:3" x14ac:dyDescent="0.2">
      <c r="A10" t="s">
        <v>775</v>
      </c>
      <c r="B10" s="240">
        <f>1559147.06+400+7500+9997.19+19969.5</f>
        <v>1597013.75</v>
      </c>
      <c r="C10" s="240">
        <v>848983.37</v>
      </c>
    </row>
    <row r="11" spans="1:3" x14ac:dyDescent="0.2">
      <c r="A11" t="s">
        <v>776</v>
      </c>
      <c r="B11" s="240">
        <f>88363.36+1600+5852.72</f>
        <v>95816.08</v>
      </c>
      <c r="C11" s="240">
        <v>28329.03</v>
      </c>
    </row>
    <row r="12" spans="1:3" x14ac:dyDescent="0.2">
      <c r="A12" t="s">
        <v>777</v>
      </c>
      <c r="B12" s="240">
        <v>87984.47</v>
      </c>
      <c r="C12" s="240"/>
    </row>
    <row r="13" spans="1:3" x14ac:dyDescent="0.2">
      <c r="A13" t="str">
        <f>IF(B9=B13,IF(C9=C13,"Check Total OK","Check Total Error"),"Check Total Error")</f>
        <v>Check Total OK</v>
      </c>
      <c r="B13" s="231">
        <f>SUM(B10:B12)</f>
        <v>1780814.3</v>
      </c>
      <c r="C13" s="231">
        <f>SUM(C10:C12)</f>
        <v>877312.4</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690034.82000000007</v>
      </c>
      <c r="C18" s="229">
        <f>'DOE25'!G199+'DOE25'!G217+'DOE25'!G235+'DOE25'!G278+'DOE25'!G297+'DOE25'!G316</f>
        <v>363547.07</v>
      </c>
    </row>
    <row r="19" spans="1:3" x14ac:dyDescent="0.2">
      <c r="A19" t="s">
        <v>775</v>
      </c>
      <c r="B19" s="240">
        <f>175247.99+10000+6600+1686.6</f>
        <v>193534.59</v>
      </c>
      <c r="C19" s="240">
        <v>270964</v>
      </c>
    </row>
    <row r="20" spans="1:3" x14ac:dyDescent="0.2">
      <c r="A20" t="s">
        <v>776</v>
      </c>
      <c r="B20" s="240">
        <f>288111.13+149062.9+750.43</f>
        <v>437924.46</v>
      </c>
      <c r="C20" s="240">
        <v>88102.03</v>
      </c>
    </row>
    <row r="21" spans="1:3" x14ac:dyDescent="0.2">
      <c r="A21" t="s">
        <v>777</v>
      </c>
      <c r="B21" s="240">
        <f>37610.44+20965.33</f>
        <v>58575.770000000004</v>
      </c>
      <c r="C21" s="240">
        <v>4481.04</v>
      </c>
    </row>
    <row r="22" spans="1:3" x14ac:dyDescent="0.2">
      <c r="A22" t="str">
        <f>IF(B18=B22,IF(C18=C22,"Check Total OK","Check Total Error"),"Check Total Error")</f>
        <v>Check Total OK</v>
      </c>
      <c r="B22" s="231">
        <f>SUM(B19:B21)</f>
        <v>690034.82000000007</v>
      </c>
      <c r="C22" s="231">
        <f>SUM(C19:C21)</f>
        <v>363547.07</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20428.78</v>
      </c>
      <c r="C36" s="235">
        <f>'DOE25'!G201+'DOE25'!G219+'DOE25'!G237+'DOE25'!G280+'DOE25'!G299+'DOE25'!G318</f>
        <v>3288.4700000000003</v>
      </c>
    </row>
    <row r="37" spans="1:3" x14ac:dyDescent="0.2">
      <c r="A37" t="s">
        <v>775</v>
      </c>
      <c r="B37" s="240">
        <f>1700+600+2500+9940+5688.78</f>
        <v>20428.78</v>
      </c>
      <c r="C37" s="240">
        <f>357.05+201.06+311.5+759.73+231.4+429.15+998.58</f>
        <v>3288.4700000000003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20428.78</v>
      </c>
      <c r="C40" s="231">
        <f>SUM(C37:C39)</f>
        <v>3288.4700000000003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Strafford</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7904869.5100000007</v>
      </c>
      <c r="D5" s="20">
        <f>SUM('DOE25'!L198:L201)+SUM('DOE25'!L216:L219)+SUM('DOE25'!L234:L237)-F5-G5-H5</f>
        <v>7898453.9300000006</v>
      </c>
      <c r="E5" s="243"/>
      <c r="F5" s="244"/>
      <c r="G5" s="53">
        <f>SUM('DOE25'!J198:J201)+SUM('DOE25'!J216:J219)+SUM('DOE25'!J234:J237)</f>
        <v>5640.47</v>
      </c>
      <c r="H5" s="53">
        <f>SUM('DOE25'!K198:K201)+SUM('DOE25'!K216:K219)+SUM('DOE25'!K234:K237)</f>
        <v>775.11</v>
      </c>
      <c r="I5" s="256"/>
    </row>
    <row r="6" spans="1:9" x14ac:dyDescent="0.2">
      <c r="A6" s="32">
        <v>2100</v>
      </c>
      <c r="B6" t="s">
        <v>796</v>
      </c>
      <c r="C6" s="275">
        <f t="shared" si="0"/>
        <v>522035.11</v>
      </c>
      <c r="D6" s="20">
        <f>'DOE25'!L203+'DOE25'!L221+'DOE25'!L239-F6-G6-H6</f>
        <v>517112.02999999997</v>
      </c>
      <c r="E6" s="243"/>
      <c r="F6" s="244"/>
      <c r="G6" s="53">
        <f>'DOE25'!J203+'DOE25'!J221+'DOE25'!J239</f>
        <v>0</v>
      </c>
      <c r="H6" s="53">
        <f>'DOE25'!K203+'DOE25'!K221+'DOE25'!K239</f>
        <v>4923.08</v>
      </c>
      <c r="I6" s="256"/>
    </row>
    <row r="7" spans="1:9" x14ac:dyDescent="0.2">
      <c r="A7" s="32">
        <v>2200</v>
      </c>
      <c r="B7" t="s">
        <v>821</v>
      </c>
      <c r="C7" s="275">
        <f t="shared" si="0"/>
        <v>319908.75</v>
      </c>
      <c r="D7" s="20">
        <f>'DOE25'!L204+'DOE25'!L222+'DOE25'!L240-F7-G7-H7</f>
        <v>252784.77000000002</v>
      </c>
      <c r="E7" s="243"/>
      <c r="F7" s="244"/>
      <c r="G7" s="53">
        <f>'DOE25'!J204+'DOE25'!J222+'DOE25'!J240</f>
        <v>67123.98</v>
      </c>
      <c r="H7" s="53">
        <f>'DOE25'!K204+'DOE25'!K222+'DOE25'!K240</f>
        <v>0</v>
      </c>
      <c r="I7" s="256"/>
    </row>
    <row r="8" spans="1:9" x14ac:dyDescent="0.2">
      <c r="A8" s="32">
        <v>2300</v>
      </c>
      <c r="B8" t="s">
        <v>797</v>
      </c>
      <c r="C8" s="275">
        <f t="shared" si="0"/>
        <v>336611.42</v>
      </c>
      <c r="D8" s="243"/>
      <c r="E8" s="20">
        <f>'DOE25'!L205+'DOE25'!L223+'DOE25'!L241-F8-G8-H8-D9-D11</f>
        <v>332530.12</v>
      </c>
      <c r="F8" s="244"/>
      <c r="G8" s="53">
        <f>'DOE25'!J205+'DOE25'!J223+'DOE25'!J241</f>
        <v>0</v>
      </c>
      <c r="H8" s="53">
        <f>'DOE25'!K205+'DOE25'!K223+'DOE25'!K241</f>
        <v>4081.3</v>
      </c>
      <c r="I8" s="256"/>
    </row>
    <row r="9" spans="1:9" ht="14.25" x14ac:dyDescent="0.2">
      <c r="A9" s="32">
        <v>2310</v>
      </c>
      <c r="B9" s="185" t="s">
        <v>888</v>
      </c>
      <c r="C9" s="275">
        <f t="shared" si="0"/>
        <v>110061</v>
      </c>
      <c r="D9" s="244">
        <f>10000+765+42017+4081+6534+600+546+5200+398+556+9000+30364</f>
        <v>110061</v>
      </c>
      <c r="E9" s="243"/>
      <c r="F9" s="253"/>
      <c r="G9" s="253"/>
      <c r="H9" s="253"/>
      <c r="I9" s="256"/>
    </row>
    <row r="10" spans="1:9" ht="14.25" x14ac:dyDescent="0.2">
      <c r="A10" s="32">
        <v>2317</v>
      </c>
      <c r="B10" s="185" t="s">
        <v>889</v>
      </c>
      <c r="C10" s="275">
        <f t="shared" si="0"/>
        <v>9000</v>
      </c>
      <c r="D10" s="243"/>
      <c r="E10" s="244">
        <v>9000</v>
      </c>
      <c r="F10" s="253"/>
      <c r="G10" s="253"/>
      <c r="H10" s="253"/>
      <c r="I10" s="256"/>
    </row>
    <row r="11" spans="1:9" ht="14.25" x14ac:dyDescent="0.2">
      <c r="A11" s="32">
        <v>2321</v>
      </c>
      <c r="B11" s="185" t="s">
        <v>890</v>
      </c>
      <c r="C11" s="275">
        <f t="shared" si="0"/>
        <v>58896</v>
      </c>
      <c r="D11" s="244">
        <v>58896</v>
      </c>
      <c r="E11" s="243"/>
      <c r="F11" s="253"/>
      <c r="G11" s="253"/>
      <c r="H11" s="253"/>
      <c r="I11" s="256"/>
    </row>
    <row r="12" spans="1:9" x14ac:dyDescent="0.2">
      <c r="A12" s="32">
        <v>2400</v>
      </c>
      <c r="B12" t="s">
        <v>711</v>
      </c>
      <c r="C12" s="275">
        <f t="shared" si="0"/>
        <v>369526.17999999993</v>
      </c>
      <c r="D12" s="20">
        <f>'DOE25'!L206+'DOE25'!L224+'DOE25'!L242-F12-G12-H12</f>
        <v>367362.17999999993</v>
      </c>
      <c r="E12" s="243"/>
      <c r="F12" s="244"/>
      <c r="G12" s="53">
        <f>'DOE25'!J206+'DOE25'!J224+'DOE25'!J242</f>
        <v>0</v>
      </c>
      <c r="H12" s="53">
        <f>'DOE25'!K206+'DOE25'!K224+'DOE25'!K242</f>
        <v>2164</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490685.92</v>
      </c>
      <c r="D14" s="20">
        <f>'DOE25'!L208+'DOE25'!L226+'DOE25'!L244-F14-G14-H14</f>
        <v>480900.92</v>
      </c>
      <c r="E14" s="243"/>
      <c r="F14" s="244"/>
      <c r="G14" s="53">
        <f>'DOE25'!J208+'DOE25'!J226+'DOE25'!J244</f>
        <v>9785</v>
      </c>
      <c r="H14" s="53">
        <f>'DOE25'!K208+'DOE25'!K226+'DOE25'!K244</f>
        <v>0</v>
      </c>
      <c r="I14" s="256"/>
    </row>
    <row r="15" spans="1:9" x14ac:dyDescent="0.2">
      <c r="A15" s="32">
        <v>2700</v>
      </c>
      <c r="B15" t="s">
        <v>799</v>
      </c>
      <c r="C15" s="275">
        <f t="shared" si="0"/>
        <v>485528.01999999996</v>
      </c>
      <c r="D15" s="20">
        <f>'DOE25'!L209+'DOE25'!L227+'DOE25'!L245-F15-G15-H15</f>
        <v>2903.0200000000186</v>
      </c>
      <c r="E15" s="243"/>
      <c r="F15" s="244">
        <f>394795.8+40494.6+47334.6</f>
        <v>482624.99999999994</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391341.5</v>
      </c>
      <c r="D25" s="243"/>
      <c r="E25" s="243"/>
      <c r="F25" s="255"/>
      <c r="G25" s="253"/>
      <c r="H25" s="253"/>
      <c r="I25" s="254">
        <f>'DOE25'!L261+'DOE25'!L262+'DOE25'!L342+'DOE25'!L343</f>
        <v>391341.5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82713.839999999982</v>
      </c>
      <c r="D29" s="283">
        <f>'DOE25'!L359+'DOE25'!L360+'DOE25'!L361-'DOE25'!I368-F29-G29-H29</f>
        <v>82655.839999999982</v>
      </c>
      <c r="E29" s="243"/>
      <c r="F29" s="244"/>
      <c r="G29" s="53">
        <f>'DOE25'!J359+'DOE25'!J360+'DOE25'!J361</f>
        <v>0</v>
      </c>
      <c r="H29" s="53">
        <f>'DOE25'!K359+'DOE25'!K360+'DOE25'!K361</f>
        <v>58</v>
      </c>
      <c r="I29" s="256"/>
    </row>
    <row r="30" spans="1:9" x14ac:dyDescent="0.2">
      <c r="A30" s="32"/>
      <c r="C30" s="276"/>
      <c r="D30" s="20"/>
      <c r="E30" s="280"/>
      <c r="F30" s="270"/>
      <c r="G30" s="53"/>
      <c r="H30" s="53"/>
      <c r="I30" s="256"/>
    </row>
    <row r="31" spans="1:9" x14ac:dyDescent="0.2">
      <c r="A31" s="32" t="s">
        <v>818</v>
      </c>
      <c r="B31" t="s">
        <v>817</v>
      </c>
      <c r="C31" s="275">
        <f>SUM(D31:I31)</f>
        <v>77495.760000000009</v>
      </c>
      <c r="D31" s="20">
        <f>'DOE25'!L291+'DOE25'!L310+'DOE25'!L329+'DOE25'!L334+'DOE25'!L335+'DOE25'!L336-F31-G31-H31</f>
        <v>68479.720000000016</v>
      </c>
      <c r="E31" s="243"/>
      <c r="F31" s="244"/>
      <c r="G31" s="53">
        <f>'DOE25'!J291+'DOE25'!J310+'DOE25'!J329+'DOE25'!J334+'DOE25'!J335+'DOE25'!J336</f>
        <v>7000</v>
      </c>
      <c r="H31" s="53">
        <f>'DOE25'!K291+'DOE25'!K310+'DOE25'!K329+'DOE25'!K334+'DOE25'!K335+'DOE25'!K336</f>
        <v>2016.04</v>
      </c>
      <c r="I31" s="256"/>
    </row>
    <row r="32" spans="1:9" ht="12" thickBot="1" x14ac:dyDescent="0.25">
      <c r="C32" s="276"/>
      <c r="G32" s="251"/>
      <c r="H32" s="251"/>
      <c r="I32" s="258"/>
    </row>
    <row r="33" spans="1:9" ht="12" thickTop="1" x14ac:dyDescent="0.2">
      <c r="B33" t="s">
        <v>809</v>
      </c>
      <c r="D33" s="245">
        <f t="shared" ref="D33:I33" si="1">SUM(D5:D31)</f>
        <v>9839609.4100000001</v>
      </c>
      <c r="E33" s="245">
        <f t="shared" si="1"/>
        <v>341530.12</v>
      </c>
      <c r="F33" s="245">
        <f t="shared" si="1"/>
        <v>482624.99999999994</v>
      </c>
      <c r="G33" s="245">
        <f t="shared" si="1"/>
        <v>89549.45</v>
      </c>
      <c r="H33" s="245">
        <f t="shared" si="1"/>
        <v>14017.529999999999</v>
      </c>
      <c r="I33" s="245">
        <f t="shared" si="1"/>
        <v>391341.5</v>
      </c>
    </row>
    <row r="35" spans="1:9" ht="12" thickBot="1" x14ac:dyDescent="0.25">
      <c r="B35" s="251" t="s">
        <v>831</v>
      </c>
      <c r="D35" s="252">
        <f>E33</f>
        <v>341530.12</v>
      </c>
      <c r="E35" s="248"/>
      <c r="F35" s="335" t="s">
        <v>1632</v>
      </c>
      <c r="G35" s="336"/>
      <c r="H35" s="336"/>
      <c r="I35" s="336"/>
    </row>
    <row r="36" spans="1:9" ht="12" thickTop="1" x14ac:dyDescent="0.2">
      <c r="B36" t="s">
        <v>810</v>
      </c>
      <c r="D36" s="20">
        <f>D33</f>
        <v>9839609.4100000001</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A3" sqref="A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Strafford</v>
      </c>
      <c r="B2" s="126">
        <f>'DOE25'!B2</f>
        <v>507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6397432.379999999</v>
      </c>
      <c r="G4" s="302">
        <f>'DOE25'!L212+'DOE25'!L291</f>
        <v>6397432.379999999</v>
      </c>
      <c r="H4" s="355">
        <f>F4-G4</f>
        <v>0</v>
      </c>
      <c r="I4" s="372" t="str">
        <f>IF(H4=0,"","ISSUES!! Please review page 7 and 11 totals in comparison with total on this page")</f>
        <v/>
      </c>
      <c r="N4"/>
    </row>
    <row r="5" spans="1:18" x14ac:dyDescent="0.2">
      <c r="A5" s="21" t="s">
        <v>1434</v>
      </c>
      <c r="B5" s="303">
        <f>IFERROR(VLOOKUP(A5,'School Tables'!$C$3:$D$365,2,FALSE),"")</f>
        <v>22100</v>
      </c>
      <c r="C5" s="296" t="str">
        <f>IFERROR(INDEX('School Tables'!$B$3:$B$365,MATCH('School Level Expenditures'!B5,'School Tables'!$D$3:$D$365,0)),"")</f>
        <v>Strafford</v>
      </c>
      <c r="D5" s="293">
        <f>'DOE25'!L212</f>
        <v>6321263.8699999992</v>
      </c>
      <c r="E5" s="293">
        <f>'DOE25'!L291</f>
        <v>76168.510000000009</v>
      </c>
      <c r="F5" s="306">
        <f>D5+E5</f>
        <v>6397432.379999999</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6321263.8699999992</v>
      </c>
      <c r="E21" s="353">
        <f>SUM(E5:E20)</f>
        <v>76168.510000000009</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4278185.29</v>
      </c>
      <c r="G36" s="302">
        <f>'DOE25'!L248+'DOE25'!L329</f>
        <v>4278185.29</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f>'DOE25'!L248</f>
        <v>4276858.04</v>
      </c>
      <c r="E37" s="293">
        <f>'DOE25'!L329</f>
        <v>1327.25</v>
      </c>
      <c r="F37" s="306">
        <f t="shared" ref="F37:F42" si="2">D37+E37</f>
        <v>4278185.29</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4276858.04</v>
      </c>
      <c r="E43" s="354">
        <f>SUM(E37:E42)</f>
        <v>1327.25</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B39" sqref="B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Strafford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896651.74</v>
      </c>
      <c r="D8" s="95">
        <f>'DOE25'!G9</f>
        <v>0</v>
      </c>
      <c r="E8" s="95">
        <f>'DOE25'!H9</f>
        <v>0</v>
      </c>
      <c r="F8" s="95">
        <f>'DOE25'!I9</f>
        <v>0</v>
      </c>
      <c r="G8" s="95">
        <f>'DOE25'!J9</f>
        <v>489304.33999999997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12869.82</v>
      </c>
      <c r="D11" s="95">
        <f>'DOE25'!G12</f>
        <v>0</v>
      </c>
      <c r="E11" s="95">
        <f>'DOE25'!H12</f>
        <v>0</v>
      </c>
      <c r="F11" s="95">
        <f>'DOE25'!I12</f>
        <v>0</v>
      </c>
      <c r="G11" s="95">
        <f>'DOE25'!J12</f>
        <v>0</v>
      </c>
      <c r="H11" s="124"/>
      <c r="I11" s="124"/>
    </row>
    <row r="12" spans="1:9" x14ac:dyDescent="0.2">
      <c r="A12" s="1" t="s">
        <v>143</v>
      </c>
      <c r="B12" s="6">
        <v>140</v>
      </c>
      <c r="C12" s="95">
        <f>'DOE25'!F13</f>
        <v>0</v>
      </c>
      <c r="D12" s="95">
        <f>'DOE25'!G13</f>
        <v>12869.82</v>
      </c>
      <c r="E12" s="95">
        <f>'DOE25'!H13</f>
        <v>0</v>
      </c>
      <c r="F12" s="95">
        <f>'DOE25'!I13</f>
        <v>0</v>
      </c>
      <c r="G12" s="95">
        <f>'DOE25'!J13</f>
        <v>0</v>
      </c>
      <c r="H12" s="124"/>
      <c r="I12" s="124"/>
    </row>
    <row r="13" spans="1:9" x14ac:dyDescent="0.2">
      <c r="A13" s="1" t="s">
        <v>144</v>
      </c>
      <c r="B13" s="6">
        <v>150</v>
      </c>
      <c r="C13" s="95">
        <f>'DOE25'!F14</f>
        <v>12123.76</v>
      </c>
      <c r="D13" s="95">
        <f>'DOE25'!G14</f>
        <v>0</v>
      </c>
      <c r="E13" s="95">
        <f>'DOE25'!H14</f>
        <v>39234.800000000003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12289.65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921645.32</v>
      </c>
      <c r="D18" s="41">
        <f>SUM(D8:D17)</f>
        <v>25159.47</v>
      </c>
      <c r="E18" s="41">
        <f>SUM(E8:E17)</f>
        <v>39234.800000000003</v>
      </c>
      <c r="F18" s="41">
        <f>SUM(F8:F17)</f>
        <v>0</v>
      </c>
      <c r="G18" s="41">
        <f>SUM(G8:G17)</f>
        <v>489304.33999999997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12869.82</v>
      </c>
      <c r="E21" s="95">
        <f>'DOE25'!H22</f>
        <v>0</v>
      </c>
      <c r="F21" s="95">
        <f>'DOE25'!I22</f>
        <v>0</v>
      </c>
      <c r="G21" s="95">
        <f>'DOE25'!J22</f>
        <v>0</v>
      </c>
      <c r="H21" s="124"/>
      <c r="I21" s="124"/>
    </row>
    <row r="22" spans="1:9" x14ac:dyDescent="0.2">
      <c r="A22" s="1" t="s">
        <v>151</v>
      </c>
      <c r="B22" s="6">
        <v>410</v>
      </c>
      <c r="C22" s="95">
        <f>'DOE25'!F23</f>
        <v>0</v>
      </c>
      <c r="D22" s="95">
        <f>'DOE25'!G23</f>
        <v>0</v>
      </c>
      <c r="E22" s="95">
        <f>'DOE25'!H23</f>
        <v>28472.84</v>
      </c>
      <c r="F22" s="95">
        <f>'DOE25'!I23</f>
        <v>0</v>
      </c>
      <c r="G22" s="95">
        <f>'DOE25'!J23</f>
        <v>0</v>
      </c>
      <c r="H22" s="124"/>
      <c r="I22" s="124"/>
    </row>
    <row r="23" spans="1:9" x14ac:dyDescent="0.2">
      <c r="A23" s="1" t="s">
        <v>152</v>
      </c>
      <c r="B23" s="6">
        <v>420</v>
      </c>
      <c r="C23" s="95">
        <f>'DOE25'!F24</f>
        <v>0</v>
      </c>
      <c r="D23" s="95">
        <f>'DOE25'!G24</f>
        <v>0</v>
      </c>
      <c r="E23" s="95">
        <f>'DOE25'!H24</f>
        <v>10761.96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108245.23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108245.23</v>
      </c>
      <c r="D31" s="41">
        <f>SUM(D21:D30)</f>
        <v>12869.82</v>
      </c>
      <c r="E31" s="41">
        <f>SUM(E21:E30)</f>
        <v>39234.800000000003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12289.65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343750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91063.03</v>
      </c>
      <c r="D47" s="95">
        <f>'DOE25'!G48</f>
        <v>0</v>
      </c>
      <c r="E47" s="95">
        <f>'DOE25'!H48</f>
        <v>0</v>
      </c>
      <c r="F47" s="95">
        <f>'DOE25'!I48</f>
        <v>0</v>
      </c>
      <c r="G47" s="95">
        <f>'DOE25'!J48</f>
        <v>489304.33999999997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328587.05999999994</v>
      </c>
      <c r="D49" s="24" t="s">
        <v>288</v>
      </c>
      <c r="E49" s="24" t="s">
        <v>288</v>
      </c>
      <c r="F49" s="24" t="s">
        <v>288</v>
      </c>
      <c r="G49" s="24" t="s">
        <v>288</v>
      </c>
      <c r="H49" s="124"/>
      <c r="I49" s="124"/>
    </row>
    <row r="50" spans="1:9" ht="12.75" thickTop="1" thickBot="1" x14ac:dyDescent="0.25">
      <c r="A50" s="38" t="s">
        <v>884</v>
      </c>
      <c r="B50" s="48"/>
      <c r="C50" s="41">
        <f>SUM(C34:C49)</f>
        <v>813400.09</v>
      </c>
      <c r="D50" s="41">
        <f>SUM(D34:D49)</f>
        <v>12289.65</v>
      </c>
      <c r="E50" s="41">
        <f>SUM(E34:E49)</f>
        <v>0</v>
      </c>
      <c r="F50" s="41">
        <f>SUM(F34:F49)</f>
        <v>0</v>
      </c>
      <c r="G50" s="41">
        <f>SUM(G34:G49)</f>
        <v>489304.33999999997</v>
      </c>
      <c r="H50" s="124"/>
      <c r="I50" s="124"/>
    </row>
    <row r="51" spans="1:9" ht="12" thickTop="1" x14ac:dyDescent="0.2">
      <c r="A51" s="38" t="s">
        <v>885</v>
      </c>
      <c r="B51" s="2"/>
      <c r="C51" s="41">
        <f>C50+C31</f>
        <v>921645.32</v>
      </c>
      <c r="D51" s="41">
        <f>D50+D31</f>
        <v>25159.47</v>
      </c>
      <c r="E51" s="41">
        <f>E50+E31</f>
        <v>39234.800000000003</v>
      </c>
      <c r="F51" s="41">
        <f>F50+F31</f>
        <v>0</v>
      </c>
      <c r="G51" s="41">
        <f>G50+G31</f>
        <v>489304.33999999997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8039016</v>
      </c>
      <c r="D56" s="95">
        <f>'DOE25'!G60</f>
        <v>0</v>
      </c>
      <c r="E56" s="95">
        <f>'DOE25'!H60</f>
        <v>0</v>
      </c>
      <c r="F56" s="95">
        <f>'DOE25'!I60</f>
        <v>0</v>
      </c>
      <c r="G56" s="95">
        <f>'DOE25'!J60</f>
        <v>0</v>
      </c>
      <c r="H56"/>
      <c r="I56"/>
    </row>
    <row r="57" spans="1:9" x14ac:dyDescent="0.2">
      <c r="A57" s="1" t="s">
        <v>164</v>
      </c>
      <c r="B57" s="6" t="s">
        <v>165</v>
      </c>
      <c r="C57" s="95">
        <f>'DOE25'!F79</f>
        <v>11241.57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1342.72</v>
      </c>
      <c r="D59" s="95">
        <f>'DOE25'!G96</f>
        <v>0</v>
      </c>
      <c r="E59" s="95">
        <f>'DOE25'!H96</f>
        <v>0</v>
      </c>
      <c r="F59" s="95">
        <f>'DOE25'!I96</f>
        <v>0</v>
      </c>
      <c r="G59" s="95">
        <f>'DOE25'!J96</f>
        <v>6268.77</v>
      </c>
      <c r="H59"/>
      <c r="I59"/>
    </row>
    <row r="60" spans="1:9" x14ac:dyDescent="0.2">
      <c r="A60" s="1" t="s">
        <v>170</v>
      </c>
      <c r="B60" s="118" t="s">
        <v>171</v>
      </c>
      <c r="C60" s="24" t="s">
        <v>288</v>
      </c>
      <c r="D60" s="95">
        <f>'DOE25'!G97</f>
        <v>-101.9</v>
      </c>
      <c r="E60" s="24" t="s">
        <v>288</v>
      </c>
      <c r="F60" s="24" t="s">
        <v>288</v>
      </c>
      <c r="G60" s="24" t="s">
        <v>288</v>
      </c>
      <c r="H60"/>
      <c r="I60"/>
    </row>
    <row r="61" spans="1:9" ht="12" thickBot="1" x14ac:dyDescent="0.25">
      <c r="A61" s="1" t="s">
        <v>172</v>
      </c>
      <c r="B61" s="118" t="s">
        <v>173</v>
      </c>
      <c r="C61" s="95">
        <f>SUM('DOE25'!F98:F110)</f>
        <v>68931.73000000001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81516.02</v>
      </c>
      <c r="D62" s="130">
        <f>SUM(D57:D61)</f>
        <v>-101.9</v>
      </c>
      <c r="E62" s="130">
        <f>SUM(E57:E61)</f>
        <v>0</v>
      </c>
      <c r="F62" s="130">
        <f>SUM(F57:F61)</f>
        <v>0</v>
      </c>
      <c r="G62" s="130">
        <f>SUM(G57:G61)</f>
        <v>6268.77</v>
      </c>
      <c r="H62"/>
      <c r="I62"/>
    </row>
    <row r="63" spans="1:9" ht="12" thickTop="1" x14ac:dyDescent="0.2">
      <c r="A63" s="29" t="s">
        <v>175</v>
      </c>
      <c r="B63" s="6"/>
      <c r="C63" s="22">
        <f>C56+C62</f>
        <v>8120532.0199999996</v>
      </c>
      <c r="D63" s="22">
        <f>D56+D62</f>
        <v>-101.9</v>
      </c>
      <c r="E63" s="22">
        <f>E56+E62</f>
        <v>0</v>
      </c>
      <c r="F63" s="22">
        <f>F56+F62</f>
        <v>0</v>
      </c>
      <c r="G63" s="22">
        <f>G56+G62</f>
        <v>6268.77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2293425.19</v>
      </c>
      <c r="D66" s="24" t="s">
        <v>288</v>
      </c>
      <c r="E66" s="24" t="s">
        <v>288</v>
      </c>
      <c r="F66" s="24" t="s">
        <v>288</v>
      </c>
      <c r="G66" s="24" t="s">
        <v>288</v>
      </c>
      <c r="H66"/>
      <c r="I66"/>
    </row>
    <row r="67" spans="1:9" x14ac:dyDescent="0.2">
      <c r="A67" s="1" t="s">
        <v>770</v>
      </c>
      <c r="B67" s="6">
        <v>3112</v>
      </c>
      <c r="C67" s="95">
        <f>'DOE25'!F118</f>
        <v>1131912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3427332.4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77482.5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2291.6999999999998</v>
      </c>
      <c r="E77" s="95">
        <f>SUM('DOE25'!H131:H135)</f>
        <v>0</v>
      </c>
      <c r="F77" s="95">
        <f>SUM('DOE25'!I131:I135)</f>
        <v>0</v>
      </c>
      <c r="G77" s="95">
        <f>SUM('DOE25'!J131:J135)</f>
        <v>0</v>
      </c>
      <c r="H77"/>
      <c r="I77"/>
    </row>
    <row r="78" spans="1:9" ht="12.75" thickTop="1" thickBot="1" x14ac:dyDescent="0.25">
      <c r="A78" s="29" t="s">
        <v>259</v>
      </c>
      <c r="B78" s="6"/>
      <c r="C78" s="130">
        <f>SUM(C72:C77)</f>
        <v>77482.5</v>
      </c>
      <c r="D78" s="130">
        <f>SUM(D72:D77)</f>
        <v>2291.6999999999998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3504814.9</v>
      </c>
      <c r="D81" s="130">
        <f>SUM(D79:D80)+D78+D70</f>
        <v>2291.6999999999998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171393.54</v>
      </c>
      <c r="D88" s="333">
        <f>SUM('DOE25'!G153:G162)</f>
        <v>86192.35</v>
      </c>
      <c r="E88" s="333">
        <f>SUM('DOE25'!H153:H162)</f>
        <v>77495.759999999995</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171393.54</v>
      </c>
      <c r="D91" s="131">
        <f>SUM(D85:D90)</f>
        <v>86192.35</v>
      </c>
      <c r="E91" s="131">
        <f>SUM(E85:E90)</f>
        <v>77495.759999999995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54983.96</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54983.96</v>
      </c>
      <c r="E103" s="86">
        <f>SUM(E93:E102)</f>
        <v>0</v>
      </c>
      <c r="F103" s="86">
        <f>SUM(F93:F102)</f>
        <v>0</v>
      </c>
      <c r="G103" s="86">
        <f>SUM(G93:G102)</f>
        <v>50000</v>
      </c>
    </row>
    <row r="104" spans="1:7" ht="12.75" thickTop="1" thickBot="1" x14ac:dyDescent="0.25">
      <c r="A104" s="33" t="s">
        <v>761</v>
      </c>
      <c r="C104" s="86">
        <f>C63+C81+C91+C103</f>
        <v>11796740.459999999</v>
      </c>
      <c r="D104" s="86">
        <f>D63+D81+D91+D103</f>
        <v>143366.11000000002</v>
      </c>
      <c r="E104" s="86">
        <f>E63+E81+E91+E103</f>
        <v>77495.759999999995</v>
      </c>
      <c r="F104" s="86">
        <f>F63+F81+F91+F103</f>
        <v>0</v>
      </c>
      <c r="G104" s="86">
        <f>G63+G81+G103</f>
        <v>56268.770000000004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6524647.04</v>
      </c>
      <c r="D109" s="24" t="s">
        <v>288</v>
      </c>
      <c r="E109" s="95">
        <f>('DOE25'!L277)+('DOE25'!L296)+('DOE25'!L315)</f>
        <v>30772.380000000005</v>
      </c>
      <c r="F109" s="24" t="s">
        <v>288</v>
      </c>
      <c r="G109" s="24" t="s">
        <v>288</v>
      </c>
    </row>
    <row r="110" spans="1:7" x14ac:dyDescent="0.2">
      <c r="A110" t="s">
        <v>198</v>
      </c>
      <c r="B110" s="32" t="s">
        <v>199</v>
      </c>
      <c r="C110" s="95">
        <f>('DOE25'!L199)+('DOE25'!L217)+('DOE25'!L235)</f>
        <v>1354017.25</v>
      </c>
      <c r="D110" s="24" t="s">
        <v>288</v>
      </c>
      <c r="E110" s="95">
        <f>('DOE25'!L278)+('DOE25'!L297)+('DOE25'!L316)</f>
        <v>3443.1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26205.22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7904869.5099999998</v>
      </c>
      <c r="D115" s="86">
        <f>SUM(D109:D114)</f>
        <v>0</v>
      </c>
      <c r="E115" s="86">
        <f>SUM(E109:E114)</f>
        <v>34215.480000000003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522035.11</v>
      </c>
      <c r="D118" s="24" t="s">
        <v>288</v>
      </c>
      <c r="E118" s="95">
        <f>+('DOE25'!L282)+('DOE25'!L301)+('DOE25'!L320)</f>
        <v>26868.95</v>
      </c>
      <c r="F118" s="24" t="s">
        <v>288</v>
      </c>
      <c r="G118" s="24" t="s">
        <v>288</v>
      </c>
    </row>
    <row r="119" spans="1:7" x14ac:dyDescent="0.2">
      <c r="A119" t="s">
        <v>208</v>
      </c>
      <c r="B119" s="32" t="s">
        <v>209</v>
      </c>
      <c r="C119" s="95">
        <f>('DOE25'!L204)+('DOE25'!L222)+('DOE25'!L240)</f>
        <v>319908.75</v>
      </c>
      <c r="D119" s="24" t="s">
        <v>288</v>
      </c>
      <c r="E119" s="95">
        <f>+('DOE25'!L283)+('DOE25'!L302)+('DOE25'!L321)</f>
        <v>5745.29</v>
      </c>
      <c r="F119" s="24" t="s">
        <v>288</v>
      </c>
      <c r="G119" s="24" t="s">
        <v>288</v>
      </c>
    </row>
    <row r="120" spans="1:7" x14ac:dyDescent="0.2">
      <c r="A120" t="s">
        <v>210</v>
      </c>
      <c r="B120" s="32" t="s">
        <v>211</v>
      </c>
      <c r="C120" s="95">
        <f>('DOE25'!L205)+('DOE25'!L223)+('DOE25'!L241)</f>
        <v>505568.42</v>
      </c>
      <c r="D120" s="24" t="s">
        <v>288</v>
      </c>
      <c r="E120" s="95">
        <f>+('DOE25'!L284)+('DOE25'!L303)+('DOE25'!L322)</f>
        <v>0</v>
      </c>
      <c r="F120" s="24" t="s">
        <v>288</v>
      </c>
      <c r="G120" s="24" t="s">
        <v>288</v>
      </c>
    </row>
    <row r="121" spans="1:7" x14ac:dyDescent="0.2">
      <c r="A121" t="s">
        <v>212</v>
      </c>
      <c r="B121" s="32" t="s">
        <v>213</v>
      </c>
      <c r="C121" s="95">
        <f>('DOE25'!L206)+('DOE25'!L224)+('DOE25'!L242)</f>
        <v>369526.17999999993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2016.04</v>
      </c>
      <c r="F122" s="24" t="s">
        <v>288</v>
      </c>
      <c r="G122" s="24" t="s">
        <v>288</v>
      </c>
    </row>
    <row r="123" spans="1:7" x14ac:dyDescent="0.2">
      <c r="A123" t="s">
        <v>216</v>
      </c>
      <c r="B123" s="32" t="s">
        <v>217</v>
      </c>
      <c r="C123" s="95">
        <f>('DOE25'!L208)+('DOE25'!L226)+('DOE25'!L244)</f>
        <v>490685.92</v>
      </c>
      <c r="D123" s="24" t="s">
        <v>288</v>
      </c>
      <c r="E123" s="95">
        <f>+('DOE25'!L287)+('DOE25'!L306)+('DOE25'!L325)</f>
        <v>8650</v>
      </c>
      <c r="F123" s="24" t="s">
        <v>288</v>
      </c>
      <c r="G123" s="24" t="s">
        <v>288</v>
      </c>
    </row>
    <row r="124" spans="1:7" x14ac:dyDescent="0.2">
      <c r="A124" t="s">
        <v>218</v>
      </c>
      <c r="B124" s="32" t="s">
        <v>219</v>
      </c>
      <c r="C124" s="95">
        <f>('DOE25'!L209)+('DOE25'!L227)+('DOE25'!L245+'DOE25'!L255)</f>
        <v>485528.01999999996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130416.03999999998</v>
      </c>
      <c r="E127" s="24" t="s">
        <v>288</v>
      </c>
      <c r="F127" s="24" t="s">
        <v>288</v>
      </c>
      <c r="G127" s="24" t="s">
        <v>288</v>
      </c>
    </row>
    <row r="128" spans="1:7" ht="12.75" thickTop="1" thickBot="1" x14ac:dyDescent="0.25">
      <c r="A128" s="33" t="s">
        <v>226</v>
      </c>
      <c r="C128" s="86">
        <f>SUM(C118:C127)</f>
        <v>2693252.4</v>
      </c>
      <c r="D128" s="86">
        <f>SUM(D118:D127)</f>
        <v>130416.03999999998</v>
      </c>
      <c r="E128" s="86">
        <f>SUM(E118:E127)</f>
        <v>43280.28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240000</v>
      </c>
      <c r="D131" s="24" t="s">
        <v>288</v>
      </c>
      <c r="E131" s="129">
        <f>'DOE25'!L342</f>
        <v>0</v>
      </c>
      <c r="F131" s="24" t="s">
        <v>288</v>
      </c>
      <c r="G131" s="24" t="s">
        <v>288</v>
      </c>
    </row>
    <row r="132" spans="1:7" x14ac:dyDescent="0.2">
      <c r="A132" t="s">
        <v>230</v>
      </c>
      <c r="B132" s="32">
        <v>5120</v>
      </c>
      <c r="C132" s="95">
        <f>'DOE25'!L262</f>
        <v>151341.5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54983.96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28134</v>
      </c>
      <c r="D138" s="24" t="s">
        <v>288</v>
      </c>
      <c r="E138" s="24" t="s">
        <v>288</v>
      </c>
      <c r="F138" s="24" t="s">
        <v>288</v>
      </c>
      <c r="G138" s="24" t="s">
        <v>288</v>
      </c>
    </row>
    <row r="139" spans="1:7" x14ac:dyDescent="0.2">
      <c r="A139" t="s">
        <v>239</v>
      </c>
      <c r="B139" s="32">
        <v>5252</v>
      </c>
      <c r="C139" s="95">
        <f>'DOE25'!L402</f>
        <v>28134.77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-6268.7700000000041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44000</v>
      </c>
      <c r="D143" s="24" t="s">
        <v>288</v>
      </c>
      <c r="E143" s="129">
        <f>'DOE25'!L351</f>
        <v>0</v>
      </c>
      <c r="F143" s="24" t="s">
        <v>288</v>
      </c>
      <c r="G143" s="24" t="s">
        <v>288</v>
      </c>
    </row>
    <row r="144" spans="1:7" ht="12" thickBot="1" x14ac:dyDescent="0.25">
      <c r="A144" s="33" t="s">
        <v>243</v>
      </c>
      <c r="C144" s="141">
        <f>SUM(C130:C143)</f>
        <v>540325.46</v>
      </c>
      <c r="D144" s="141">
        <f>SUM(D130:D143)</f>
        <v>0</v>
      </c>
      <c r="E144" s="141">
        <f>SUM(E130:E143)</f>
        <v>0</v>
      </c>
      <c r="F144" s="141">
        <f>SUM(F130:F143)</f>
        <v>0</v>
      </c>
      <c r="G144" s="141">
        <f>SUM(G130:G143)</f>
        <v>0</v>
      </c>
    </row>
    <row r="145" spans="1:9" ht="12.75" thickTop="1" thickBot="1" x14ac:dyDescent="0.25">
      <c r="A145" s="33" t="s">
        <v>244</v>
      </c>
      <c r="C145" s="86">
        <f>(C115+C128+C144)</f>
        <v>11138447.370000001</v>
      </c>
      <c r="D145" s="86">
        <f>(D115+D128+D144)</f>
        <v>130416.03999999998</v>
      </c>
      <c r="E145" s="86">
        <f>(E115+E128+E144)</f>
        <v>77495.760000000009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t="str">
        <f>'DOE25'!F492</f>
        <v>20</v>
      </c>
      <c r="C152" s="152">
        <f>'DOE25'!G492</f>
        <v>0</v>
      </c>
      <c r="D152" s="152">
        <f>'DOE25'!H492</f>
        <v>0</v>
      </c>
      <c r="E152" s="152">
        <f>'DOE25'!I492</f>
        <v>0</v>
      </c>
      <c r="F152" s="152">
        <f>'DOE25'!J492</f>
        <v>0</v>
      </c>
      <c r="G152" s="24" t="s">
        <v>288</v>
      </c>
    </row>
    <row r="153" spans="1:9" x14ac:dyDescent="0.2">
      <c r="A153" s="136" t="s">
        <v>29</v>
      </c>
      <c r="B153" s="152" t="str">
        <f>'DOE25'!F493</f>
        <v>8/10</v>
      </c>
      <c r="C153" s="152">
        <f>'DOE25'!G493</f>
        <v>0</v>
      </c>
      <c r="D153" s="152">
        <f>'DOE25'!H493</f>
        <v>0</v>
      </c>
      <c r="E153" s="152">
        <f>'DOE25'!I493</f>
        <v>0</v>
      </c>
      <c r="F153" s="152">
        <f>'DOE25'!J493</f>
        <v>0</v>
      </c>
      <c r="G153" s="24" t="s">
        <v>288</v>
      </c>
    </row>
    <row r="154" spans="1:9" x14ac:dyDescent="0.2">
      <c r="A154" s="136" t="s">
        <v>30</v>
      </c>
      <c r="B154" s="137" t="str">
        <f>'DOE25'!F494</f>
        <v>8/30</v>
      </c>
      <c r="C154" s="137">
        <f>'DOE25'!G494</f>
        <v>0</v>
      </c>
      <c r="D154" s="137">
        <f>'DOE25'!H494</f>
        <v>0</v>
      </c>
      <c r="E154" s="137">
        <f>'DOE25'!I494</f>
        <v>0</v>
      </c>
      <c r="F154" s="137">
        <f>'DOE25'!J494</f>
        <v>0</v>
      </c>
      <c r="G154" s="24" t="s">
        <v>288</v>
      </c>
    </row>
    <row r="155" spans="1:9" x14ac:dyDescent="0.2">
      <c r="A155" s="136" t="s">
        <v>31</v>
      </c>
      <c r="B155" s="137">
        <f>'DOE25'!F495</f>
        <v>3.99</v>
      </c>
      <c r="C155" s="137">
        <f>'DOE25'!G495</f>
        <v>0</v>
      </c>
      <c r="D155" s="137">
        <f>'DOE25'!H495</f>
        <v>0</v>
      </c>
      <c r="E155" s="137">
        <f>'DOE25'!I495</f>
        <v>0</v>
      </c>
      <c r="F155" s="137">
        <f>'DOE25'!J495</f>
        <v>0</v>
      </c>
      <c r="G155" s="24" t="s">
        <v>288</v>
      </c>
    </row>
    <row r="156" spans="1:9" x14ac:dyDescent="0.2">
      <c r="A156" s="22" t="s">
        <v>32</v>
      </c>
      <c r="B156" s="137">
        <f>'DOE25'!F496</f>
        <v>3440000</v>
      </c>
      <c r="C156" s="137">
        <f>'DOE25'!G496</f>
        <v>0</v>
      </c>
      <c r="D156" s="137">
        <f>'DOE25'!H496</f>
        <v>0</v>
      </c>
      <c r="E156" s="137">
        <f>'DOE25'!I496</f>
        <v>0</v>
      </c>
      <c r="F156" s="137">
        <f>'DOE25'!J496</f>
        <v>0</v>
      </c>
      <c r="G156" s="138">
        <f>SUM(B156:F156)</f>
        <v>3440000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240000</v>
      </c>
      <c r="C158" s="137">
        <f>'DOE25'!G498</f>
        <v>0</v>
      </c>
      <c r="D158" s="137">
        <f>'DOE25'!H498</f>
        <v>0</v>
      </c>
      <c r="E158" s="137">
        <f>'DOE25'!I498</f>
        <v>0</v>
      </c>
      <c r="F158" s="137">
        <f>'DOE25'!J498</f>
        <v>0</v>
      </c>
      <c r="G158" s="138">
        <f t="shared" si="0"/>
        <v>240000</v>
      </c>
    </row>
    <row r="159" spans="1:9" x14ac:dyDescent="0.2">
      <c r="A159" s="22" t="s">
        <v>35</v>
      </c>
      <c r="B159" s="137">
        <f>'DOE25'!F499</f>
        <v>3200000</v>
      </c>
      <c r="C159" s="137">
        <f>'DOE25'!G499</f>
        <v>0</v>
      </c>
      <c r="D159" s="137">
        <f>'DOE25'!H499</f>
        <v>0</v>
      </c>
      <c r="E159" s="137">
        <f>'DOE25'!I499</f>
        <v>0</v>
      </c>
      <c r="F159" s="137">
        <f>'DOE25'!J499</f>
        <v>0</v>
      </c>
      <c r="G159" s="138">
        <f t="shared" si="0"/>
        <v>3200000</v>
      </c>
    </row>
    <row r="160" spans="1:9" x14ac:dyDescent="0.2">
      <c r="A160" s="22" t="s">
        <v>36</v>
      </c>
      <c r="B160" s="137">
        <f>'DOE25'!F500</f>
        <v>867502.5</v>
      </c>
      <c r="C160" s="137">
        <f>'DOE25'!G500</f>
        <v>0</v>
      </c>
      <c r="D160" s="137">
        <f>'DOE25'!H500</f>
        <v>0</v>
      </c>
      <c r="E160" s="137">
        <f>'DOE25'!I500</f>
        <v>0</v>
      </c>
      <c r="F160" s="137">
        <f>'DOE25'!J500</f>
        <v>0</v>
      </c>
      <c r="G160" s="138">
        <f t="shared" si="0"/>
        <v>867502.5</v>
      </c>
    </row>
    <row r="161" spans="1:7" x14ac:dyDescent="0.2">
      <c r="A161" s="22" t="s">
        <v>37</v>
      </c>
      <c r="B161" s="137">
        <f>'DOE25'!F501</f>
        <v>4067502.5</v>
      </c>
      <c r="C161" s="137">
        <f>'DOE25'!G501</f>
        <v>0</v>
      </c>
      <c r="D161" s="137">
        <f>'DOE25'!H501</f>
        <v>0</v>
      </c>
      <c r="E161" s="137">
        <f>'DOE25'!I501</f>
        <v>0</v>
      </c>
      <c r="F161" s="137">
        <f>'DOE25'!J501</f>
        <v>0</v>
      </c>
      <c r="G161" s="138">
        <f t="shared" si="0"/>
        <v>4067502.5</v>
      </c>
    </row>
    <row r="162" spans="1:7" x14ac:dyDescent="0.2">
      <c r="A162" s="22" t="s">
        <v>38</v>
      </c>
      <c r="B162" s="137">
        <f>'DOE25'!F502</f>
        <v>255000</v>
      </c>
      <c r="C162" s="137">
        <f>'DOE25'!G502</f>
        <v>0</v>
      </c>
      <c r="D162" s="137">
        <f>'DOE25'!H502</f>
        <v>0</v>
      </c>
      <c r="E162" s="137">
        <f>'DOE25'!I502</f>
        <v>0</v>
      </c>
      <c r="F162" s="137">
        <f>'DOE25'!J502</f>
        <v>0</v>
      </c>
      <c r="G162" s="138">
        <f t="shared" si="0"/>
        <v>255000</v>
      </c>
    </row>
    <row r="163" spans="1:7" x14ac:dyDescent="0.2">
      <c r="A163" s="22" t="s">
        <v>39</v>
      </c>
      <c r="B163" s="137">
        <f>'DOE25'!F503</f>
        <v>135182.5</v>
      </c>
      <c r="C163" s="137">
        <f>'DOE25'!G503</f>
        <v>0</v>
      </c>
      <c r="D163" s="137">
        <f>'DOE25'!H503</f>
        <v>0</v>
      </c>
      <c r="E163" s="137">
        <f>'DOE25'!I503</f>
        <v>0</v>
      </c>
      <c r="F163" s="137">
        <f>'DOE25'!J503</f>
        <v>0</v>
      </c>
      <c r="G163" s="138">
        <f t="shared" si="0"/>
        <v>135182.5</v>
      </c>
    </row>
    <row r="164" spans="1:7" x14ac:dyDescent="0.2">
      <c r="A164" s="22" t="s">
        <v>246</v>
      </c>
      <c r="B164" s="137">
        <f>'DOE25'!F504</f>
        <v>390182.5</v>
      </c>
      <c r="C164" s="137">
        <f>'DOE25'!G504</f>
        <v>0</v>
      </c>
      <c r="D164" s="137">
        <f>'DOE25'!H504</f>
        <v>0</v>
      </c>
      <c r="E164" s="137">
        <f>'DOE25'!I504</f>
        <v>0</v>
      </c>
      <c r="F164" s="137">
        <f>'DOE25'!J504</f>
        <v>0</v>
      </c>
      <c r="G164" s="138">
        <f t="shared" si="0"/>
        <v>390182.5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D15" sqref="D1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Strafford</v>
      </c>
    </row>
    <row r="3" spans="1:4" x14ac:dyDescent="0.2">
      <c r="B3" s="188" t="s">
        <v>1666</v>
      </c>
    </row>
    <row r="4" spans="1:4" x14ac:dyDescent="0.2">
      <c r="B4" t="s">
        <v>61</v>
      </c>
      <c r="C4" s="179">
        <f>IF('DOE25'!F666+'DOE25'!F671=0,0,ROUND('DOE25'!F673,0))</f>
        <v>15035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15035</v>
      </c>
    </row>
    <row r="9" spans="1:4" x14ac:dyDescent="0.2">
      <c r="A9" s="187" t="s">
        <v>94</v>
      </c>
      <c r="B9" s="188" t="s">
        <v>1671</v>
      </c>
      <c r="C9" s="181" t="s">
        <v>720</v>
      </c>
      <c r="D9" s="181" t="s">
        <v>721</v>
      </c>
    </row>
    <row r="10" spans="1:4" x14ac:dyDescent="0.2">
      <c r="A10">
        <v>1100</v>
      </c>
      <c r="B10" t="s">
        <v>702</v>
      </c>
      <c r="C10" s="179">
        <f>ROUND('DOE25'!L198+'DOE25'!L216+'DOE25'!L234+'DOE25'!L277+'DOE25'!L296+'DOE25'!L315,0)</f>
        <v>6555419</v>
      </c>
      <c r="D10" s="182">
        <f>ROUND((C10/$C$28)*100,1)</f>
        <v>59.6</v>
      </c>
    </row>
    <row r="11" spans="1:4" x14ac:dyDescent="0.2">
      <c r="A11">
        <v>1200</v>
      </c>
      <c r="B11" t="s">
        <v>703</v>
      </c>
      <c r="C11" s="179">
        <f>ROUND('DOE25'!L199+'DOE25'!L217+'DOE25'!L235+'DOE25'!L278+'DOE25'!L297+'DOE25'!L316,0)</f>
        <v>1357460</v>
      </c>
      <c r="D11" s="182">
        <f>ROUND((C11/$C$28)*100,1)</f>
        <v>12.3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26205</v>
      </c>
      <c r="D13" s="182">
        <f>ROUND((C13/$C$28)*100,1)</f>
        <v>0.2</v>
      </c>
    </row>
    <row r="14" spans="1:4" x14ac:dyDescent="0.2">
      <c r="D14" s="182"/>
    </row>
    <row r="15" spans="1:4" x14ac:dyDescent="0.2">
      <c r="A15">
        <v>2100</v>
      </c>
      <c r="B15" t="s">
        <v>706</v>
      </c>
      <c r="C15" s="179">
        <f>ROUND('DOE25'!L203+'DOE25'!L221+'DOE25'!L239+'DOE25'!L282+'DOE25'!L301+'DOE25'!L320,0)</f>
        <v>548904</v>
      </c>
      <c r="D15" s="182">
        <f t="shared" ref="D15:D27" si="0">ROUND((C15/$C$28)*100,1)</f>
        <v>5</v>
      </c>
    </row>
    <row r="16" spans="1:4" x14ac:dyDescent="0.2">
      <c r="A16">
        <v>2200</v>
      </c>
      <c r="B16" t="s">
        <v>707</v>
      </c>
      <c r="C16" s="179">
        <f>ROUND('DOE25'!L204+'DOE25'!L222+'DOE25'!L240+'DOE25'!L283+'DOE25'!L302+'DOE25'!L321,0)</f>
        <v>325654</v>
      </c>
      <c r="D16" s="182">
        <f t="shared" si="0"/>
        <v>3</v>
      </c>
    </row>
    <row r="17" spans="1:4" x14ac:dyDescent="0.2">
      <c r="A17" s="183" t="s">
        <v>723</v>
      </c>
      <c r="B17" t="s">
        <v>738</v>
      </c>
      <c r="C17" s="179">
        <f>ROUND('DOE25'!L205+'DOE25'!L210+'DOE25'!L223+'DOE25'!L228+'DOE25'!L241+'DOE25'!L246+'DOE25'!L284+'DOE25'!L289+'DOE25'!L303+'DOE25'!L308+'DOE25'!L322+'DOE25'!L327,0)</f>
        <v>505568</v>
      </c>
      <c r="D17" s="182">
        <f t="shared" si="0"/>
        <v>4.5999999999999996</v>
      </c>
    </row>
    <row r="18" spans="1:4" x14ac:dyDescent="0.2">
      <c r="A18">
        <v>2400</v>
      </c>
      <c r="B18" t="s">
        <v>711</v>
      </c>
      <c r="C18" s="179">
        <f>ROUND('DOE25'!L206+'DOE25'!L224+'DOE25'!L242+'DOE25'!L285+'DOE25'!L304+'DOE25'!L323,0)</f>
        <v>369526</v>
      </c>
      <c r="D18" s="182">
        <f t="shared" si="0"/>
        <v>3.4</v>
      </c>
    </row>
    <row r="19" spans="1:4" x14ac:dyDescent="0.2">
      <c r="A19">
        <v>2500</v>
      </c>
      <c r="B19" t="s">
        <v>708</v>
      </c>
      <c r="C19" s="179">
        <f>ROUND('DOE25'!L207+'DOE25'!L225+'DOE25'!L243+'DOE25'!L286+'DOE25'!L305+'DOE25'!L324,0)</f>
        <v>2016</v>
      </c>
      <c r="D19" s="182">
        <f t="shared" si="0"/>
        <v>0</v>
      </c>
    </row>
    <row r="20" spans="1:4" x14ac:dyDescent="0.2">
      <c r="A20">
        <v>2600</v>
      </c>
      <c r="B20" t="s">
        <v>709</v>
      </c>
      <c r="C20" s="179">
        <f>ROUND('DOE25'!L208+'DOE25'!L226+'DOE25'!L244+'DOE25'!L287+'DOE25'!L306+'DOE25'!L325,0)</f>
        <v>499336</v>
      </c>
      <c r="D20" s="182">
        <f t="shared" si="0"/>
        <v>4.5</v>
      </c>
    </row>
    <row r="21" spans="1:4" x14ac:dyDescent="0.2">
      <c r="A21">
        <v>2700</v>
      </c>
      <c r="B21" t="s">
        <v>710</v>
      </c>
      <c r="C21" s="179">
        <f>ROUND('DOE25'!L209+'DOE25'!L227+'DOE25'!L245+'DOE25'!L288+'DOE25'!L307+'DOE25'!L326,0)</f>
        <v>485528</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151342</v>
      </c>
      <c r="D25" s="182">
        <f t="shared" si="0"/>
        <v>1.4</v>
      </c>
    </row>
    <row r="26" spans="1:4" x14ac:dyDescent="0.2">
      <c r="A26" s="183" t="s">
        <v>717</v>
      </c>
      <c r="B26" t="s">
        <v>718</v>
      </c>
      <c r="C26" s="179">
        <f>'DOE25'!L269+'DOE25'!L270+'DOE25'!L350+'DOE25'!L351</f>
        <v>44000</v>
      </c>
      <c r="D26" s="182">
        <f t="shared" si="0"/>
        <v>0.4</v>
      </c>
    </row>
    <row r="27" spans="1:4" x14ac:dyDescent="0.2">
      <c r="A27">
        <v>3100</v>
      </c>
      <c r="B27" t="s">
        <v>11</v>
      </c>
      <c r="C27" s="179">
        <f>ROUND('DOE25'!L363-'DOE25'!L362,0)-SUM('DOE25'!G97:G110)</f>
        <v>130517.9</v>
      </c>
      <c r="D27" s="182">
        <f t="shared" si="0"/>
        <v>1.2</v>
      </c>
    </row>
    <row r="28" spans="1:4" x14ac:dyDescent="0.2">
      <c r="B28" s="187" t="s">
        <v>719</v>
      </c>
      <c r="C28" s="180">
        <f>SUM(C10:C27)</f>
        <v>11001475.9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11001475.9</v>
      </c>
    </row>
    <row r="31" spans="1:4" x14ac:dyDescent="0.2">
      <c r="B31" s="33"/>
      <c r="C31" s="180"/>
    </row>
    <row r="32" spans="1:4" x14ac:dyDescent="0.2">
      <c r="A32">
        <v>5100</v>
      </c>
      <c r="B32" s="33" t="s">
        <v>726</v>
      </c>
      <c r="C32" s="180">
        <f>ROUND('DOE25'!L261+'DOE25'!L342,0)</f>
        <v>240000</v>
      </c>
    </row>
    <row r="34" spans="1:4" x14ac:dyDescent="0.2">
      <c r="A34" s="187" t="s">
        <v>94</v>
      </c>
      <c r="B34" s="188" t="s">
        <v>1667</v>
      </c>
      <c r="C34" s="181" t="s">
        <v>720</v>
      </c>
      <c r="D34" s="181" t="s">
        <v>721</v>
      </c>
    </row>
    <row r="35" spans="1:4" x14ac:dyDescent="0.2">
      <c r="A35">
        <v>1100</v>
      </c>
      <c r="B35" s="185" t="s">
        <v>727</v>
      </c>
      <c r="C35" s="179">
        <f>ROUND('DOE25'!F60+'DOE25'!G60+'DOE25'!H60+'DOE25'!I60+'DOE25'!J60,0)</f>
        <v>8039016</v>
      </c>
      <c r="D35" s="182">
        <f t="shared" ref="D35:D40" si="1">ROUND((C35/$C$41)*100,1)</f>
        <v>67.2</v>
      </c>
    </row>
    <row r="36" spans="1:4" x14ac:dyDescent="0.2">
      <c r="B36" s="185" t="s">
        <v>739</v>
      </c>
      <c r="C36" s="179">
        <f>SUM('DOE25'!F112:J112)-SUM('DOE25'!G97:G110)+('DOE25'!F175+'DOE25'!F176+'DOE25'!I175+'DOE25'!I176)-C35</f>
        <v>87784.790000000037</v>
      </c>
      <c r="D36" s="182">
        <f t="shared" si="1"/>
        <v>0.7</v>
      </c>
    </row>
    <row r="37" spans="1:4" x14ac:dyDescent="0.2">
      <c r="A37" s="183" t="s">
        <v>835</v>
      </c>
      <c r="B37" s="185" t="s">
        <v>728</v>
      </c>
      <c r="C37" s="179">
        <f>ROUND('DOE25'!F117+'DOE25'!F118,0)</f>
        <v>3425337</v>
      </c>
      <c r="D37" s="182">
        <f t="shared" si="1"/>
        <v>28.6</v>
      </c>
    </row>
    <row r="38" spans="1:4" x14ac:dyDescent="0.2">
      <c r="A38" s="183" t="s">
        <v>734</v>
      </c>
      <c r="B38" s="185" t="s">
        <v>729</v>
      </c>
      <c r="C38" s="179">
        <f>ROUND(SUM('DOE25'!F140:J140)-SUM('DOE25'!F117:F119),0)</f>
        <v>81769</v>
      </c>
      <c r="D38" s="182">
        <f t="shared" si="1"/>
        <v>0.7</v>
      </c>
    </row>
    <row r="39" spans="1:4" x14ac:dyDescent="0.2">
      <c r="A39">
        <v>4000</v>
      </c>
      <c r="B39" s="185" t="s">
        <v>730</v>
      </c>
      <c r="C39" s="179">
        <f>ROUND('DOE25'!F170+'DOE25'!G170+'DOE25'!H170+'DOE25'!I170,0)</f>
        <v>335082</v>
      </c>
      <c r="D39" s="182">
        <f t="shared" si="1"/>
        <v>2.8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11968988.789999999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7" sqref="C17:M17"/>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Strafford</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2021-09-30T12:02:32Z</cp:lastPrinted>
  <dcterms:created xsi:type="dcterms:W3CDTF">1997-12-04T19:04:30Z</dcterms:created>
  <dcterms:modified xsi:type="dcterms:W3CDTF">2021-12-09T19:55:43Z</dcterms:modified>
</cp:coreProperties>
</file>