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225" yWindow="465" windowWidth="30555" windowHeight="1903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57" i="1" l="1"/>
  <c r="F442" i="1"/>
  <c r="J46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J652" i="1" l="1"/>
  <c r="H663" i="1"/>
  <c r="D15" i="13"/>
  <c r="C15" i="13" s="1"/>
  <c r="J258" i="1"/>
  <c r="E123" i="2"/>
  <c r="E119" i="2"/>
  <c r="E110" i="2"/>
  <c r="D6" i="13"/>
  <c r="C6" i="13" s="1"/>
  <c r="E13" i="13"/>
  <c r="C13" i="13" s="1"/>
  <c r="C120" i="2"/>
  <c r="H409" i="1"/>
  <c r="H645" i="1" s="1"/>
  <c r="J645" i="1" s="1"/>
  <c r="G339" i="1"/>
  <c r="G353" i="1" s="1"/>
  <c r="G662" i="1"/>
  <c r="J572" i="1"/>
  <c r="H477" i="1"/>
  <c r="H625" i="1" s="1"/>
  <c r="D50" i="2"/>
  <c r="E131" i="2"/>
  <c r="G553" i="1"/>
  <c r="F258" i="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H649" i="1"/>
  <c r="J653" i="1"/>
  <c r="G572" i="1"/>
  <c r="I435" i="1"/>
  <c r="G435" i="1"/>
  <c r="I664" i="1"/>
  <c r="C141" i="2" l="1"/>
  <c r="C81" i="2"/>
  <c r="F194" i="1"/>
  <c r="G628" i="1" s="1"/>
  <c r="J628" i="1" s="1"/>
  <c r="H661" i="1"/>
  <c r="H665" i="1" s="1"/>
  <c r="H668" i="1" s="1"/>
  <c r="H194" i="1"/>
  <c r="G630" i="1" s="1"/>
  <c r="J630" i="1" s="1"/>
  <c r="F51" i="2"/>
  <c r="H36" i="14"/>
  <c r="I36" i="14" s="1"/>
  <c r="G36" i="14"/>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<sst xmlns="http://schemas.openxmlformats.org/spreadsheetml/2006/main" count="5572" uniqueCount="1673">
  <si>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</si>
  <si>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</si>
  <si>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</si>
  <si>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</si>
  <si>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</si>
  <si>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</si>
  <si>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</si>
  <si>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</si>
  <si>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</si>
  <si>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</si>
  <si>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</si>
  <si>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</si>
  <si>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</si>
  <si>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</si>
  <si>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</si>
  <si>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</si>
  <si>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</si>
  <si>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</si>
  <si>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</si>
  <si>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</si>
  <si>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</si>
  <si>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</si>
  <si>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</si>
  <si>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</si>
  <si>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</si>
  <si>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</si>
  <si>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</si>
  <si>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</si>
  <si>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</si>
  <si>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</si>
  <si>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</si>
  <si>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</si>
  <si>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</si>
  <si>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</si>
  <si>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</si>
  <si>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</si>
  <si>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</si>
  <si>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</si>
  <si>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</si>
  <si>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</si>
  <si>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</si>
  <si>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</si>
  <si>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</si>
  <si>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</si>
  <si>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</si>
  <si>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</si>
  <si>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</si>
  <si>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</si>
  <si>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</si>
  <si>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</si>
  <si>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</si>
  <si>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</si>
  <si>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</si>
  <si>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</si>
  <si>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</si>
  <si>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</si>
  <si>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</si>
  <si>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</si>
  <si>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</si>
  <si>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</si>
  <si>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</si>
  <si>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</si>
  <si>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</si>
  <si>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</si>
  <si>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</si>
  <si>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</si>
  <si>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</si>
  <si>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</si>
  <si>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</si>
  <si>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</si>
  <si>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</si>
  <si>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</si>
  <si>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</si>
  <si>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</si>
  <si>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</si>
  <si>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</si>
  <si>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</si>
  <si>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</si>
  <si>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</si>
  <si>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</si>
  <si>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</si>
  <si>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</si>
  <si>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</si>
  <si>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</si>
  <si>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</si>
  <si>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</si>
  <si>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</si>
  <si>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</si>
  <si>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</si>
  <si>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</si>
  <si>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</si>
  <si>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</si>
  <si>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</si>
  <si>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</si>
  <si>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</si>
  <si>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</si>
  <si>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</si>
  <si>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</si>
  <si>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</si>
  <si>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</si>
  <si>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</si>
  <si>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</si>
  <si>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</si>
  <si>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</si>
  <si>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</si>
  <si>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</si>
  <si>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</si>
  <si>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</si>
  <si>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</si>
  <si>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</si>
  <si>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</si>
  <si>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</si>
  <si>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</si>
  <si>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</si>
  <si>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</si>
  <si>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</si>
  <si>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</si>
  <si>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</si>
  <si>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</si>
  <si>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</si>
  <si>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</si>
  <si>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</si>
  <si>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</si>
  <si>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</si>
  <si>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</si>
  <si>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</si>
  <si>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</si>
  <si>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</si>
  <si>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</si>
  <si>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</si>
  <si>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</si>
  <si>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</si>
  <si>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</si>
  <si>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</si>
  <si>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</si>
  <si>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</si>
  <si>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</si>
  <si>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</si>
  <si>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</si>
  <si>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</si>
  <si>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</si>
  <si>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</si>
  <si>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</si>
  <si>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</si>
  <si>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</si>
  <si>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</si>
  <si>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</si>
  <si>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</si>
  <si>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</si>
  <si>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</si>
  <si>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</si>
  <si>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</si>
  <si>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</si>
  <si>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</si>
  <si>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</si>
  <si>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</si>
  <si>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</si>
  <si>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</si>
  <si>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</si>
  <si>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</si>
  <si>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</si>
  <si>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</si>
  <si>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</si>
  <si>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</si>
  <si>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</si>
  <si>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</si>
  <si>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</si>
  <si>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</si>
  <si>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</si>
  <si>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</si>
  <si>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</si>
  <si>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</si>
  <si>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</si>
  <si>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</si>
  <si>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</si>
  <si>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</si>
  <si>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</si>
  <si>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</si>
  <si>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</si>
  <si>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</si>
  <si>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</si>
  <si>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</si>
  <si>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</si>
  <si>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</si>
  <si>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</si>
  <si>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</si>
  <si>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</si>
  <si>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</si>
  <si>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</si>
  <si>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</si>
  <si>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</si>
  <si>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</si>
  <si>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</si>
  <si>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</si>
  <si>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</si>
  <si>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</si>
  <si>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</si>
  <si>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</si>
  <si>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</si>
  <si>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</si>
  <si>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</si>
  <si>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</si>
  <si>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</si>
  <si>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</si>
  <si>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</si>
  <si>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</si>
  <si>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</si>
  <si>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</si>
  <si>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</si>
  <si>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</si>
  <si>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</si>
  <si>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</si>
  <si>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</si>
  <si>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</si>
  <si>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</si>
  <si>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</si>
  <si>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</si>
  <si>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</si>
  <si>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</si>
  <si>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</si>
  <si>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</si>
  <si>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</si>
  <si>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</si>
  <si>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</si>
  <si>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</si>
  <si>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</si>
  <si>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</si>
  <si>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</si>
  <si>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</si>
  <si>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</si>
  <si>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</si>
  <si>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</si>
  <si>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</si>
  <si>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</si>
  <si>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</si>
  <si>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</si>
  <si>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</si>
  <si>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</si>
  <si>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</si>
  <si>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</si>
  <si>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</si>
  <si>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</si>
  <si>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</si>
  <si>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</si>
  <si>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</si>
  <si>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</si>
  <si>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</si>
  <si>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</si>
  <si>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</si>
  <si>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</si>
  <si>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</si>
  <si>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</si>
  <si>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</si>
  <si>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</si>
  <si>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</si>
  <si>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</si>
  <si>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</si>
  <si>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</si>
  <si>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</si>
  <si>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</si>
  <si>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</si>
  <si>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</si>
  <si>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</si>
  <si>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</si>
  <si>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</si>
  <si>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</si>
  <si>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</si>
  <si>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</si>
  <si>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</si>
  <si>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</si>
  <si>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</si>
  <si>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</si>
  <si>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</si>
  <si>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</si>
  <si>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</si>
  <si>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</si>
  <si>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</si>
  <si>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</si>
  <si>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</si>
  <si>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</si>
  <si>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</si>
  <si>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</si>
  <si>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</si>
  <si>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</si>
  <si>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</si>
  <si>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</si>
  <si>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</si>
  <si>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</si>
  <si>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</si>
  <si>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</si>
  <si>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</si>
  <si>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</si>
  <si>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</si>
  <si>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</si>
  <si>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</si>
  <si>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</si>
  <si>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</si>
  <si>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</si>
  <si>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</si>
  <si>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</si>
  <si>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</si>
  <si>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</si>
  <si>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</si>
  <si>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</si>
  <si>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</si>
  <si>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</si>
  <si>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</si>
  <si>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</si>
  <si>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</si>
  <si>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</si>
  <si>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</si>
  <si>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</si>
  <si>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</si>
  <si>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</si>
  <si>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</si>
  <si>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</si>
  <si>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</si>
  <si>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</si>
  <si>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</si>
  <si>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</si>
  <si>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</si>
  <si>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</si>
  <si>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</si>
  <si>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</si>
  <si>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</si>
  <si>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</si>
  <si>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</si>
  <si>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</si>
  <si>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</si>
  <si>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</si>
  <si>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</si>
  <si>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</si>
  <si>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</si>
  <si>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</si>
  <si>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</si>
  <si>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</si>
  <si>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</si>
  <si>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</si>
  <si>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</si>
  <si>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</si>
  <si>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</si>
  <si>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</si>
  <si>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</si>
  <si>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</si>
  <si>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</si>
  <si>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</si>
  <si>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</si>
  <si>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</si>
  <si>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</si>
  <si>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</si>
  <si>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</si>
  <si>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</si>
  <si>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</si>
  <si>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</si>
  <si>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</si>
  <si>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</si>
  <si>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</si>
  <si>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</si>
  <si>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</si>
  <si>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</si>
  <si>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</si>
  <si>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</si>
  <si>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</si>
  <si>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</si>
  <si>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</si>
  <si>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</si>
  <si>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</si>
  <si>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</si>
  <si>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</si>
  <si>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</si>
  <si>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</si>
  <si>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</si>
  <si>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</si>
  <si>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</si>
  <si>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</si>
  <si>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</si>
  <si>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</si>
  <si>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</si>
  <si>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</si>
  <si>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</si>
  <si>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</si>
  <si>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</si>
  <si>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</si>
  <si>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</si>
  <si>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</si>
  <si>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</si>
  <si>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</si>
  <si>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</si>
  <si>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</si>
  <si>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</si>
  <si>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</si>
  <si>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</si>
  <si>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</si>
  <si>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</si>
  <si>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</si>
  <si>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</si>
  <si>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</si>
  <si>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</si>
  <si>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</si>
  <si>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</si>
  <si>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</si>
  <si>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</si>
  <si>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</si>
  <si>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</si>
  <si>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</si>
  <si>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</si>
  <si>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</si>
  <si>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</si>
  <si>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</si>
  <si>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</si>
  <si>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</si>
  <si>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</si>
  <si>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</si>
  <si>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</si>
  <si>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</si>
  <si>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</si>
  <si>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</si>
  <si>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</si>
  <si>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</si>
  <si>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</si>
  <si>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</si>
  <si>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</si>
  <si>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</si>
  <si>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</si>
  <si>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</si>
  <si>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</si>
  <si>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</si>
  <si>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</si>
  <si>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</si>
  <si>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</si>
  <si>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</si>
  <si>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</si>
  <si>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</si>
  <si>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</si>
  <si>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</si>
  <si>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</si>
  <si>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</si>
  <si>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</si>
  <si>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</si>
  <si>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</si>
  <si>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</si>
  <si>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</si>
  <si>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</si>
  <si>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</si>
  <si>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</si>
  <si>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</si>
  <si>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</si>
  <si>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</si>
  <si>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</si>
  <si>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</si>
  <si>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</si>
  <si>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</si>
  <si>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</si>
  <si>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</si>
  <si>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</si>
  <si>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</si>
  <si>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</si>
  <si>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</si>
  <si>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</si>
  <si>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</si>
  <si>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</si>
  <si>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</si>
  <si>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</si>
  <si>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</si>
  <si>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</si>
  <si>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</si>
  <si>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</si>
  <si>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</si>
  <si>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</si>
  <si>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</si>
  <si>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</si>
  <si>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</si>
  <si>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</si>
  <si>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</si>
  <si>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</si>
  <si>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</si>
  <si>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</si>
  <si>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</si>
  <si>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</si>
  <si>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</si>
  <si>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</si>
  <si>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</si>
  <si>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</si>
  <si>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</si>
  <si>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</si>
  <si>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</si>
  <si>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</si>
  <si>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</si>
  <si>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</si>
  <si>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</si>
  <si>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</si>
  <si>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</si>
  <si>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</si>
  <si>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</si>
  <si>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</si>
  <si>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</si>
  <si>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</si>
  <si>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</si>
  <si>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</si>
  <si>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</si>
  <si>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</si>
  <si>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</si>
  <si>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</si>
  <si>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</si>
  <si>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</si>
  <si>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</si>
  <si>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</si>
  <si>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</si>
  <si>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</si>
  <si>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</si>
  <si>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</si>
  <si>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</si>
  <si>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</si>
  <si>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</si>
  <si>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</si>
  <si>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</si>
  <si>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</si>
  <si>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</si>
  <si>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</si>
  <si>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</si>
  <si>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</si>
  <si>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</si>
  <si>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</si>
  <si>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</si>
  <si>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</si>
  <si>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</si>
  <si>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</si>
  <si>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</si>
  <si>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</si>
  <si>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</si>
  <si>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</si>
  <si>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</si>
  <si>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</si>
  <si>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</si>
  <si>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</si>
  <si>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</si>
  <si>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</si>
  <si>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</si>
  <si>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</si>
  <si>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</si>
  <si>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</si>
  <si>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</si>
  <si>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</si>
  <si>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</si>
  <si>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</si>
  <si>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</si>
  <si>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</si>
  <si>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</si>
  <si>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</si>
  <si>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</si>
  <si>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</si>
  <si>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</si>
  <si>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</si>
  <si>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</si>
  <si>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</si>
  <si>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</si>
  <si>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</si>
  <si>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</si>
  <si>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</si>
  <si>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</si>
  <si>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</si>
  <si>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</si>
  <si>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</si>
  <si>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</si>
  <si>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</si>
  <si>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</si>
  <si>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</si>
  <si>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</si>
  <si>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</si>
  <si>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</si>
  <si>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</si>
  <si>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</si>
  <si>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</si>
  <si>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</si>
  <si>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</si>
  <si>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</si>
  <si>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</si>
  <si>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</si>
  <si>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</si>
  <si>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</si>
  <si>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</si>
  <si>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</si>
  <si>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</si>
  <si>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</si>
  <si>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</si>
  <si>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</si>
  <si>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</si>
  <si>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</si>
  <si>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</si>
  <si>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</si>
  <si>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</si>
  <si>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</si>
  <si>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</si>
  <si>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</si>
  <si>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</si>
  <si>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</si>
  <si>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</si>
  <si>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</si>
  <si>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</si>
  <si>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</si>
  <si>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</si>
  <si>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</si>
  <si>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</si>
  <si>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</si>
  <si>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</si>
  <si>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</si>
  <si>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</si>
  <si>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</si>
  <si>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</si>
  <si>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</si>
  <si>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</si>
  <si>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</si>
  <si>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</si>
  <si>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</si>
  <si>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</si>
  <si>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</si>
  <si>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</si>
  <si>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</si>
  <si>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</si>
  <si>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</si>
  <si>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</si>
  <si>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</si>
  <si>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</si>
  <si>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</si>
  <si>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</si>
  <si>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</si>
  <si>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</si>
  <si>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</si>
  <si>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</si>
  <si>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</si>
  <si>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</si>
  <si>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</si>
  <si>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</si>
  <si>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</si>
  <si>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</si>
  <si>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</si>
  <si>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</si>
  <si>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</si>
  <si>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</si>
  <si>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</si>
  <si>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</si>
  <si>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</si>
  <si>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</si>
  <si>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</si>
  <si>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</si>
  <si>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</si>
  <si>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</si>
  <si>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</si>
  <si>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</si>
  <si>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</si>
  <si>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</si>
  <si>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</si>
  <si>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</si>
  <si>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</si>
  <si>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</si>
  <si>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</si>
  <si>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</si>
  <si>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</si>
  <si>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</si>
  <si>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</si>
  <si>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</si>
  <si>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</si>
  <si>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</si>
  <si>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</si>
  <si>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</si>
  <si>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</si>
  <si>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</si>
  <si>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</si>
  <si>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</si>
  <si>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</si>
  <si>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</si>
  <si>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</si>
  <si>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</si>
  <si>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</si>
  <si>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</si>
  <si>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</si>
  <si>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</si>
  <si>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</si>
  <si>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</si>
  <si>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</si>
  <si>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</si>
  <si>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</si>
  <si>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</si>
  <si>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</si>
  <si>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</si>
  <si>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</si>
  <si>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</si>
  <si>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</si>
  <si>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</si>
  <si>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</si>
  <si>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</si>
  <si>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</si>
  <si>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</si>
  <si>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</si>
  <si>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</si>
  <si>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</si>
  <si>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</si>
  <si>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</si>
  <si>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</si>
  <si>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</si>
  <si>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</si>
  <si>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</si>
  <si>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</si>
  <si>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</si>
  <si>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</si>
  <si>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</si>
  <si>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</si>
  <si>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</si>
  <si>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</si>
  <si>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</si>
  <si>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</si>
  <si>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</si>
  <si>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</si>
  <si>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</si>
  <si>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</si>
  <si>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</si>
  <si>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</si>
  <si>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</si>
  <si>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</si>
  <si>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</si>
  <si>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</si>
  <si>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</si>
  <si>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</si>
  <si>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</si>
  <si>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</si>
  <si>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</si>
  <si>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</si>
  <si>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</si>
  <si>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</si>
  <si>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</si>
  <si>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</si>
  <si>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</si>
  <si>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</si>
  <si>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</si>
  <si>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</si>
  <si>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</si>
  <si>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</si>
  <si>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</si>
  <si>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</si>
  <si>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</si>
  <si>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</si>
  <si>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</si>
  <si>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</si>
  <si>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</si>
  <si>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</si>
  <si>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</si>
  <si>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</si>
  <si>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</si>
  <si>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</si>
  <si>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</si>
  <si>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</si>
  <si>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</si>
  <si>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</si>
  <si>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</si>
  <si>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</si>
  <si>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</si>
  <si>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</si>
  <si>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</si>
  <si>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</si>
  <si>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</si>
  <si>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</si>
  <si>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</si>
  <si>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</si>
  <si>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</si>
  <si>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</si>
  <si>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</si>
  <si>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</si>
  <si>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</si>
  <si>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</si>
  <si>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</si>
  <si>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</si>
  <si>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</si>
  <si>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</si>
  <si>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</si>
  <si>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</si>
  <si>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</si>
  <si>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</si>
  <si>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</si>
  <si>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</si>
  <si>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</si>
  <si>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</si>
  <si>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</si>
  <si>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</si>
  <si>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</si>
  <si>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</si>
  <si>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</si>
  <si>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</si>
  <si>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</si>
  <si>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</si>
  <si>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</si>
  <si>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</si>
  <si>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</si>
  <si>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</si>
  <si>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</si>
  <si>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</si>
  <si>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</si>
  <si>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</si>
  <si>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</si>
  <si>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</si>
  <si>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</si>
  <si>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</si>
  <si>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</si>
  <si>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</si>
  <si>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</si>
  <si>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</si>
  <si>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</si>
  <si>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</si>
  <si>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</si>
  <si>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</si>
  <si>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</si>
  <si>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</si>
  <si>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</si>
  <si>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</si>
  <si>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</si>
  <si>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</si>
  <si>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</si>
  <si>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</si>
  <si>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</si>
  <si>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</si>
  <si>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</si>
  <si>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</si>
  <si>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</si>
  <si>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</si>
  <si>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</si>
  <si>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</si>
  <si>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</si>
  <si>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</si>
  <si>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</si>
  <si>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</si>
  <si>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</si>
  <si>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</si>
  <si>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</si>
  <si>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</si>
  <si>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</si>
  <si>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</si>
  <si>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</si>
  <si>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</si>
  <si>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</si>
  <si>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</si>
  <si>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</si>
  <si>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</si>
  <si>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</si>
  <si>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</si>
  <si>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</si>
  <si>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</si>
  <si>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</si>
  <si>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</si>
  <si>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</si>
  <si>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</si>
  <si>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</si>
  <si>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</si>
  <si>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</si>
  <si>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</si>
  <si>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</si>
  <si>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</si>
  <si>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</si>
  <si>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</si>
  <si>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</si>
  <si>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</si>
  <si>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</si>
  <si>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</si>
  <si>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</si>
  <si>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</si>
  <si>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</si>
  <si>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</si>
  <si>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</si>
  <si>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</si>
  <si>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</si>
  <si>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</si>
  <si>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</si>
  <si>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</si>
  <si>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</si>
  <si>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</si>
  <si>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</si>
  <si>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</si>
  <si>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</si>
  <si>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</si>
  <si>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</si>
  <si>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</si>
  <si>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</si>
  <si>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</si>
  <si>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</si>
  <si>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</si>
  <si>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</si>
  <si>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</si>
  <si>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</si>
  <si>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</si>
  <si>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</si>
  <si>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</si>
  <si>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</si>
  <si>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</si>
  <si>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</si>
  <si>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</si>
  <si>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</si>
  <si>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</si>
  <si>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</si>
  <si>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</si>
  <si>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</si>
  <si>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</si>
  <si>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</si>
  <si>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</si>
  <si>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</si>
  <si>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</si>
  <si>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</si>
  <si>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</si>
  <si>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</si>
  <si>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</si>
  <si>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</si>
  <si>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</si>
  <si>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</si>
  <si>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</si>
  <si>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</si>
  <si>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</si>
  <si>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</si>
  <si>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</si>
  <si>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</si>
  <si>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</si>
  <si>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</si>
  <si>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</si>
  <si>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</si>
  <si>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</si>
  <si>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</si>
  <si>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</si>
  <si>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</si>
  <si>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</si>
  <si>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</si>
  <si>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</si>
  <si>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</si>
  <si>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</si>
  <si>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</si>
  <si>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</si>
  <si>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</si>
  <si>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</si>
  <si>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</si>
  <si>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</si>
  <si>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</si>
  <si>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</si>
  <si>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</si>
  <si>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</si>
  <si>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</si>
  <si>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</si>
  <si>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</si>
  <si>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</si>
  <si>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</si>
  <si>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</si>
  <si>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</si>
  <si>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</si>
  <si>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</si>
  <si>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</si>
  <si>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</si>
  <si>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</si>
  <si>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</si>
  <si>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</si>
  <si>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</si>
  <si>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</si>
  <si>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</si>
  <si>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</si>
  <si>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</si>
  <si>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</si>
  <si>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</si>
  <si>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</si>
  <si>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</si>
  <si>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</si>
  <si>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</si>
  <si>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</si>
  <si>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</si>
  <si>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</si>
  <si>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</si>
  <si>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</si>
  <si>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</si>
  <si>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</si>
  <si>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</si>
  <si>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</si>
  <si>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</si>
  <si>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</si>
  <si>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</si>
  <si>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</si>
  <si>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</si>
  <si>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</si>
  <si>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</si>
  <si>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</si>
  <si>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</si>
  <si>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</si>
  <si>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</si>
  <si>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</si>
  <si>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</si>
  <si>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</si>
  <si>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</si>
  <si>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</si>
  <si>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</si>
  <si>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</si>
  <si>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</si>
  <si>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</si>
  <si>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</si>
  <si>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</si>
  <si>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</si>
  <si>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</si>
  <si>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</si>
  <si>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</si>
  <si>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</si>
  <si>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</si>
  <si>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</si>
  <si>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</si>
  <si>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</si>
  <si>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</si>
  <si>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</si>
  <si>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</si>
  <si>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</si>
  <si>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</si>
  <si>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</si>
  <si>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</si>
  <si>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</si>
  <si>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</si>
  <si>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</si>
  <si>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</si>
  <si>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</si>
  <si>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</si>
  <si>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</si>
  <si>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</si>
  <si>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</si>
  <si>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</si>
  <si>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</si>
  <si>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</si>
  <si>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</si>
  <si>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</si>
  <si>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</si>
  <si>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</si>
  <si>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</si>
  <si>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</si>
  <si>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</si>
  <si>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</si>
  <si>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</si>
  <si>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</si>
  <si>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</si>
  <si>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</si>
  <si>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</si>
  <si>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</si>
  <si>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</si>
  <si>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</si>
  <si>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</si>
  <si>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</si>
  <si>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</si>
  <si>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</si>
  <si>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</si>
  <si>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</si>
  <si>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</si>
  <si>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</si>
  <si>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</si>
  <si>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</si>
  <si>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</si>
  <si>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</si>
  <si>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</si>
  <si>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</si>
  <si>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</si>
  <si>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</si>
  <si>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</si>
  <si>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</si>
  <si>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</si>
  <si>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</si>
  <si>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</si>
  <si>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</si>
  <si>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</si>
  <si>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</si>
  <si>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</si>
  <si>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</si>
  <si>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</si>
  <si>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</si>
  <si>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</si>
  <si>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</si>
  <si>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</si>
  <si>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</si>
  <si>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</si>
  <si>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</si>
  <si>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</si>
  <si>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</si>
  <si>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</si>
  <si>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</si>
  <si>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</si>
  <si>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</si>
  <si>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</si>
  <si>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</si>
  <si>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</si>
  <si>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</si>
  <si>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</si>
  <si>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</si>
  <si>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</si>
  <si>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</si>
  <si>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</si>
  <si>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</si>
  <si>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</si>
  <si>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</si>
  <si>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</si>
  <si>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</si>
  <si>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</si>
  <si>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</si>
  <si>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</si>
  <si>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</si>
  <si>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</si>
  <si>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</si>
  <si>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</si>
  <si>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</si>
  <si>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</si>
  <si>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</si>
  <si>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</si>
  <si>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</si>
  <si>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</si>
  <si>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</si>
  <si>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</si>
  <si>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</si>
  <si>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</si>
  <si>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</si>
  <si>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</si>
  <si>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</si>
  <si>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</si>
  <si>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</si>
  <si>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</si>
  <si>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</si>
  <si>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</si>
  <si>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</si>
  <si>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</si>
  <si>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</si>
  <si>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</si>
  <si>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</si>
  <si>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</si>
  <si>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</si>
  <si>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</si>
  <si>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</si>
  <si>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</si>
  <si>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</si>
  <si>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</si>
  <si>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</si>
  <si>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</si>
  <si>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</si>
  <si>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</si>
  <si>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</si>
  <si>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</si>
  <si>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</si>
  <si>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</si>
  <si>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</si>
  <si>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</si>
  <si>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</si>
  <si>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</si>
  <si>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</si>
  <si>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</si>
  <si>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</si>
  <si>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</si>
  <si>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</si>
  <si>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</si>
  <si>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</si>
  <si>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</si>
  <si>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</si>
  <si>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</si>
  <si>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</si>
  <si>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</si>
  <si>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</si>
  <si>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</si>
  <si>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</si>
  <si>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</si>
  <si>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</si>
  <si>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</si>
  <si>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</si>
  <si>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</si>
  <si>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</si>
  <si>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</si>
  <si>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</si>
  <si>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</si>
  <si>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</si>
  <si>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</si>
  <si>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</si>
  <si>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</si>
  <si>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</si>
  <si>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</si>
  <si>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</si>
  <si>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</si>
  <si>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</si>
  <si>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</si>
  <si>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</si>
  <si>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</si>
  <si>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</si>
  <si>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</si>
  <si>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</si>
  <si>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</si>
  <si>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</si>
  <si>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</si>
  <si>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</si>
  <si>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</si>
  <si>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</si>
  <si>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</si>
  <si>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</si>
  <si>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</si>
  <si>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</si>
  <si>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</si>
  <si>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</si>
  <si>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</si>
  <si>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</si>
  <si>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</si>
  <si>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</si>
  <si>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</si>
  <si>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</si>
  <si>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</si>
  <si>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</si>
  <si>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</si>
  <si>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</si>
  <si>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</si>
  <si>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</si>
  <si>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</si>
  <si>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</si>
  <si>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</si>
  <si>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</si>
  <si>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</si>
  <si>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</si>
  <si>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</si>
  <si>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</si>
  <si>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</si>
  <si>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</si>
  <si>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</si>
  <si>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</si>
  <si>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</si>
  <si>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</si>
  <si>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</si>
  <si>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</si>
  <si>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</si>
  <si>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</si>
  <si>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</si>
  <si>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</si>
  <si>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</si>
  <si>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</si>
  <si>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</si>
  <si>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</si>
  <si>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</si>
  <si>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</si>
  <si>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</si>
  <si>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</si>
  <si>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</si>
  <si>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</si>
  <si>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</si>
  <si>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</si>
  <si>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</si>
  <si>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</si>
  <si>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</si>
  <si>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</si>
  <si>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</si>
  <si>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</si>
  <si>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</si>
  <si>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</si>
  <si>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</si>
  <si>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</si>
  <si>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</si>
  <si>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</si>
  <si>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</si>
  <si>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</si>
  <si>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</si>
  <si>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</si>
  <si>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</si>
  <si>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</si>
  <si>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</si>
  <si>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</si>
  <si>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</si>
  <si>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</si>
  <si>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</si>
  <si>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</si>
  <si>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</si>
  <si>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</si>
  <si>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</si>
  <si>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</si>
  <si>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</si>
  <si>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</si>
  <si>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</si>
  <si>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</si>
  <si>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</si>
  <si>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</si>
  <si>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</si>
  <si>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</si>
  <si>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</si>
  <si>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</si>
  <si>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</si>
  <si>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</si>
  <si>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</si>
  <si>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</si>
  <si>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</si>
  <si>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</si>
  <si>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</si>
  <si>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</si>
  <si>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</si>
  <si>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</si>
  <si>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</si>
  <si>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</si>
  <si>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</si>
  <si>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</si>
  <si>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</si>
  <si>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</si>
  <si>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</si>
  <si>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</si>
  <si>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</si>
  <si>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</si>
  <si>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</si>
  <si>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</si>
  <si>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</si>
  <si>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</si>
  <si>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</si>
  <si>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</si>
  <si>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</si>
  <si>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</si>
  <si>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</si>
  <si>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</si>
  <si>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</si>
  <si>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</si>
  <si>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</si>
  <si>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</si>
  <si>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</si>
  <si>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</si>
  <si>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</si>
  <si>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</si>
  <si>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</si>
  <si>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</si>
  <si>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</si>
  <si>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</si>
  <si>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</si>
  <si>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</si>
  <si>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</si>
  <si>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</si>
  <si>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</si>
  <si>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</si>
  <si>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</si>
  <si>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</si>
  <si>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</si>
  <si>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</si>
  <si>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</si>
  <si>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</si>
  <si>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</si>
  <si>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</si>
  <si>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</si>
  <si>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</si>
  <si>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</si>
  <si>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</si>
  <si>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</si>
  <si>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</si>
  <si>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</si>
  <si>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</si>
  <si>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</si>
  <si>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</si>
  <si>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</si>
  <si>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</si>
  <si>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</si>
  <si>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</si>
  <si>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</si>
  <si>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</si>
  <si>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</si>
  <si>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</si>
  <si>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</si>
  <si>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</si>
  <si>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</si>
  <si>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</si>
  <si>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</si>
  <si>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</si>
  <si>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</si>
  <si>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</si>
  <si>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</si>
  <si>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</si>
  <si>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</si>
  <si>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</si>
  <si>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</si>
  <si>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</si>
  <si>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</si>
  <si>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</si>
  <si>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</si>
  <si>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</si>
  <si>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</si>
  <si>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</si>
  <si>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</si>
  <si>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</si>
  <si>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</si>
  <si>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</si>
  <si>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</si>
  <si>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</si>
  <si>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</si>
  <si>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</si>
  <si>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</si>
  <si>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</si>
  <si>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</si>
  <si>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</si>
  <si>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</si>
  <si>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</si>
  <si>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</si>
  <si>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</si>
  <si>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</si>
  <si>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</si>
  <si>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</si>
  <si>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</si>
  <si>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</si>
  <si>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</si>
  <si>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</si>
  <si>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</si>
  <si>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</si>
  <si>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</si>
  <si>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</si>
  <si>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</si>
  <si>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</si>
  <si>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</si>
  <si>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</si>
  <si>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</si>
  <si>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</si>
  <si>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</si>
  <si>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</si>
  <si>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</si>
  <si>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</si>
  <si>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</si>
  <si>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</si>
  <si>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</si>
  <si>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</si>
  <si>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</si>
  <si>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</si>
  <si>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</si>
  <si>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</si>
  <si>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</si>
  <si>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</si>
  <si>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</si>
  <si>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</si>
  <si>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</si>
  <si>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</si>
  <si>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</si>
  <si>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</si>
  <si>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</si>
  <si>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</si>
  <si>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</si>
  <si>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</si>
  <si>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</si>
  <si>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</si>
  <si>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</si>
  <si>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</si>
  <si>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</si>
  <si>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</si>
  <si>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</si>
  <si>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</si>
  <si>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</si>
  <si>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</si>
  <si>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</si>
  <si>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</si>
  <si>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</si>
  <si>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</si>
  <si>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</si>
  <si>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</si>
  <si>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</si>
  <si>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</si>
  <si>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</si>
  <si>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</si>
  <si>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</si>
  <si>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</si>
  <si>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</si>
  <si>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</si>
  <si>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</si>
  <si>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</si>
  <si>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</si>
  <si>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</si>
  <si>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</si>
  <si>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</si>
  <si>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</si>
  <si>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</si>
  <si>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</si>
  <si>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</si>
  <si>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</si>
  <si>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</si>
  <si>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</si>
  <si>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</si>
  <si>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</si>
  <si>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</si>
  <si>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</si>
  <si>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</si>
  <si>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</si>
  <si>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</si>
  <si>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</si>
  <si>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</si>
  <si>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</si>
  <si>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</si>
  <si>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</si>
  <si>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</si>
  <si>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</si>
  <si>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</si>
  <si>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</si>
  <si>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</si>
  <si>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</si>
  <si>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</si>
  <si>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</si>
  <si>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</si>
  <si>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</si>
  <si>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</si>
  <si>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</si>
  <si>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</si>
  <si>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</si>
  <si>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</si>
  <si>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</si>
  <si>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</si>
  <si>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</si>
  <si>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</si>
  <si>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</si>
  <si>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</si>
  <si>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</si>
  <si>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</si>
  <si>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</si>
  <si>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</si>
  <si>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</si>
  <si>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</si>
  <si>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</si>
  <si>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</si>
  <si>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</si>
  <si>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</si>
  <si>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</si>
  <si>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</si>
  <si>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</si>
  <si>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</si>
  <si>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</si>
  <si>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</si>
  <si>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</si>
  <si>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</si>
  <si>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</si>
  <si>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</si>
  <si>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</si>
  <si>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</si>
  <si>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</si>
  <si>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</si>
  <si>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</si>
  <si>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</si>
  <si>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</si>
  <si>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</si>
  <si>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</si>
  <si>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</si>
  <si>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</si>
  <si>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</si>
  <si>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</si>
  <si>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</si>
  <si>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</si>
  <si>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</si>
  <si>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</si>
  <si>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</si>
  <si>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</si>
  <si>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</si>
  <si>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</si>
  <si>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</si>
  <si>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</si>
  <si>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</si>
  <si>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</si>
  <si>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</si>
  <si>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</si>
  <si>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</si>
  <si>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</si>
  <si>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</si>
  <si>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</si>
  <si>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</si>
  <si>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</si>
  <si>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</si>
  <si>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</si>
  <si>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</si>
  <si>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</si>
  <si>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</si>
  <si>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</si>
  <si>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</si>
  <si>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</si>
  <si>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</si>
  <si>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</si>
  <si>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</si>
  <si>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</si>
  <si>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</si>
  <si>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</si>
  <si>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</si>
  <si>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</si>
  <si>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</si>
  <si>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</si>
  <si>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</si>
  <si>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</si>
  <si>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</si>
  <si>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</si>
  <si>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</si>
  <si>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</si>
  <si>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</si>
  <si>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</si>
  <si>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</si>
  <si>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</si>
  <si>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</si>
  <si>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</si>
  <si>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</si>
  <si>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</si>
  <si>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</si>
  <si>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</si>
  <si>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</si>
  <si>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</si>
  <si>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</si>
  <si>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</si>
  <si>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</si>
  <si>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</si>
  <si>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</si>
  <si>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</si>
  <si>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</si>
  <si>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</si>
  <si>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</si>
  <si>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</si>
  <si>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</si>
  <si>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</si>
  <si>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</si>
  <si>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</si>
  <si>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</si>
  <si>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</si>
  <si>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</si>
  <si>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</si>
  <si>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</si>
  <si>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</si>
  <si>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</si>
  <si>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</si>
  <si>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</si>
  <si>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</si>
  <si>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</si>
  <si>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</si>
  <si>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</si>
  <si>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</si>
  <si>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</si>
  <si>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</si>
  <si>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</si>
  <si>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</si>
  <si>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</si>
  <si>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</si>
  <si>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</si>
  <si>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</si>
  <si>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</si>
  <si>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</si>
  <si>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</si>
  <si>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</si>
  <si>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</si>
  <si>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</si>
  <si>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</si>
  <si>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</si>
  <si>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</si>
  <si>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</si>
  <si>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</si>
  <si>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</si>
  <si>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</si>
  <si>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</si>
  <si>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</si>
  <si>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</si>
  <si>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</si>
  <si>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</si>
  <si>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</si>
  <si>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</si>
  <si>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</si>
  <si>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</si>
  <si>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</si>
  <si>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</si>
  <si>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</si>
  <si>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</si>
  <si>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</si>
  <si>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</si>
  <si>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</si>
  <si>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</si>
  <si>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</si>
  <si>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</si>
  <si>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</si>
  <si>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</si>
  <si>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</si>
  <si>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</si>
  <si>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</si>
  <si>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</si>
  <si>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</si>
  <si>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</si>
  <si>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</si>
  <si>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</si>
  <si>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</si>
  <si>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</si>
  <si>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</si>
  <si>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</si>
  <si>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</si>
  <si>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</si>
  <si>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</si>
  <si>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</si>
  <si>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</si>
  <si>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SULLIVAN SCHOOL DISTRICT  SAU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</si>
</sst>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color rgb="FF000000"/>
      <name val="Tahoma"/>
      <family val="2"/>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2" fillId="41" borderId="0" xfId="43" applyNumberFormat="1" applyFill="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645" activePane="bottomRight" state="frozen"/>
      <selection pane="topRight" activeCell="F1" sqref="F1"/>
      <selection pane="bottomLeft" activeCell="A4" sqref="A4"/>
      <selection pane="bottomRight" activeCell="I670" sqref="I670"/>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513</v>
      </c>
      <c r="C2" s="21">
        <v>513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222477</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297938.96000000002</v>
      </c>
      <c r="K12" s="24" t="s">
        <v>288</v>
      </c>
      <c r="L12" s="24" t="s">
        <v>288</v>
      </c>
      <c r="M12" s="8"/>
      <c r="N12" s="266"/>
    </row>
    <row r="13" spans="1:14" s="3" customFormat="1" ht="12.2" customHeight="1" x14ac:dyDescent="0.15">
      <c r="A13" s="1" t="s">
        <v>604</v>
      </c>
      <c r="B13" s="2" t="s">
        <v>289</v>
      </c>
      <c r="C13" s="6">
        <v>5</v>
      </c>
      <c r="D13" s="2" t="s">
        <v>428</v>
      </c>
      <c r="E13" s="6">
        <v>140</v>
      </c>
      <c r="F13" s="18">
        <v>158800</v>
      </c>
      <c r="G13" s="18"/>
      <c r="H13" s="18"/>
      <c r="I13" s="18"/>
      <c r="J13" s="67">
        <f>SUM(I443)</f>
        <v>17724</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381277</v>
      </c>
      <c r="G19" s="41">
        <f>SUM(G9:G18)</f>
        <v>0</v>
      </c>
      <c r="H19" s="41">
        <f>SUM(H9:H18)</f>
        <v>0</v>
      </c>
      <c r="I19" s="41">
        <f>SUM(I9:I18)</f>
        <v>0</v>
      </c>
      <c r="J19" s="41">
        <f>SUM(J9:J18)</f>
        <v>315662.96000000002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452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452</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315662.96000000002</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380825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380825</v>
      </c>
      <c r="G51" s="41">
        <f>SUM(G35:G50)</f>
        <v>0</v>
      </c>
      <c r="H51" s="41">
        <f>SUM(H35:H50)</f>
        <v>0</v>
      </c>
      <c r="I51" s="41">
        <f>SUM(I35:I50)</f>
        <v>0</v>
      </c>
      <c r="J51" s="41">
        <f>SUM(J35:J50)</f>
        <v>315662.96000000002</v>
      </c>
      <c r="K51" s="45" t="s">
        <v>288</v>
      </c>
      <c r="L51" s="45" t="s">
        <v>288</v>
      </c>
      <c r="N51" s="264"/>
    </row>
    <row r="52" spans="1:14" s="3" customFormat="1" ht="12.2" customHeight="1" thickTop="1" x14ac:dyDescent="0.15">
      <c r="A52" s="38" t="s">
        <v>455</v>
      </c>
      <c r="B52" s="39" t="s">
        <v>289</v>
      </c>
      <c r="C52" s="6">
        <v>37</v>
      </c>
      <c r="D52" s="39" t="s">
        <v>653</v>
      </c>
      <c r="E52" s="39"/>
      <c r="F52" s="41">
        <f>F51+F32</f>
        <v>381277</v>
      </c>
      <c r="G52" s="41">
        <f>G51+G32</f>
        <v>0</v>
      </c>
      <c r="H52" s="41">
        <f>H51+H32</f>
        <v>0</v>
      </c>
      <c r="I52" s="41">
        <f>I51+I32</f>
        <v>0</v>
      </c>
      <c r="J52" s="41">
        <f>J51+J32</f>
        <v>315662.96000000002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954540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954540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942</v>
      </c>
      <c r="G96" s="18"/>
      <c r="H96" s="18"/>
      <c r="I96" s="18"/>
      <c r="J96" s="18">
        <v>17724</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942</v>
      </c>
      <c r="G111" s="41">
        <f>SUM(G96:G110)</f>
        <v>0</v>
      </c>
      <c r="H111" s="41">
        <f>SUM(H96:H110)</f>
        <v>0</v>
      </c>
      <c r="I111" s="41">
        <f>SUM(I96:I110)</f>
        <v>0</v>
      </c>
      <c r="J111" s="41">
        <f>SUM(J96:J110)</f>
        <v>17724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955482</v>
      </c>
      <c r="G112" s="41">
        <f>G60+G111</f>
        <v>0</v>
      </c>
      <c r="H112" s="41">
        <f>H60+H79+H94+H111</f>
        <v>0</v>
      </c>
      <c r="I112" s="41">
        <f>I60+I111</f>
        <v>0</v>
      </c>
      <c r="J112" s="41">
        <f>J60+J111</f>
        <v>17724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742160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103023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845183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845183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50375</v>
      </c>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v>16200</v>
      </c>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66575</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66575</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1867240</v>
      </c>
      <c r="G194" s="47">
        <f>G112+G140+G170+G193</f>
        <v>0</v>
      </c>
      <c r="H194" s="47">
        <f>H112+H140+H170+H193</f>
        <v>0</v>
      </c>
      <c r="I194" s="47">
        <f>I112+I140+I170+I193</f>
        <v>0</v>
      </c>
      <c r="J194" s="47">
        <f>J112+J140+J193</f>
        <v>42724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533684</v>
      </c>
      <c r="I198" s="18"/>
      <c r="J198" s="18"/>
      <c r="K198" s="18"/>
      <c r="L198" s="19">
        <f>SUM(F198:K198)</f>
        <v>533684</v>
      </c>
      <c r="M198" s="8"/>
      <c r="N198" s="266"/>
    </row>
    <row r="199" spans="1:14" s="3" customFormat="1" ht="12.2" customHeight="1" x14ac:dyDescent="0.15">
      <c r="A199" s="1" t="s">
        <v>439</v>
      </c>
      <c r="B199" s="2" t="s">
        <v>341</v>
      </c>
      <c r="C199" s="2" t="s">
        <v>291</v>
      </c>
      <c r="D199" s="2" t="s">
        <v>431</v>
      </c>
      <c r="E199" s="6">
        <v>1200</v>
      </c>
      <c r="F199" s="18"/>
      <c r="G199" s="18"/>
      <c r="H199" s="18">
        <v>140413</v>
      </c>
      <c r="I199" s="18"/>
      <c r="J199" s="18"/>
      <c r="K199" s="18"/>
      <c r="L199" s="19">
        <f>SUM(F199:K199)</f>
        <v>140413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v>26480</v>
      </c>
      <c r="I205" s="18"/>
      <c r="J205" s="18"/>
      <c r="K205" s="18"/>
      <c r="L205" s="19">
        <f t="shared" si="0"/>
        <v>26480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v>225</v>
      </c>
      <c r="I207" s="18"/>
      <c r="J207" s="18"/>
      <c r="K207" s="18"/>
      <c r="L207" s="19">
        <f t="shared" si="0"/>
        <v>225</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82925</v>
      </c>
      <c r="I209" s="18"/>
      <c r="J209" s="18"/>
      <c r="K209" s="18"/>
      <c r="L209" s="19">
        <f t="shared" si="0"/>
        <v>82925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783727</v>
      </c>
      <c r="I212" s="41">
        <f t="shared" si="1"/>
        <v>0</v>
      </c>
      <c r="J212" s="41">
        <f t="shared" si="1"/>
        <v>0</v>
      </c>
      <c r="K212" s="41">
        <f t="shared" si="1"/>
        <v>0</v>
      </c>
      <c r="L212" s="41">
        <f t="shared" si="1"/>
        <v>783727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168196</v>
      </c>
      <c r="I216" s="18"/>
      <c r="J216" s="18"/>
      <c r="K216" s="18"/>
      <c r="L216" s="19">
        <f>SUM(F216:K216)</f>
        <v>168196</v>
      </c>
      <c r="M216" s="8"/>
      <c r="N216" s="266"/>
    </row>
    <row r="217" spans="1:14" s="3" customFormat="1" ht="12.2" customHeight="1" x14ac:dyDescent="0.15">
      <c r="A217" s="1" t="s">
        <v>439</v>
      </c>
      <c r="B217" s="2" t="s">
        <v>346</v>
      </c>
      <c r="C217" s="2" t="s">
        <v>291</v>
      </c>
      <c r="D217" s="2" t="s">
        <v>431</v>
      </c>
      <c r="E217" s="6">
        <v>1200</v>
      </c>
      <c r="F217" s="18"/>
      <c r="G217" s="18"/>
      <c r="H217" s="18">
        <v>41298</v>
      </c>
      <c r="I217" s="18"/>
      <c r="J217" s="18"/>
      <c r="K217" s="18"/>
      <c r="L217" s="19">
        <f>SUM(F217:K217)</f>
        <v>41298</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v>7788</v>
      </c>
      <c r="I223" s="18"/>
      <c r="J223" s="18"/>
      <c r="K223" s="18"/>
      <c r="L223" s="19">
        <f t="shared" si="2"/>
        <v>7788</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v>67</v>
      </c>
      <c r="I225" s="18"/>
      <c r="J225" s="18"/>
      <c r="K225" s="18"/>
      <c r="L225" s="19">
        <f t="shared" si="2"/>
        <v>67</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24390</v>
      </c>
      <c r="I227" s="18"/>
      <c r="J227" s="18"/>
      <c r="K227" s="18"/>
      <c r="L227" s="19">
        <f t="shared" si="2"/>
        <v>24390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241739</v>
      </c>
      <c r="I230" s="41">
        <f>SUM(I216:I229)</f>
        <v>0</v>
      </c>
      <c r="J230" s="41">
        <f>SUM(J216:J229)</f>
        <v>0</v>
      </c>
      <c r="K230" s="41">
        <f t="shared" si="3"/>
        <v>0</v>
      </c>
      <c r="L230" s="41">
        <f t="shared" si="3"/>
        <v>241739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306201</v>
      </c>
      <c r="I234" s="18"/>
      <c r="J234" s="18"/>
      <c r="K234" s="18"/>
      <c r="L234" s="19">
        <f>SUM(F234:K234)</f>
        <v>306201</v>
      </c>
      <c r="M234" s="8"/>
      <c r="N234" s="266"/>
    </row>
    <row r="235" spans="1:14" s="3" customFormat="1" ht="12.2" customHeight="1" x14ac:dyDescent="0.15">
      <c r="A235" s="1" t="s">
        <v>439</v>
      </c>
      <c r="B235" s="2" t="s">
        <v>350</v>
      </c>
      <c r="C235" s="2" t="s">
        <v>291</v>
      </c>
      <c r="D235" s="2" t="s">
        <v>431</v>
      </c>
      <c r="E235" s="6">
        <v>1200</v>
      </c>
      <c r="F235" s="18"/>
      <c r="G235" s="18"/>
      <c r="H235" s="18">
        <v>93609</v>
      </c>
      <c r="I235" s="18"/>
      <c r="J235" s="18"/>
      <c r="K235" s="18"/>
      <c r="L235" s="19">
        <f>SUM(F235:K235)</f>
        <v>93609</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v>17653</v>
      </c>
      <c r="I241" s="18"/>
      <c r="J241" s="18"/>
      <c r="K241" s="18"/>
      <c r="L241" s="19">
        <f t="shared" si="4"/>
        <v>17653</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v>150</v>
      </c>
      <c r="I243" s="18"/>
      <c r="J243" s="18"/>
      <c r="K243" s="18"/>
      <c r="L243" s="19">
        <f t="shared" si="4"/>
        <v>150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55283</v>
      </c>
      <c r="I245" s="18"/>
      <c r="J245" s="18"/>
      <c r="K245" s="18"/>
      <c r="L245" s="19">
        <f t="shared" si="4"/>
        <v>55283</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472896</v>
      </c>
      <c r="I248" s="41">
        <f t="shared" si="5"/>
        <v>0</v>
      </c>
      <c r="J248" s="41">
        <f t="shared" si="5"/>
        <v>0</v>
      </c>
      <c r="K248" s="41">
        <f t="shared" si="5"/>
        <v>0</v>
      </c>
      <c r="L248" s="41">
        <f t="shared" si="5"/>
        <v>472896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1498362</v>
      </c>
      <c r="I258" s="41">
        <f t="shared" si="8"/>
        <v>0</v>
      </c>
      <c r="J258" s="41">
        <f t="shared" si="8"/>
        <v>0</v>
      </c>
      <c r="K258" s="41">
        <f t="shared" si="8"/>
        <v>0</v>
      </c>
      <c r="L258" s="41">
        <f t="shared" si="8"/>
        <v>1498362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25000</v>
      </c>
      <c r="L271" s="41">
        <f t="shared" si="9"/>
        <v>25000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1498362</v>
      </c>
      <c r="I272" s="42">
        <f t="shared" si="11"/>
        <v>0</v>
      </c>
      <c r="J272" s="42">
        <f t="shared" si="11"/>
        <v>0</v>
      </c>
      <c r="K272" s="42">
        <f t="shared" si="11"/>
        <v>25000</v>
      </c>
      <c r="L272" s="42">
        <f t="shared" si="11"/>
        <v>1523362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25000</v>
      </c>
      <c r="H398" s="18">
        <v>17724</v>
      </c>
      <c r="I398" s="18"/>
      <c r="J398" s="24" t="s">
        <v>288</v>
      </c>
      <c r="K398" s="24" t="s">
        <v>288</v>
      </c>
      <c r="L398" s="56">
        <f t="shared" si="26"/>
        <v>42724</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17724</v>
      </c>
      <c r="I402" s="47">
        <f>SUM(I396:I401)</f>
        <v>0</v>
      </c>
      <c r="J402" s="45" t="s">
        <v>288</v>
      </c>
      <c r="K402" s="45" t="s">
        <v>288</v>
      </c>
      <c r="L402" s="47">
        <f>SUM(L396:L401)</f>
        <v>42724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v>
      </c>
      <c r="H409" s="47">
        <f>H394+H402+H408</f>
        <v>17724</v>
      </c>
      <c r="I409" s="47">
        <f>I394+I402+I408</f>
        <v>0</v>
      </c>
      <c r="J409" s="24" t="s">
        <v>288</v>
      </c>
      <c r="K409" s="24" t="s">
        <v>288</v>
      </c>
      <c r="L409" s="47">
        <f>L394+L402+L408</f>
        <v>42724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f>297928.96+10</f>
        <v>297938.96000000002</v>
      </c>
      <c r="G442" s="18"/>
      <c r="H442" s="18"/>
      <c r="I442" s="56">
        <f t="shared" si="33"/>
        <v>297938.96000000002</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17724</v>
      </c>
      <c r="G443" s="18"/>
      <c r="H443" s="18"/>
      <c r="I443" s="56">
        <f t="shared" si="33"/>
        <v>17724</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315662.96000000002</v>
      </c>
      <c r="G447" s="13">
        <f>SUM(G440:G446)</f>
        <v>0</v>
      </c>
      <c r="H447" s="13">
        <f>SUM(H440:H446)</f>
        <v>0</v>
      </c>
      <c r="I447" s="13">
        <f>SUM(I440:I446)</f>
        <v>315662.96000000002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f>315652.96+10</f>
        <v>315662.96000000002</v>
      </c>
      <c r="G457" s="18"/>
      <c r="H457" s="18"/>
      <c r="I457" s="56">
        <f t="shared" si="34"/>
        <v>315662.96000000002</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315662.96000000002</v>
      </c>
      <c r="G461" s="83">
        <f>SUM(G455:G460)</f>
        <v>0</v>
      </c>
      <c r="H461" s="83">
        <f>SUM(H455:H460)</f>
        <v>0</v>
      </c>
      <c r="I461" s="83">
        <f>SUM(I455:I460)</f>
        <v>315662.96000000002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315662.96000000002</v>
      </c>
      <c r="G462" s="42">
        <f>G453+G461</f>
        <v>0</v>
      </c>
      <c r="H462" s="42">
        <f>H453+H461</f>
        <v>0</v>
      </c>
      <c r="I462" s="42">
        <f>I453+I461</f>
        <v>315662.96000000002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36947</v>
      </c>
      <c r="G466" s="18"/>
      <c r="H466" s="18"/>
      <c r="I466" s="18"/>
      <c r="J466" s="18">
        <v>272938.96000000002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1867240</v>
      </c>
      <c r="G469" s="18"/>
      <c r="H469" s="18"/>
      <c r="I469" s="18"/>
      <c r="J469" s="18">
        <f>42714+10</f>
        <v>42724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1867240</v>
      </c>
      <c r="G471" s="53">
        <f>SUM(G469:G470)</f>
        <v>0</v>
      </c>
      <c r="H471" s="53">
        <f>SUM(H469:H470)</f>
        <v>0</v>
      </c>
      <c r="I471" s="53">
        <f>SUM(I469:I470)</f>
        <v>0</v>
      </c>
      <c r="J471" s="53">
        <f>SUM(J469:J470)</f>
        <v>42724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1523362</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1523362</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380825</v>
      </c>
      <c r="G477" s="53">
        <f>(G466+G471)- G475</f>
        <v>0</v>
      </c>
      <c r="H477" s="53">
        <f>(H466+H471)- H475</f>
        <v>0</v>
      </c>
      <c r="I477" s="53">
        <f>(I466+I471)- I475</f>
        <v>0</v>
      </c>
      <c r="J477" s="53">
        <f>(J466+J471)- J475</f>
        <v>315662.96000000002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140413</v>
      </c>
      <c r="I527" s="18"/>
      <c r="J527" s="18"/>
      <c r="K527" s="18"/>
      <c r="L527" s="88">
        <f>SUM(F527:K527)</f>
        <v>140413</v>
      </c>
      <c r="M527" s="8"/>
      <c r="N527" s="266"/>
    </row>
    <row r="528" spans="1:14" s="3" customFormat="1" ht="12.2" customHeight="1" x14ac:dyDescent="0.15">
      <c r="A528" s="22" t="s">
        <v>634</v>
      </c>
      <c r="B528" s="105">
        <v>21</v>
      </c>
      <c r="C528" s="115">
        <v>6</v>
      </c>
      <c r="D528" s="2" t="s">
        <v>432</v>
      </c>
      <c r="E528" s="115"/>
      <c r="F528" s="18"/>
      <c r="G528" s="18"/>
      <c r="H528" s="18">
        <v>41298</v>
      </c>
      <c r="I528" s="18"/>
      <c r="J528" s="18"/>
      <c r="K528" s="18"/>
      <c r="L528" s="88">
        <f>SUM(F528:K528)</f>
        <v>41298</v>
      </c>
      <c r="M528" s="8"/>
      <c r="N528" s="266"/>
    </row>
    <row r="529" spans="1:14" s="3" customFormat="1" ht="12.2" customHeight="1" thickBot="1" x14ac:dyDescent="0.2">
      <c r="A529" s="22" t="s">
        <v>635</v>
      </c>
      <c r="B529" s="118">
        <v>21</v>
      </c>
      <c r="C529" s="118">
        <v>7</v>
      </c>
      <c r="D529" s="2" t="s">
        <v>432</v>
      </c>
      <c r="E529" s="118"/>
      <c r="F529" s="18"/>
      <c r="G529" s="18"/>
      <c r="H529" s="18">
        <v>93609</v>
      </c>
      <c r="I529" s="18"/>
      <c r="J529" s="18"/>
      <c r="K529" s="18"/>
      <c r="L529" s="88">
        <f>SUM(F529:K529)</f>
        <v>93609</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275320</v>
      </c>
      <c r="I530" s="89">
        <f t="shared" si="37"/>
        <v>0</v>
      </c>
      <c r="J530" s="89">
        <f t="shared" si="37"/>
        <v>0</v>
      </c>
      <c r="K530" s="89">
        <f t="shared" si="37"/>
        <v>0</v>
      </c>
      <c r="L530" s="89">
        <f t="shared" si="37"/>
        <v>275320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275320</v>
      </c>
      <c r="I546" s="89">
        <f t="shared" si="41"/>
        <v>0</v>
      </c>
      <c r="J546" s="89">
        <f t="shared" si="41"/>
        <v>0</v>
      </c>
      <c r="K546" s="89">
        <f t="shared" si="41"/>
        <v>0</v>
      </c>
      <c r="L546" s="89">
        <f t="shared" si="41"/>
        <v>275320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140413</v>
      </c>
      <c r="H550" s="87">
        <f>L532</f>
        <v>0</v>
      </c>
      <c r="I550" s="87">
        <f>L537</f>
        <v>0</v>
      </c>
      <c r="J550" s="87">
        <f>L542</f>
        <v>0</v>
      </c>
      <c r="K550" s="87">
        <f>SUM(F550:J550)</f>
        <v>140413</v>
      </c>
      <c r="L550" s="24" t="s">
        <v>288</v>
      </c>
      <c r="M550" s="8"/>
      <c r="N550" s="266"/>
    </row>
    <row r="551" spans="1:14" s="3" customFormat="1" ht="12.2" customHeight="1" x14ac:dyDescent="0.15">
      <c r="A551" s="22" t="s">
        <v>634</v>
      </c>
      <c r="B551" s="75">
        <v>21</v>
      </c>
      <c r="C551" s="75">
        <v>23</v>
      </c>
      <c r="D551" s="2" t="s">
        <v>432</v>
      </c>
      <c r="E551" s="75"/>
      <c r="F551" s="87">
        <f>L523</f>
        <v>0</v>
      </c>
      <c r="G551" s="87">
        <f>L528</f>
        <v>41298</v>
      </c>
      <c r="H551" s="87">
        <f>L533</f>
        <v>0</v>
      </c>
      <c r="I551" s="87">
        <f>L538</f>
        <v>0</v>
      </c>
      <c r="J551" s="87">
        <f>L543</f>
        <v>0</v>
      </c>
      <c r="K551" s="87">
        <f>SUM(F551:J551)</f>
        <v>41298</v>
      </c>
      <c r="L551" s="24" t="s">
        <v>288</v>
      </c>
      <c r="M551" s="8"/>
      <c r="N551" s="266"/>
    </row>
    <row r="552" spans="1:14" s="3" customFormat="1" ht="12.2" customHeight="1" thickBot="1" x14ac:dyDescent="0.2">
      <c r="A552" s="22" t="s">
        <v>635</v>
      </c>
      <c r="B552" s="75">
        <v>21</v>
      </c>
      <c r="C552" s="75">
        <v>24</v>
      </c>
      <c r="D552" s="2" t="s">
        <v>432</v>
      </c>
      <c r="E552" s="75"/>
      <c r="F552" s="87">
        <f>L524</f>
        <v>0</v>
      </c>
      <c r="G552" s="87">
        <f>L529</f>
        <v>93609</v>
      </c>
      <c r="H552" s="87">
        <f>L534</f>
        <v>0</v>
      </c>
      <c r="I552" s="87">
        <f>L539</f>
        <v>0</v>
      </c>
      <c r="J552" s="87">
        <f>L544</f>
        <v>0</v>
      </c>
      <c r="K552" s="87">
        <f>SUM(F552:J552)</f>
        <v>93609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275320</v>
      </c>
      <c r="H553" s="89">
        <f t="shared" si="42"/>
        <v>0</v>
      </c>
      <c r="I553" s="89">
        <f t="shared" si="42"/>
        <v>0</v>
      </c>
      <c r="J553" s="89">
        <f t="shared" si="42"/>
        <v>0</v>
      </c>
      <c r="K553" s="89">
        <f t="shared" si="42"/>
        <v>275320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533684</v>
      </c>
      <c r="G576" s="18">
        <v>168196</v>
      </c>
      <c r="H576" s="18">
        <v>306201</v>
      </c>
      <c r="I576" s="87">
        <f>SUM(F576:H576)</f>
        <v>1008081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140413</v>
      </c>
      <c r="G580" s="18">
        <v>41298</v>
      </c>
      <c r="H580" s="18">
        <v>93609</v>
      </c>
      <c r="I580" s="87">
        <f t="shared" si="47"/>
        <v>275320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82925</v>
      </c>
      <c r="I592" s="18">
        <v>24390</v>
      </c>
      <c r="J592" s="18">
        <v>55283</v>
      </c>
      <c r="K592" s="104">
        <f t="shared" ref="K592:K598" si="48">SUM(H592:J592)</f>
        <v>162598</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82925</v>
      </c>
      <c r="I599" s="108">
        <f>SUM(I592:I598)</f>
        <v>24390</v>
      </c>
      <c r="J599" s="108">
        <f>SUM(J592:J598)</f>
        <v>55283</v>
      </c>
      <c r="K599" s="108">
        <f>SUM(K592:K598)</f>
        <v>162598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381277</v>
      </c>
      <c r="H618" s="109">
        <f>SUM(F52)</f>
        <v>381277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315662.96000000002</v>
      </c>
      <c r="H622" s="109">
        <f>SUM(J52)</f>
        <v>315662.96000000002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380825</v>
      </c>
      <c r="H623" s="109">
        <f>F477</f>
        <v>380825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315662.96000000002</v>
      </c>
      <c r="H627" s="109">
        <f>J477</f>
        <v>315662.96000000002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1867240</v>
      </c>
      <c r="H628" s="104">
        <f>SUM(F469)</f>
        <v>1867240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42724</v>
      </c>
      <c r="H632" s="104">
        <f>SUM(J469)</f>
        <v>42724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1523362</v>
      </c>
      <c r="H633" s="104">
        <f>SUM(F473)</f>
        <v>1523362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42724</v>
      </c>
      <c r="H638" s="164">
        <f>SUM(J469)</f>
        <v>42724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315662.96000000002</v>
      </c>
      <c r="H640" s="104">
        <f>SUM(F462)</f>
        <v>315662.96000000002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315662.96000000002</v>
      </c>
      <c r="H643" s="104">
        <f>SUM(I462)</f>
        <v>315662.96000000002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17724</v>
      </c>
      <c r="H645" s="104">
        <f>H409</f>
        <v>17724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42724</v>
      </c>
      <c r="H647" s="104">
        <f>L409</f>
        <v>42724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162598</v>
      </c>
      <c r="H648" s="104">
        <f>L209+L227+L245</f>
        <v>162598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82925</v>
      </c>
      <c r="H650" s="104">
        <f>H599</f>
        <v>82925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24390</v>
      </c>
      <c r="H651" s="104">
        <f>I599</f>
        <v>24390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55283</v>
      </c>
      <c r="H652" s="104">
        <f>J599</f>
        <v>55283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783727</v>
      </c>
      <c r="G661" s="19">
        <f>(L230+L310+L360)</f>
        <v>241739</v>
      </c>
      <c r="H661" s="19">
        <f>(L248+L329+L361)</f>
        <v>472896</v>
      </c>
      <c r="I661" s="19">
        <f>SUM(F661:H661)</f>
        <v>1498362</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82925</v>
      </c>
      <c r="G663" s="19">
        <f>(L227+L307)-(J227+J307)</f>
        <v>24390</v>
      </c>
      <c r="H663" s="19">
        <f>(L245+L326)-(J245+J326)</f>
        <v>55283</v>
      </c>
      <c r="I663" s="19">
        <f>SUM(F663:H663)</f>
        <v>162598</v>
      </c>
      <c r="J663"/>
      <c r="K663" s="13"/>
      <c r="L663" s="13"/>
      <c r="M663" s="9"/>
    </row>
    <row r="664" spans="1:13" s="3" customFormat="1" ht="12.2" customHeight="1" x14ac:dyDescent="0.15">
      <c r="A664" s="198" t="s">
        <v>129</v>
      </c>
      <c r="B664" s="169"/>
      <c r="C664" s="169"/>
      <c r="D664" s="169"/>
      <c r="E664" s="169"/>
      <c r="F664" s="199">
        <f>SUM(F576:F588)+SUM(H603:H605)+SUM(L612)</f>
        <v>674097</v>
      </c>
      <c r="G664" s="199">
        <f>SUM(G576:G588)+SUM(I603:I605)+L613</f>
        <v>209494</v>
      </c>
      <c r="H664" s="199">
        <f>SUM(H576:H588)+SUM(J603:J605)+L614</f>
        <v>399810</v>
      </c>
      <c r="I664" s="19">
        <f>SUM(F664:H664)</f>
        <v>1283401</v>
      </c>
      <c r="J664" s="13"/>
      <c r="K664" s="13"/>
      <c r="L664" s="13"/>
      <c r="M664" s="9"/>
    </row>
    <row r="665" spans="1:13" s="3" customFormat="1" ht="12.2" customHeight="1" x14ac:dyDescent="0.15">
      <c r="A665" s="1" t="s">
        <v>130</v>
      </c>
      <c r="F665" s="19">
        <f>F661-SUM(F662:F664)</f>
        <v>26705</v>
      </c>
      <c r="G665" s="19">
        <f>G661-SUM(G662:G664)</f>
        <v>7855</v>
      </c>
      <c r="H665" s="19">
        <f>H661-SUM(H662:H664)</f>
        <v>17803</v>
      </c>
      <c r="I665" s="19">
        <f>I661-SUM(I662:I664)</f>
        <v>52363</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-26705</v>
      </c>
      <c r="G670" s="18">
        <v>-7855</v>
      </c>
      <c r="H670" s="18">
        <v>-17803</v>
      </c>
      <c r="I670" s="19">
        <f>SUM(F670:H670)</f>
        <v>-52363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3" zoomScaleNormal="100" workbookViewId="0">
      <selection activeCell="E27" sqref="E27"/>
    </sheetView>
  </sheetViews>
  <sheetFormatPr defaultColWidth="9.1640625" defaultRowHeight="15" x14ac:dyDescent="0.25"/>
  <cols>
    <col min="1" max="2" width="9.1640625" style="342"/>
    <col min="3" max="3" width="154.5" style="342" customWidth="1"/>
    <col min="4" max="4" width="9.1640625" style="342"/>
    <col min="5" max="5" width="14.1640625" style="342" customWidth="1"/>
    <col min="6" max="7" width="9.1640625" style="342"/>
    <col min="8" max="8" width="23.1640625" style="342" customWidth="1"/>
    <col min="9" max="9" width="14.1640625" style="342" customWidth="1"/>
    <col min="10" max="16384" width="9.1640625" style="342"/>
  </cols>
  <sheetData>
    <row r="2" spans="2:6" x14ac:dyDescent="0.25">
      <c r="C2" s="362" t="s">
        <v>1669</v>
      </c>
      <c r="D2" s="362"/>
      <c r="E2" s="362"/>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16200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61">
        <v>8262</v>
      </c>
      <c r="F22" s="348"/>
    </row>
    <row r="23" spans="2:8" x14ac:dyDescent="0.25">
      <c r="B23" s="348"/>
      <c r="C23" s="348"/>
      <c r="D23" s="348"/>
      <c r="E23" s="348"/>
      <c r="F23" s="348"/>
    </row>
    <row r="24" spans="2:8" ht="26.25" customHeight="1" x14ac:dyDescent="0.25">
      <c r="B24" s="348"/>
      <c r="C24" s="350" t="s">
        <v>1661</v>
      </c>
      <c r="D24" s="348"/>
      <c r="E24" s="343">
        <v>2430</v>
      </c>
      <c r="F24" s="348"/>
    </row>
    <row r="25" spans="2:8" ht="18" x14ac:dyDescent="0.25">
      <c r="B25" s="348"/>
      <c r="C25" s="351"/>
      <c r="D25" s="348"/>
      <c r="E25" s="348"/>
      <c r="F25" s="348"/>
    </row>
    <row r="26" spans="2:8" ht="27.75" customHeight="1" x14ac:dyDescent="0.25">
      <c r="B26" s="348"/>
      <c r="C26" s="350" t="s">
        <v>1662</v>
      </c>
      <c r="D26" s="348"/>
      <c r="E26" s="343">
        <v>5508</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4" t="str">
        <f>'DOE25'!A2</f>
        <v>SULLIVAN SCHOOL DISTRICT  SAU 96</v>
      </c>
      <c r="C5" s="365"/>
      <c r="D5" s="365"/>
      <c r="E5" s="365"/>
      <c r="F5" s="365"/>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SULLIVAN SCHOOL DISTRICT  SAU 96</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M22" sqref="M22"/>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68" t="s">
        <v>892</v>
      </c>
      <c r="B1" s="371"/>
      <c r="C1" s="371"/>
      <c r="D1" s="371"/>
      <c r="E1" s="371"/>
      <c r="F1" s="371"/>
      <c r="G1" s="371"/>
      <c r="H1" s="371"/>
      <c r="I1" s="181"/>
    </row>
    <row r="2" spans="1:9" x14ac:dyDescent="0.2">
      <c r="A2" s="33" t="s">
        <v>713</v>
      </c>
      <c r="B2" s="260" t="str">
        <f>'DOE25'!A2</f>
        <v>SULLIVAN SCHOOL DISTRICT  SAU 96</v>
      </c>
      <c r="C2" s="277"/>
      <c r="D2" s="181" t="s">
        <v>787</v>
      </c>
      <c r="E2" s="181" t="s">
        <v>789</v>
      </c>
      <c r="F2" s="369" t="s">
        <v>891</v>
      </c>
      <c r="G2" s="370"/>
      <c r="H2" s="370"/>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1283401</v>
      </c>
      <c r="D5" s="20">
        <f>SUM('DOE25'!L198:L201)+SUM('DOE25'!L216:L219)+SUM('DOE25'!L234:L237)-F5-G5-H5</f>
        <v>1283401</v>
      </c>
      <c r="E5" s="243"/>
      <c r="F5" s="244"/>
      <c r="G5" s="53">
        <f>SUM('DOE25'!J198:J201)+SUM('DOE25'!J216:J219)+SUM('DOE25'!J234:J237)</f>
        <v>0</v>
      </c>
      <c r="H5" s="53">
        <f>SUM('DOE25'!K198:K201)+SUM('DOE25'!K216:K219)+SUM('DOE25'!K234:K237)</f>
        <v>0</v>
      </c>
      <c r="I5" s="256"/>
    </row>
    <row r="6" spans="1:9" x14ac:dyDescent="0.2">
      <c r="A6" s="32">
        <v>2100</v>
      </c>
      <c r="B6" t="s">
        <v>796</v>
      </c>
      <c r="C6" s="275">
        <f t="shared" si="0"/>
        <v>0</v>
      </c>
      <c r="D6" s="20">
        <f>'DOE25'!L203+'DOE25'!L221+'DOE25'!L239-F6-G6-H6</f>
        <v>0</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51921</v>
      </c>
      <c r="D8" s="243"/>
      <c r="E8" s="20">
        <f>'DOE25'!L205+'DOE25'!L223+'DOE25'!L241-F8-G8-H8-D9-D11</f>
        <v>51921</v>
      </c>
      <c r="F8" s="244"/>
      <c r="G8" s="53">
        <f>'DOE25'!J205+'DOE25'!J223+'DOE25'!J241</f>
        <v>0</v>
      </c>
      <c r="H8" s="53">
        <f>'DOE25'!K205+'DOE25'!K223+'DOE25'!K241</f>
        <v>0</v>
      </c>
      <c r="I8" s="256"/>
    </row>
    <row r="9" spans="1:9" ht="14.25" x14ac:dyDescent="0.2">
      <c r="A9" s="32">
        <v>2310</v>
      </c>
      <c r="B9" s="185" t="s">
        <v>888</v>
      </c>
      <c r="C9" s="275">
        <f t="shared" si="0"/>
        <v>0</v>
      </c>
      <c r="D9" s="244"/>
      <c r="E9" s="243"/>
      <c r="F9" s="253"/>
      <c r="G9" s="253"/>
      <c r="H9" s="253"/>
      <c r="I9" s="256"/>
    </row>
    <row r="10" spans="1:9" ht="14.25" x14ac:dyDescent="0.2">
      <c r="A10" s="32">
        <v>2317</v>
      </c>
      <c r="B10" s="185" t="s">
        <v>889</v>
      </c>
      <c r="C10" s="275">
        <f t="shared" si="0"/>
        <v>0</v>
      </c>
      <c r="D10" s="243"/>
      <c r="E10" s="244"/>
      <c r="F10" s="253"/>
      <c r="G10" s="253"/>
      <c r="H10" s="253"/>
      <c r="I10" s="256"/>
    </row>
    <row r="11" spans="1:9" ht="14.25" x14ac:dyDescent="0.2">
      <c r="A11" s="32">
        <v>2321</v>
      </c>
      <c r="B11" s="185" t="s">
        <v>890</v>
      </c>
      <c r="C11" s="275">
        <f t="shared" si="0"/>
        <v>0</v>
      </c>
      <c r="D11" s="244"/>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442</v>
      </c>
      <c r="D13" s="243"/>
      <c r="E13" s="20">
        <f>'DOE25'!L207+'DOE25'!L225+'DOE25'!L243-F13-G13-H13</f>
        <v>442</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162598</v>
      </c>
      <c r="D15" s="20">
        <f>'DOE25'!L209+'DOE25'!L227+'DOE25'!L245-F15-G15-H15</f>
        <v>162598</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1445999</v>
      </c>
      <c r="E33" s="245">
        <f t="shared" si="1"/>
        <v>52363</v>
      </c>
      <c r="F33" s="245">
        <f t="shared" si="1"/>
        <v>0</v>
      </c>
      <c r="G33" s="245">
        <f t="shared" si="1"/>
        <v>0</v>
      </c>
      <c r="H33" s="245">
        <f t="shared" si="1"/>
        <v>0</v>
      </c>
      <c r="I33" s="245">
        <f t="shared" si="1"/>
        <v>0</v>
      </c>
    </row>
    <row r="35" spans="1:9" ht="12" thickBot="1" x14ac:dyDescent="0.25">
      <c r="B35" s="251" t="s">
        <v>831</v>
      </c>
      <c r="D35" s="252">
        <f>E33</f>
        <v>52363</v>
      </c>
      <c r="E35" s="248"/>
      <c r="F35" s="335" t="s">
        <v>1632</v>
      </c>
      <c r="G35" s="336"/>
      <c r="H35" s="336"/>
      <c r="I35" s="336"/>
    </row>
    <row r="36" spans="1:9" ht="12" thickTop="1" x14ac:dyDescent="0.2">
      <c r="B36" t="s">
        <v>810</v>
      </c>
      <c r="D36" s="20">
        <f>D33</f>
        <v>1445999</v>
      </c>
      <c r="F36" s="338"/>
      <c r="G36" s="337" t="str">
        <f>IF(F36=0,"&lt;&lt;&lt;&lt;&lt; YOU HAVE NOT CHOSEN IF YOU WANT AN INDIRECT COST RATE!!","")</f>
        <v>&lt;&lt;&lt;&lt;&lt; YOU HAVE NOT CHOSEN IF YOU WANT AN INDIRECT COST RATE!!</v>
      </c>
      <c r="H36" s="337"/>
    </row>
    <row r="38" spans="1:9" x14ac:dyDescent="0.2">
      <c r="B38" s="187" t="s">
        <v>899</v>
      </c>
      <c r="C38" s="261"/>
      <c r="D38" s="284"/>
    </row>
    <row r="39" spans="1:9" x14ac:dyDescent="0.2">
      <c r="B39" s="187"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2" t="s">
        <v>900</v>
      </c>
      <c r="C53" s="372"/>
      <c r="D53" s="372"/>
      <c r="E53" s="372"/>
      <c r="F53" s="372"/>
      <c r="G53" s="372"/>
      <c r="H53" s="372"/>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SULLIVAN SCHOOL DISTRICT  SAU 96</v>
      </c>
      <c r="B2" s="126">
        <f>'DOE25'!B2</f>
        <v>513</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783727</v>
      </c>
      <c r="G4" s="302">
        <f>'DOE25'!L212+'DOE25'!L291</f>
        <v>783727</v>
      </c>
      <c r="H4" s="355">
        <f>F4-G4</f>
        <v>0</v>
      </c>
      <c r="I4" s="373"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783727</v>
      </c>
      <c r="E5" s="293"/>
      <c r="F5" s="306">
        <f>D5+E5</f>
        <v>783727</v>
      </c>
      <c r="G5" s="296"/>
      <c r="H5" s="296"/>
      <c r="I5" s="374"/>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4"/>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783727</v>
      </c>
      <c r="E21" s="353">
        <f>SUM(E5:E20)</f>
        <v>0</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241739</v>
      </c>
      <c r="G24" s="302">
        <f>'DOE25'!L230+'DOE25'!L310</f>
        <v>241739</v>
      </c>
      <c r="H24" s="355">
        <f>F24-G24</f>
        <v>0</v>
      </c>
      <c r="I24" s="373"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241739</v>
      </c>
      <c r="E25" s="293"/>
      <c r="F25" s="306">
        <f>D25+E25</f>
        <v>241739</v>
      </c>
      <c r="G25" s="296"/>
      <c r="H25" s="296"/>
      <c r="I25" s="374"/>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4"/>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241739</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472896</v>
      </c>
      <c r="G36" s="302">
        <f>'DOE25'!L248+'DOE25'!L329</f>
        <v>472896</v>
      </c>
      <c r="H36" s="355">
        <f>IF(AND(D43='DOE25'!L248,'School Level Expenditures'!E43='DOE25'!L329),'School Level Expenditures'!F36-'School Level Expenditures'!G36,"Does not match page 7 or 11 totals!!")</f>
        <v>0</v>
      </c>
      <c r="I36" s="373"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472896</v>
      </c>
      <c r="E37" s="293"/>
      <c r="F37" s="306">
        <f t="shared" ref="F37:F42" si="2">D37+E37</f>
        <v>472896</v>
      </c>
      <c r="G37" s="296"/>
      <c r="H37" s="296"/>
      <c r="I37" s="374"/>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4"/>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472896</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2"/>
      <c r="B58" s="372"/>
      <c r="C58" s="372"/>
      <c r="D58" s="372"/>
      <c r="E58" s="372"/>
      <c r="F58" s="372"/>
      <c r="G58" s="372"/>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5" zoomScaleNormal="125"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SULLIVAN SCHOOL DISTRICT  SAU 96</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222477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297938.96000000002</v>
      </c>
      <c r="H11" s="124"/>
      <c r="I11" s="124"/>
    </row>
    <row r="12" spans="1:9" x14ac:dyDescent="0.2">
      <c r="A12" s="1" t="s">
        <v>143</v>
      </c>
      <c r="B12" s="6">
        <v>140</v>
      </c>
      <c r="C12" s="95">
        <f>'DOE25'!F13</f>
        <v>158800</v>
      </c>
      <c r="D12" s="95">
        <f>'DOE25'!G13</f>
        <v>0</v>
      </c>
      <c r="E12" s="95">
        <f>'DOE25'!H13</f>
        <v>0</v>
      </c>
      <c r="F12" s="95">
        <f>'DOE25'!I13</f>
        <v>0</v>
      </c>
      <c r="G12" s="95">
        <f>'DOE25'!J13</f>
        <v>17724</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381277</v>
      </c>
      <c r="D18" s="41">
        <f>SUM(D8:D17)</f>
        <v>0</v>
      </c>
      <c r="E18" s="41">
        <f>SUM(E8:E17)</f>
        <v>0</v>
      </c>
      <c r="F18" s="41">
        <f>SUM(F8:F17)</f>
        <v>0</v>
      </c>
      <c r="G18" s="41">
        <f>SUM(G8:G17)</f>
        <v>315662.96000000002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452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452</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315662.96000000002</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380825</v>
      </c>
      <c r="D49" s="24" t="s">
        <v>288</v>
      </c>
      <c r="E49" s="24" t="s">
        <v>288</v>
      </c>
      <c r="F49" s="24" t="s">
        <v>288</v>
      </c>
      <c r="G49" s="24" t="s">
        <v>288</v>
      </c>
      <c r="H49" s="124"/>
      <c r="I49" s="124"/>
    </row>
    <row r="50" spans="1:9" ht="12.75" thickTop="1" thickBot="1" x14ac:dyDescent="0.25">
      <c r="A50" s="38" t="s">
        <v>884</v>
      </c>
      <c r="B50" s="48"/>
      <c r="C50" s="41">
        <f>SUM(C34:C49)</f>
        <v>380825</v>
      </c>
      <c r="D50" s="41">
        <f>SUM(D34:D49)</f>
        <v>0</v>
      </c>
      <c r="E50" s="41">
        <f>SUM(E34:E49)</f>
        <v>0</v>
      </c>
      <c r="F50" s="41">
        <f>SUM(F34:F49)</f>
        <v>0</v>
      </c>
      <c r="G50" s="41">
        <f>SUM(G34:G49)</f>
        <v>315662.96000000002</v>
      </c>
      <c r="H50" s="124"/>
      <c r="I50" s="124"/>
    </row>
    <row r="51" spans="1:9" ht="12" thickTop="1" x14ac:dyDescent="0.2">
      <c r="A51" s="38" t="s">
        <v>885</v>
      </c>
      <c r="B51" s="2"/>
      <c r="C51" s="41">
        <f>C50+C31</f>
        <v>381277</v>
      </c>
      <c r="D51" s="41">
        <f>D50+D31</f>
        <v>0</v>
      </c>
      <c r="E51" s="41">
        <f>E50+E31</f>
        <v>0</v>
      </c>
      <c r="F51" s="41">
        <f>F50+F31</f>
        <v>0</v>
      </c>
      <c r="G51" s="41">
        <f>G50+G31</f>
        <v>315662.96000000002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954540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942</v>
      </c>
      <c r="D59" s="95">
        <f>'DOE25'!G96</f>
        <v>0</v>
      </c>
      <c r="E59" s="95">
        <f>'DOE25'!H96</f>
        <v>0</v>
      </c>
      <c r="F59" s="95">
        <f>'DOE25'!I96</f>
        <v>0</v>
      </c>
      <c r="G59" s="95">
        <f>'DOE25'!J96</f>
        <v>17724</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942</v>
      </c>
      <c r="D62" s="130">
        <f>SUM(D57:D61)</f>
        <v>0</v>
      </c>
      <c r="E62" s="130">
        <f>SUM(E57:E61)</f>
        <v>0</v>
      </c>
      <c r="F62" s="130">
        <f>SUM(F57:F61)</f>
        <v>0</v>
      </c>
      <c r="G62" s="130">
        <f>SUM(G57:G61)</f>
        <v>17724</v>
      </c>
      <c r="H62"/>
      <c r="I62"/>
    </row>
    <row r="63" spans="1:9" ht="12" thickTop="1" x14ac:dyDescent="0.2">
      <c r="A63" s="29" t="s">
        <v>175</v>
      </c>
      <c r="B63" s="6"/>
      <c r="C63" s="22">
        <f>C56+C62</f>
        <v>955482</v>
      </c>
      <c r="D63" s="22">
        <f>D56+D62</f>
        <v>0</v>
      </c>
      <c r="E63" s="22">
        <f>E56+E62</f>
        <v>0</v>
      </c>
      <c r="F63" s="22">
        <f>F56+F62</f>
        <v>0</v>
      </c>
      <c r="G63" s="22">
        <f>G56+G62</f>
        <v>17724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742160</v>
      </c>
      <c r="D66" s="24" t="s">
        <v>288</v>
      </c>
      <c r="E66" s="24" t="s">
        <v>288</v>
      </c>
      <c r="F66" s="24" t="s">
        <v>288</v>
      </c>
      <c r="G66" s="24" t="s">
        <v>288</v>
      </c>
      <c r="H66"/>
      <c r="I66"/>
    </row>
    <row r="67" spans="1:9" x14ac:dyDescent="0.2">
      <c r="A67" s="1" t="s">
        <v>770</v>
      </c>
      <c r="B67" s="6">
        <v>3112</v>
      </c>
      <c r="C67" s="95">
        <f>'DOE25'!F118</f>
        <v>103023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845183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845183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50375</v>
      </c>
      <c r="D87" s="24" t="s">
        <v>288</v>
      </c>
      <c r="E87" s="95">
        <f>SUM('DOE25'!H149:H152)</f>
        <v>0</v>
      </c>
      <c r="F87" s="95">
        <f>SUM('DOE25'!I149:I152)</f>
        <v>0</v>
      </c>
      <c r="G87" s="24" t="s">
        <v>288</v>
      </c>
    </row>
    <row r="88" spans="1:9" x14ac:dyDescent="0.2">
      <c r="A88" s="290" t="s">
        <v>747</v>
      </c>
      <c r="B88" s="332" t="s">
        <v>184</v>
      </c>
      <c r="C88" s="333">
        <f>SUM('DOE25'!F153:F162)</f>
        <v>16200</v>
      </c>
      <c r="D88" s="333">
        <f>SUM('DOE25'!G153:G162)</f>
        <v>0</v>
      </c>
      <c r="E88" s="333">
        <f>SUM('DOE25'!H153:H162)</f>
        <v>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66575</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25000</v>
      </c>
    </row>
    <row r="104" spans="1:7" ht="12.75" thickTop="1" thickBot="1" x14ac:dyDescent="0.25">
      <c r="A104" s="33" t="s">
        <v>761</v>
      </c>
      <c r="C104" s="86">
        <f>C63+C81+C91+C103</f>
        <v>1867240</v>
      </c>
      <c r="D104" s="86">
        <f>D63+D81+D91+D103</f>
        <v>0</v>
      </c>
      <c r="E104" s="86">
        <f>E63+E81+E91+E103</f>
        <v>0</v>
      </c>
      <c r="F104" s="86">
        <f>F63+F81+F91+F103</f>
        <v>0</v>
      </c>
      <c r="G104" s="86">
        <f>G63+G81+G103</f>
        <v>42724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1008081</v>
      </c>
      <c r="D109" s="24" t="s">
        <v>288</v>
      </c>
      <c r="E109" s="95">
        <f>('DOE25'!L277)+('DOE25'!L296)+('DOE25'!L315)</f>
        <v>0</v>
      </c>
      <c r="F109" s="24" t="s">
        <v>288</v>
      </c>
      <c r="G109" s="24" t="s">
        <v>288</v>
      </c>
    </row>
    <row r="110" spans="1:7" x14ac:dyDescent="0.2">
      <c r="A110" t="s">
        <v>198</v>
      </c>
      <c r="B110" s="32" t="s">
        <v>199</v>
      </c>
      <c r="C110" s="95">
        <f>('DOE25'!L199)+('DOE25'!L217)+('DOE25'!L235)</f>
        <v>275320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1283401</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51921</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442</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162598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214961</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42724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-17724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25000</v>
      </c>
      <c r="D144" s="141">
        <f>SUM(D130:D143)</f>
        <v>0</v>
      </c>
      <c r="E144" s="141">
        <f>SUM(E130:E143)</f>
        <v>0</v>
      </c>
      <c r="F144" s="141">
        <f>SUM(F130:F143)</f>
        <v>0</v>
      </c>
      <c r="G144" s="141">
        <f>SUM(G130:G143)</f>
        <v>0</v>
      </c>
    </row>
    <row r="145" spans="1:9" ht="12.75" thickTop="1" thickBot="1" x14ac:dyDescent="0.25">
      <c r="A145" s="33" t="s">
        <v>244</v>
      </c>
      <c r="C145" s="86">
        <f>(C115+C128+C144)</f>
        <v>1523362</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75" t="s">
        <v>736</v>
      </c>
      <c r="B1" s="375"/>
      <c r="C1" s="375"/>
      <c r="D1" s="375"/>
    </row>
    <row r="2" spans="1:4" x14ac:dyDescent="0.2">
      <c r="A2" s="187" t="s">
        <v>713</v>
      </c>
      <c r="B2" s="186" t="str">
        <f>'DOE25'!A2</f>
        <v>SULLIVAN SCHOOL DISTRICT  SAU 96</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1008081</v>
      </c>
      <c r="D10" s="182">
        <f>ROUND((C10/$C$28)*100,1)</f>
        <v>67.3</v>
      </c>
    </row>
    <row r="11" spans="1:4" x14ac:dyDescent="0.2">
      <c r="A11">
        <v>1200</v>
      </c>
      <c r="B11" t="s">
        <v>703</v>
      </c>
      <c r="C11" s="179">
        <f>ROUND('DOE25'!L199+'DOE25'!L217+'DOE25'!L235+'DOE25'!L278+'DOE25'!L297+'DOE25'!L316,0)</f>
        <v>275320</v>
      </c>
      <c r="D11" s="182">
        <f>ROUND((C11/$C$28)*100,1)</f>
        <v>18.399999999999999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51921</v>
      </c>
      <c r="D17" s="182">
        <f t="shared" si="0"/>
        <v>3.5</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442</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162598</v>
      </c>
      <c r="D21" s="182">
        <f t="shared" si="0"/>
        <v>10.9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1498362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1498362</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954540</v>
      </c>
      <c r="D35" s="182">
        <f t="shared" ref="D35:D40" si="1">ROUND((C35/$C$41)*100,1)</f>
        <v>50.6</v>
      </c>
    </row>
    <row r="36" spans="1:4" x14ac:dyDescent="0.2">
      <c r="B36" s="185" t="s">
        <v>739</v>
      </c>
      <c r="C36" s="179">
        <f>SUM('DOE25'!F112:J112)-SUM('DOE25'!G97:G110)+('DOE25'!F175+'DOE25'!F176+'DOE25'!I175+'DOE25'!I176)-C35</f>
        <v>18666</v>
      </c>
      <c r="D36" s="182">
        <f t="shared" si="1"/>
        <v>1</v>
      </c>
    </row>
    <row r="37" spans="1:4" x14ac:dyDescent="0.2">
      <c r="A37" s="183" t="s">
        <v>835</v>
      </c>
      <c r="B37" s="185" t="s">
        <v>728</v>
      </c>
      <c r="C37" s="179">
        <f>ROUND('DOE25'!F117+'DOE25'!F118,0)</f>
        <v>845183</v>
      </c>
      <c r="D37" s="182">
        <f t="shared" si="1"/>
        <v>44.8</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66575</v>
      </c>
      <c r="D39" s="182">
        <f t="shared" si="1"/>
        <v>3.5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1884964</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ColWidth="8.6640625" defaultRowHeight="11.25" x14ac:dyDescent="0.2"/>
  <cols>
    <col min="1" max="1" width="10.16406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SULLIVAN SCHOOL DISTRICT  SAU 96</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2021-08-23T20:21:12Z</cp:lastPrinted>
  <dcterms:created xsi:type="dcterms:W3CDTF">1997-12-04T19:04:30Z</dcterms:created>
  <dcterms:modified xsi:type="dcterms:W3CDTF">2021-09-21T12:50:20Z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