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17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74" i="1" l="1"/>
  <c r="F470" i="1" l="1"/>
  <c r="I593" i="1" l="1"/>
  <c r="J593" i="1"/>
  <c r="F244" i="1" l="1"/>
  <c r="I208" i="1"/>
  <c r="I244" i="1"/>
  <c r="J596" i="1" l="1"/>
  <c r="F460" i="1"/>
  <c r="H592" i="1"/>
  <c r="J592" i="1"/>
  <c r="I592" i="1"/>
  <c r="J605" i="1"/>
  <c r="I605" i="1"/>
  <c r="H605" i="1"/>
  <c r="G13" i="1"/>
  <c r="H244" i="1" l="1"/>
  <c r="H226" i="1"/>
  <c r="H208" i="1"/>
  <c r="J226" i="1"/>
  <c r="I226" i="1"/>
  <c r="J240" i="1"/>
  <c r="J244" i="1"/>
  <c r="J222" i="1"/>
  <c r="J204" i="1"/>
  <c r="I240" i="1"/>
  <c r="I222" i="1"/>
  <c r="I204" i="1"/>
  <c r="H204" i="1"/>
  <c r="H201" i="1"/>
  <c r="H583" i="1"/>
  <c r="H524" i="1"/>
  <c r="H235" i="1"/>
  <c r="I198" i="1"/>
  <c r="F614" i="1"/>
  <c r="F613" i="1"/>
  <c r="H523" i="1"/>
  <c r="H522" i="1"/>
  <c r="H217" i="1"/>
  <c r="H199" i="1"/>
  <c r="G583" i="1"/>
  <c r="I596" i="1"/>
  <c r="J595" i="1"/>
  <c r="G524" i="1"/>
  <c r="G523" i="1"/>
  <c r="G522" i="1"/>
  <c r="F524" i="1"/>
  <c r="F523" i="1"/>
  <c r="F522" i="1"/>
  <c r="K524" i="1"/>
  <c r="J524" i="1"/>
  <c r="I524" i="1"/>
  <c r="K523" i="1"/>
  <c r="J523" i="1"/>
  <c r="I523" i="1"/>
  <c r="G527" i="1"/>
  <c r="F527" i="1"/>
  <c r="K522" i="1" l="1"/>
  <c r="J522" i="1"/>
  <c r="I522" i="1"/>
  <c r="H156" i="1"/>
  <c r="H155" i="1"/>
  <c r="H159" i="1"/>
  <c r="F63" i="1"/>
  <c r="F9" i="1"/>
  <c r="I359" i="1" l="1"/>
  <c r="H361" i="1"/>
  <c r="H360" i="1"/>
  <c r="H359" i="1"/>
  <c r="F361" i="1"/>
  <c r="F360" i="1"/>
  <c r="F359" i="1"/>
  <c r="G158" i="1"/>
  <c r="G132" i="1"/>
  <c r="B39" i="12"/>
  <c r="B37" i="12"/>
  <c r="C39" i="12"/>
  <c r="C37" i="12"/>
  <c r="C20" i="12"/>
  <c r="C21" i="12"/>
  <c r="C19" i="12"/>
  <c r="B19" i="12"/>
  <c r="B20" i="12"/>
  <c r="B21" i="12"/>
  <c r="C11" i="12"/>
  <c r="B10" i="12"/>
  <c r="B11" i="12"/>
  <c r="F198" i="1" l="1"/>
  <c r="K245" i="1"/>
  <c r="K227" i="1"/>
  <c r="K209" i="1"/>
  <c r="K242" i="1"/>
  <c r="K224" i="1"/>
  <c r="K206" i="1"/>
  <c r="K241" i="1"/>
  <c r="K223" i="1"/>
  <c r="K205" i="1"/>
  <c r="K219" i="1"/>
  <c r="K237" i="1"/>
  <c r="K235" i="1"/>
  <c r="K217" i="1"/>
  <c r="K199" i="1"/>
  <c r="J245" i="1"/>
  <c r="J227" i="1"/>
  <c r="J209" i="1"/>
  <c r="J235" i="1"/>
  <c r="J217" i="1"/>
  <c r="J199" i="1"/>
  <c r="J234" i="1"/>
  <c r="J216" i="1"/>
  <c r="J198" i="1"/>
  <c r="I245" i="1"/>
  <c r="I209" i="1"/>
  <c r="I242" i="1"/>
  <c r="I224" i="1"/>
  <c r="I206" i="1"/>
  <c r="I241" i="1"/>
  <c r="I223" i="1"/>
  <c r="I205" i="1"/>
  <c r="I239" i="1"/>
  <c r="I221" i="1"/>
  <c r="I203" i="1"/>
  <c r="I237" i="1"/>
  <c r="I219" i="1"/>
  <c r="I235" i="1"/>
  <c r="I217" i="1"/>
  <c r="I199" i="1"/>
  <c r="I234" i="1"/>
  <c r="I216" i="1"/>
  <c r="H242" i="1"/>
  <c r="H224" i="1"/>
  <c r="H206" i="1"/>
  <c r="H241" i="1"/>
  <c r="H223" i="1"/>
  <c r="H205" i="1"/>
  <c r="H240" i="1"/>
  <c r="H222" i="1"/>
  <c r="H239" i="1"/>
  <c r="H221" i="1"/>
  <c r="H203" i="1"/>
  <c r="H237" i="1"/>
  <c r="H219" i="1"/>
  <c r="H234" i="1"/>
  <c r="H216" i="1"/>
  <c r="F234" i="1" l="1"/>
  <c r="F237" i="1"/>
  <c r="F219" i="1"/>
  <c r="F201" i="1"/>
  <c r="F245" i="1"/>
  <c r="F227" i="1"/>
  <c r="F209" i="1"/>
  <c r="F208" i="1"/>
  <c r="F226" i="1"/>
  <c r="F242" i="1"/>
  <c r="F224" i="1"/>
  <c r="F206" i="1"/>
  <c r="F241" i="1"/>
  <c r="F223" i="1"/>
  <c r="F205" i="1"/>
  <c r="F240" i="1"/>
  <c r="F222" i="1"/>
  <c r="F204" i="1"/>
  <c r="F203" i="1" l="1"/>
  <c r="F239" i="1"/>
  <c r="F221" i="1"/>
  <c r="F199" i="1"/>
  <c r="F235" i="1"/>
  <c r="F217" i="1"/>
  <c r="F216" i="1"/>
  <c r="G653" i="1" l="1"/>
  <c r="E7" i="17" l="1"/>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H8" i="13"/>
  <c r="L205" i="1"/>
  <c r="L223"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F111" i="1"/>
  <c r="G111" i="1"/>
  <c r="H79" i="1"/>
  <c r="H94" i="1"/>
  <c r="H111" i="1"/>
  <c r="I111" i="1"/>
  <c r="I112" i="1" s="1"/>
  <c r="J111" i="1"/>
  <c r="F121" i="1"/>
  <c r="F136" i="1"/>
  <c r="G121" i="1"/>
  <c r="G136" i="1"/>
  <c r="H121" i="1"/>
  <c r="H136" i="1"/>
  <c r="I121" i="1"/>
  <c r="I136" i="1"/>
  <c r="J121" i="1"/>
  <c r="J136" i="1"/>
  <c r="F147" i="1"/>
  <c r="C85" i="2" s="1"/>
  <c r="G147" i="1"/>
  <c r="H147" i="1"/>
  <c r="H170" i="1" s="1"/>
  <c r="I147" i="1"/>
  <c r="F85" i="2"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7" i="1"/>
  <c r="G641" i="1"/>
  <c r="G644" i="1"/>
  <c r="G645" i="1"/>
  <c r="H653" i="1"/>
  <c r="G654" i="1"/>
  <c r="H654" i="1"/>
  <c r="G655" i="1"/>
  <c r="H655" i="1"/>
  <c r="H656" i="1"/>
  <c r="J656" i="1" s="1"/>
  <c r="C12" i="10" l="1"/>
  <c r="F170" i="1"/>
  <c r="E125" i="2"/>
  <c r="E121" i="2"/>
  <c r="E112" i="2"/>
  <c r="J140" i="1"/>
  <c r="H140" i="1"/>
  <c r="G62" i="2"/>
  <c r="E120" i="2"/>
  <c r="G646" i="1"/>
  <c r="K339" i="1"/>
  <c r="I170" i="1"/>
  <c r="C32" i="10"/>
  <c r="D18" i="13"/>
  <c r="C18" i="13" s="1"/>
  <c r="F409" i="1"/>
  <c r="H644" i="1" s="1"/>
  <c r="E131" i="2"/>
  <c r="E144" i="2" s="1"/>
  <c r="K353" i="1"/>
  <c r="I409" i="1"/>
  <c r="J112" i="1"/>
  <c r="J194" i="1" s="1"/>
  <c r="G647" i="1" s="1"/>
  <c r="C112" i="2"/>
  <c r="C119" i="2"/>
  <c r="G663" i="1"/>
  <c r="H663" i="1"/>
  <c r="D15" i="13"/>
  <c r="C15" i="13" s="1"/>
  <c r="C121" i="2"/>
  <c r="G8" i="13"/>
  <c r="J248" i="1"/>
  <c r="J258" i="1" s="1"/>
  <c r="L241" i="1"/>
  <c r="C120" i="2" s="1"/>
  <c r="D6" i="13"/>
  <c r="C6" i="13" s="1"/>
  <c r="C13" i="10"/>
  <c r="A40" i="12"/>
  <c r="C110" i="2"/>
  <c r="J652" i="1"/>
  <c r="E123" i="2"/>
  <c r="E119" i="2"/>
  <c r="E110" i="2"/>
  <c r="E13" i="13"/>
  <c r="C13" i="13" s="1"/>
  <c r="H409" i="1"/>
  <c r="H645" i="1" s="1"/>
  <c r="G339" i="1"/>
  <c r="G353" i="1" s="1"/>
  <c r="G662" i="1"/>
  <c r="J572" i="1"/>
  <c r="D50"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E25" i="14" s="1"/>
  <c r="E33" i="14" s="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28" i="16"/>
  <c r="L329" i="1"/>
  <c r="E37" i="14" s="1"/>
  <c r="E43" i="14" s="1"/>
  <c r="E122" i="2"/>
  <c r="L291" i="1"/>
  <c r="E5" i="14" s="1"/>
  <c r="E21" i="14" s="1"/>
  <c r="L615" i="1"/>
  <c r="K599" i="1"/>
  <c r="G648" i="1" s="1"/>
  <c r="K572" i="1"/>
  <c r="L571" i="1"/>
  <c r="H572" i="1"/>
  <c r="L566" i="1"/>
  <c r="I572" i="1"/>
  <c r="K546" i="1"/>
  <c r="H52" i="1"/>
  <c r="H620" i="1" s="1"/>
  <c r="J620" i="1" s="1"/>
  <c r="C114" i="2"/>
  <c r="G112" i="1"/>
  <c r="B10" i="16" s="1"/>
  <c r="E118" i="2"/>
  <c r="L212" i="1"/>
  <c r="D5" i="14" s="1"/>
  <c r="H648" i="1"/>
  <c r="J645"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D25"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B17" i="16" l="1"/>
  <c r="B19" i="16" s="1"/>
  <c r="G473" i="1"/>
  <c r="H194" i="1"/>
  <c r="E128" i="2"/>
  <c r="C141" i="2"/>
  <c r="C144" i="2" s="1"/>
  <c r="D33" i="14"/>
  <c r="F25" i="14"/>
  <c r="F24" i="14" s="1"/>
  <c r="D21" i="14"/>
  <c r="F5" i="14"/>
  <c r="F4" i="14" s="1"/>
  <c r="F194" i="1"/>
  <c r="F469" i="1" s="1"/>
  <c r="D51" i="2"/>
  <c r="E51" i="2"/>
  <c r="G24" i="14"/>
  <c r="H649" i="1"/>
  <c r="J649" i="1" s="1"/>
  <c r="E115" i="2"/>
  <c r="F661" i="1"/>
  <c r="F665" i="1" s="1"/>
  <c r="F668" i="1" s="1"/>
  <c r="I663" i="1"/>
  <c r="C17" i="10"/>
  <c r="E8" i="13"/>
  <c r="C8" i="13" s="1"/>
  <c r="L248" i="1"/>
  <c r="J272" i="1"/>
  <c r="C81" i="2"/>
  <c r="L572" i="1"/>
  <c r="F51" i="2"/>
  <c r="E104" i="2"/>
  <c r="C36" i="10"/>
  <c r="L435" i="1"/>
  <c r="I662" i="1"/>
  <c r="G104" i="2"/>
  <c r="L339" i="1"/>
  <c r="L353" i="1" s="1"/>
  <c r="I194" i="1"/>
  <c r="G631" i="1" s="1"/>
  <c r="J631" i="1" s="1"/>
  <c r="G636" i="1"/>
  <c r="G51" i="2"/>
  <c r="D104" i="2"/>
  <c r="L409" i="1"/>
  <c r="C27" i="10"/>
  <c r="G4" i="14"/>
  <c r="L546" i="1"/>
  <c r="J626" i="1"/>
  <c r="F104" i="2"/>
  <c r="B14" i="16"/>
  <c r="B22" i="16" s="1"/>
  <c r="J648" i="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29" i="1" l="1"/>
  <c r="G469" i="1"/>
  <c r="G639" i="1"/>
  <c r="J473" i="1"/>
  <c r="E145" i="2"/>
  <c r="G630" i="1"/>
  <c r="H469" i="1"/>
  <c r="G475" i="1"/>
  <c r="H636" i="1"/>
  <c r="J636" i="1" s="1"/>
  <c r="G634" i="1"/>
  <c r="H473" i="1"/>
  <c r="H632" i="1"/>
  <c r="J632" i="1" s="1"/>
  <c r="H638" i="1"/>
  <c r="J471" i="1"/>
  <c r="G628" i="1"/>
  <c r="J628" i="1" s="1"/>
  <c r="F471" i="1"/>
  <c r="H628" i="1"/>
  <c r="H24" i="14"/>
  <c r="I24" i="14" s="1"/>
  <c r="H4" i="14"/>
  <c r="I4" i="14" s="1"/>
  <c r="H661" i="1"/>
  <c r="H665" i="1" s="1"/>
  <c r="H668" i="1" s="1"/>
  <c r="D37" i="14"/>
  <c r="C104" i="2"/>
  <c r="C28" i="10"/>
  <c r="D23" i="10" s="1"/>
  <c r="E33" i="13"/>
  <c r="D35" i="13" s="1"/>
  <c r="L258" i="1"/>
  <c r="L272" i="1" s="1"/>
  <c r="F473" i="1" s="1"/>
  <c r="G36" i="14"/>
  <c r="F673" i="1"/>
  <c r="C4" i="10" s="1"/>
  <c r="G668" i="1"/>
  <c r="C145" i="2"/>
  <c r="G638" i="1"/>
  <c r="H647" i="1"/>
  <c r="J647" i="1" s="1"/>
  <c r="D33" i="13"/>
  <c r="D36" i="13" s="1"/>
  <c r="C41" i="10"/>
  <c r="D38" i="10" s="1"/>
  <c r="H471" i="1" l="1"/>
  <c r="H630" i="1"/>
  <c r="J630" i="1" s="1"/>
  <c r="G471" i="1"/>
  <c r="G477" i="1" s="1"/>
  <c r="H629" i="1"/>
  <c r="J629" i="1" s="1"/>
  <c r="J475" i="1"/>
  <c r="J477" i="1" s="1"/>
  <c r="H627" i="1" s="1"/>
  <c r="J627" i="1" s="1"/>
  <c r="H639" i="1"/>
  <c r="J639" i="1" s="1"/>
  <c r="H475" i="1"/>
  <c r="H477" i="1" s="1"/>
  <c r="H625" i="1" s="1"/>
  <c r="J625" i="1" s="1"/>
  <c r="H634" i="1"/>
  <c r="J634" i="1" s="1"/>
  <c r="J638" i="1"/>
  <c r="H673" i="1"/>
  <c r="C6" i="10" s="1"/>
  <c r="I661" i="1"/>
  <c r="I665" i="1" s="1"/>
  <c r="I673" i="1" s="1"/>
  <c r="C7" i="10" s="1"/>
  <c r="D43" i="14"/>
  <c r="F37" i="14"/>
  <c r="F36" i="14" s="1"/>
  <c r="H36" i="14" s="1"/>
  <c r="I36" i="14" s="1"/>
  <c r="G633" i="1"/>
  <c r="D10" i="10"/>
  <c r="D11" i="10"/>
  <c r="D26" i="10"/>
  <c r="D24" i="10"/>
  <c r="D21" i="10"/>
  <c r="D25" i="10"/>
  <c r="D19" i="10"/>
  <c r="D15" i="10"/>
  <c r="D17" i="10"/>
  <c r="D27" i="10"/>
  <c r="D18" i="10"/>
  <c r="D12" i="10"/>
  <c r="D22" i="10"/>
  <c r="D13" i="10"/>
  <c r="D16" i="10"/>
  <c r="C30" i="10"/>
  <c r="D20" i="10"/>
  <c r="D37" i="10"/>
  <c r="D36" i="10"/>
  <c r="D35" i="10"/>
  <c r="D40" i="10"/>
  <c r="D39" i="10"/>
  <c r="H624" i="1" l="1"/>
  <c r="J624" i="1" s="1"/>
  <c r="B33" i="16"/>
  <c r="I668" i="1"/>
  <c r="H633" i="1"/>
  <c r="J633" i="1" s="1"/>
  <c r="F475" i="1"/>
  <c r="F477" i="1" s="1"/>
  <c r="H623" i="1" s="1"/>
  <c r="J623" i="1" s="1"/>
  <c r="D28" i="10"/>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<sst xmlns="http://schemas.openxmlformats.org/spreadsheetml/2006/main" count="5578" uniqueCount="1676">
  <si>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</si>
  <si>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</si>
  <si>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</si>
  <si>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</si>
  <si>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</si>
  <si>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</si>
  <si>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</si>
  <si>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</si>
  <si>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</si>
  <si>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</si>
  <si>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</si>
  <si>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</si>
  <si>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</si>
  <si>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</si>
  <si>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</si>
  <si>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</si>
  <si>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</si>
  <si>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</si>
  <si>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</si>
  <si>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</si>
  <si>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</si>
  <si>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</si>
  <si>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</si>
  <si>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</si>
  <si>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</si>
  <si>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</si>
  <si>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</si>
  <si>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</si>
  <si>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</si>
  <si>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</si>
  <si>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</si>
  <si>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</si>
  <si>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</si>
  <si>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</si>
  <si>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</si>
  <si>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</si>
  <si>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</si>
  <si>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</si>
  <si>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</si>
  <si>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</si>
  <si>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</si>
  <si>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</si>
  <si>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</si>
  <si>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</si>
  <si>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</si>
  <si>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</si>
  <si>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</si>
  <si>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</si>
  <si>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</si>
  <si>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</si>
  <si>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</si>
  <si>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</si>
  <si>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</si>
  <si>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</si>
  <si>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</si>
  <si>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</si>
  <si>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</si>
  <si>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</si>
  <si>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</si>
  <si>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</si>
  <si>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</si>
  <si>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</si>
  <si>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</si>
  <si>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</si>
  <si>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</si>
  <si>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</si>
  <si>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</si>
  <si>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</si>
  <si>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</si>
  <si>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</si>
  <si>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</si>
  <si>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</si>
  <si>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</si>
  <si>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</si>
  <si>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</si>
  <si>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</si>
  <si>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</si>
  <si>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</si>
  <si>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</si>
  <si>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</si>
  <si>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</si>
  <si>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</si>
  <si>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</si>
  <si>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</si>
  <si>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</si>
  <si>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</si>
  <si>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</si>
  <si>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</si>
  <si>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</si>
  <si>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</si>
  <si>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</si>
  <si>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</si>
  <si>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</si>
  <si>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</si>
  <si>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</si>
  <si>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</si>
  <si>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</si>
  <si>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</si>
  <si>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</si>
  <si>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</si>
  <si>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</si>
  <si>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</si>
  <si>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</si>
  <si>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</si>
  <si>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</si>
  <si>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</si>
  <si>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</si>
  <si>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</si>
  <si>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</si>
  <si>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</si>
  <si>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</si>
  <si>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</si>
  <si>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</si>
  <si>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</si>
  <si>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</si>
  <si>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</si>
  <si>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</si>
  <si>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</si>
  <si>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</si>
  <si>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</si>
  <si>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</si>
  <si>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</si>
  <si>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</si>
  <si>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</si>
  <si>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</si>
  <si>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</si>
  <si>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</si>
  <si>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</si>
  <si>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</si>
  <si>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</si>
  <si>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</si>
  <si>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</si>
  <si>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</si>
  <si>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</si>
  <si>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</si>
  <si>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</si>
  <si>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</si>
  <si>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</si>
  <si>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</si>
  <si>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</si>
  <si>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</si>
  <si>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</si>
  <si>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</si>
  <si>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</si>
  <si>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</si>
  <si>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</si>
  <si>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</si>
  <si>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</si>
  <si>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</si>
  <si>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</si>
  <si>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</si>
  <si>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</si>
  <si>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</si>
  <si>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</si>
  <si>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</si>
  <si>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</si>
  <si>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</si>
  <si>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</si>
  <si>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</si>
  <si>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</si>
  <si>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</si>
  <si>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</si>
  <si>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</si>
  <si>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</si>
  <si>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</si>
  <si>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</si>
  <si>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</si>
  <si>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</si>
  <si>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</si>
  <si>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</si>
  <si>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</si>
  <si>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</si>
  <si>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</si>
  <si>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</si>
  <si>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</si>
  <si>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</si>
  <si>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</si>
  <si>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</si>
  <si>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</si>
  <si>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</si>
  <si>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</si>
  <si>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</si>
  <si>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</si>
  <si>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</si>
  <si>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</si>
  <si>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</si>
  <si>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</si>
  <si>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</si>
  <si>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</si>
  <si>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</si>
  <si>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</si>
  <si>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</si>
  <si>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</si>
  <si>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</si>
  <si>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</si>
  <si>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</si>
  <si>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</si>
  <si>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</si>
  <si>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</si>
  <si>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</si>
  <si>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</si>
  <si>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</si>
  <si>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</si>
  <si>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</si>
  <si>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</si>
  <si>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</si>
  <si>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</si>
  <si>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</si>
  <si>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</si>
  <si>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</si>
  <si>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</si>
  <si>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</si>
  <si>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</si>
  <si>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</si>
  <si>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</si>
  <si>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</si>
  <si>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</si>
  <si>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</si>
  <si>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</si>
  <si>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</si>
  <si>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</si>
  <si>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</si>
  <si>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</si>
  <si>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</si>
  <si>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</si>
  <si>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</si>
  <si>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</si>
  <si>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</si>
  <si>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</si>
  <si>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</si>
  <si>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</si>
  <si>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</si>
  <si>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</si>
  <si>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</si>
  <si>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</si>
  <si>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</si>
  <si>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</si>
  <si>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</si>
  <si>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</si>
  <si>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</si>
  <si>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</si>
  <si>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</si>
  <si>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</si>
  <si>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</si>
  <si>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</si>
  <si>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</si>
  <si>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</si>
  <si>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</si>
  <si>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</si>
  <si>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</si>
  <si>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</si>
  <si>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</si>
  <si>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</si>
  <si>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</si>
  <si>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</si>
  <si>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</si>
  <si>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</si>
  <si>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</si>
  <si>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</si>
  <si>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</si>
  <si>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</si>
  <si>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</si>
  <si>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</si>
  <si>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</si>
  <si>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</si>
  <si>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</si>
  <si>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</si>
  <si>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</si>
  <si>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</si>
  <si>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</si>
  <si>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</si>
  <si>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</si>
  <si>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</si>
  <si>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</si>
  <si>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</si>
  <si>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</si>
  <si>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</si>
  <si>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</si>
  <si>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</si>
  <si>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</si>
  <si>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</si>
  <si>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</si>
  <si>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</si>
  <si>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</si>
  <si>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</si>
  <si>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</si>
  <si>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</si>
  <si>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</si>
  <si>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</si>
  <si>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</si>
  <si>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</si>
  <si>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</si>
  <si>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</si>
  <si>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</si>
  <si>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</si>
  <si>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</si>
  <si>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</si>
  <si>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</si>
  <si>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</si>
  <si>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</si>
  <si>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</si>
  <si>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</si>
  <si>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</si>
  <si>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</si>
  <si>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</si>
  <si>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</si>
  <si>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</si>
  <si>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</si>
  <si>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</si>
  <si>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</si>
  <si>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</si>
  <si>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</si>
  <si>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</si>
  <si>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</si>
  <si>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</si>
  <si>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</si>
  <si>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</si>
  <si>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</si>
  <si>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</si>
  <si>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</si>
  <si>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</si>
  <si>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</si>
  <si>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</si>
  <si>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</si>
  <si>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</si>
  <si>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</si>
  <si>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</si>
  <si>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</si>
  <si>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</si>
  <si>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</si>
  <si>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</si>
  <si>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</si>
  <si>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</si>
  <si>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</si>
  <si>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</si>
  <si>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</si>
  <si>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</si>
  <si>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</si>
  <si>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</si>
  <si>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</si>
  <si>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</si>
  <si>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</si>
  <si>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</si>
  <si>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</si>
  <si>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</si>
  <si>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</si>
  <si>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</si>
  <si>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</si>
  <si>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</si>
  <si>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</si>
  <si>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</si>
  <si>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</si>
  <si>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</si>
  <si>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</si>
  <si>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</si>
  <si>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</si>
  <si>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</si>
  <si>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</si>
  <si>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</si>
  <si>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</si>
  <si>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</si>
  <si>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</si>
  <si>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</si>
  <si>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</si>
  <si>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</si>
  <si>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</si>
  <si>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</si>
  <si>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</si>
  <si>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</si>
  <si>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</si>
  <si>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</si>
  <si>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</si>
  <si>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</si>
  <si>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</si>
  <si>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</si>
  <si>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</si>
  <si>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</si>
  <si>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</si>
  <si>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</si>
  <si>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</si>
  <si>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</si>
  <si>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</si>
  <si>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</si>
  <si>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</si>
  <si>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</si>
  <si>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</si>
  <si>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</si>
  <si>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</si>
  <si>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</si>
  <si>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</si>
  <si>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</si>
  <si>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</si>
  <si>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</si>
  <si>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</si>
  <si>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</si>
  <si>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</si>
  <si>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</si>
  <si>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</si>
  <si>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</si>
  <si>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</si>
  <si>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</si>
  <si>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</si>
  <si>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</si>
  <si>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</si>
  <si>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</si>
  <si>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</si>
  <si>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</si>
  <si>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</si>
  <si>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</si>
  <si>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</si>
  <si>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</si>
  <si>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</si>
  <si>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</si>
  <si>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</si>
  <si>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</si>
  <si>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</si>
  <si>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</si>
  <si>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</si>
  <si>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</si>
  <si>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</si>
  <si>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</si>
  <si>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</si>
  <si>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</si>
  <si>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</si>
  <si>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</si>
  <si>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</si>
  <si>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</si>
  <si>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</si>
  <si>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</si>
  <si>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</si>
  <si>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</si>
  <si>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</si>
  <si>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</si>
  <si>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</si>
  <si>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</si>
  <si>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</si>
  <si>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</si>
  <si>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</si>
  <si>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</si>
  <si>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</si>
  <si>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</si>
  <si>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</si>
  <si>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</si>
  <si>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</si>
  <si>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</si>
  <si>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</si>
  <si>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</si>
  <si>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</si>
  <si>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</si>
  <si>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</si>
  <si>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</si>
  <si>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</si>
  <si>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</si>
  <si>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</si>
  <si>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</si>
  <si>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</si>
  <si>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</si>
  <si>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</si>
  <si>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</si>
  <si>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</si>
  <si>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</si>
  <si>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</si>
  <si>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</si>
  <si>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</si>
  <si>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</si>
  <si>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</si>
  <si>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</si>
  <si>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</si>
  <si>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</si>
  <si>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</si>
  <si>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</si>
  <si>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</si>
  <si>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</si>
  <si>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</si>
  <si>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</si>
  <si>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</si>
  <si>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</si>
  <si>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</si>
  <si>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</si>
  <si>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</si>
  <si>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</si>
  <si>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</si>
  <si>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</si>
  <si>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</si>
  <si>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</si>
  <si>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</si>
  <si>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</si>
  <si>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</si>
  <si>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</si>
  <si>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</si>
  <si>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</si>
  <si>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</si>
  <si>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</si>
  <si>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</si>
  <si>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</si>
  <si>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</si>
  <si>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</si>
  <si>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</si>
  <si>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</si>
  <si>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</si>
  <si>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</si>
  <si>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</si>
  <si>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</si>
  <si>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</si>
  <si>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</si>
  <si>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</si>
  <si>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</si>
  <si>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</si>
  <si>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</si>
  <si>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</si>
  <si>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</si>
  <si>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</si>
  <si>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</si>
  <si>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</si>
  <si>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</si>
  <si>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</si>
  <si>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</si>
  <si>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</si>
  <si>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</si>
  <si>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</si>
  <si>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</si>
  <si>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</si>
  <si>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</si>
  <si>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</si>
  <si>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</si>
  <si>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</si>
  <si>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</si>
  <si>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</si>
  <si>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</si>
  <si>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</si>
  <si>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</si>
  <si>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</si>
  <si>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</si>
  <si>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</si>
  <si>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</si>
  <si>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</si>
  <si>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</si>
  <si>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</si>
  <si>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</si>
  <si>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</si>
  <si>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</si>
  <si>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</si>
  <si>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</si>
  <si>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</si>
  <si>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</si>
  <si>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</si>
  <si>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</si>
  <si>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</si>
  <si>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</si>
  <si>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</si>
  <si>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</si>
  <si>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</si>
  <si>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</si>
  <si>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</si>
  <si>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</si>
  <si>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</si>
  <si>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</si>
  <si>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</si>
  <si>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</si>
  <si>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</si>
  <si>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</si>
  <si>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</si>
  <si>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</si>
  <si>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</si>
  <si>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</si>
  <si>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</si>
  <si>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</si>
  <si>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</si>
  <si>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</si>
  <si>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</si>
  <si>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</si>
  <si>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</si>
  <si>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</si>
  <si>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</si>
  <si>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</si>
  <si>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</si>
  <si>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</si>
  <si>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</si>
  <si>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</si>
  <si>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</si>
  <si>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</si>
  <si>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</si>
  <si>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</si>
  <si>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</si>
  <si>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</si>
  <si>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</si>
  <si>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</si>
  <si>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</si>
  <si>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</si>
  <si>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</si>
  <si>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</si>
  <si>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</si>
  <si>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</si>
  <si>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</si>
  <si>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</si>
  <si>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</si>
  <si>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</si>
  <si>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</si>
  <si>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</si>
  <si>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</si>
  <si>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</si>
  <si>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</si>
  <si>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</si>
  <si>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</si>
  <si>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</si>
  <si>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</si>
  <si>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</si>
  <si>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</si>
  <si>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</si>
  <si>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</si>
  <si>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</si>
  <si>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</si>
  <si>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</si>
  <si>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</si>
  <si>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</si>
  <si>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</si>
  <si>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</si>
  <si>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</si>
  <si>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</si>
  <si>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</si>
  <si>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</si>
  <si>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</si>
  <si>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</si>
  <si>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</si>
  <si>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</si>
  <si>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</si>
  <si>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</si>
  <si>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</si>
  <si>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</si>
  <si>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</si>
  <si>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</si>
  <si>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</si>
  <si>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</si>
  <si>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</si>
  <si>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</si>
  <si>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</si>
  <si>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</si>
  <si>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</si>
  <si>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</si>
  <si>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</si>
  <si>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</si>
  <si>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</si>
  <si>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</si>
  <si>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</si>
  <si>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</si>
  <si>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</si>
  <si>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</si>
  <si>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</si>
  <si>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</si>
  <si>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</si>
  <si>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</si>
  <si>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</si>
  <si>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</si>
  <si>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</si>
  <si>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</si>
  <si>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</si>
  <si>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</si>
  <si>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</si>
  <si>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</si>
  <si>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</si>
  <si>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</si>
  <si>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</si>
  <si>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</si>
  <si>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</si>
  <si>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</si>
  <si>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</si>
  <si>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</si>
  <si>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</si>
  <si>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</si>
  <si>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</si>
  <si>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</si>
  <si>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</si>
  <si>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</si>
  <si>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</si>
  <si>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</si>
  <si>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</si>
  <si>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</si>
  <si>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</si>
  <si>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</si>
  <si>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</si>
  <si>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</si>
  <si>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</si>
  <si>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</si>
  <si>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</si>
  <si>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</si>
  <si>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</si>
  <si>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</si>
  <si>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</si>
  <si>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</si>
  <si>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</si>
  <si>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</si>
  <si>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</si>
  <si>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</si>
  <si>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</si>
  <si>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</si>
  <si>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</si>
  <si>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</si>
  <si>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</si>
  <si>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</si>
  <si>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</si>
  <si>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</si>
  <si>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</si>
  <si>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</si>
  <si>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</si>
  <si>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</si>
  <si>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</si>
  <si>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</si>
  <si>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</si>
  <si>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</si>
  <si>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</si>
  <si>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</si>
  <si>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</si>
  <si>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</si>
  <si>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</si>
  <si>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</si>
  <si>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</si>
  <si>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</si>
  <si>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</si>
  <si>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</si>
  <si>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</si>
  <si>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</si>
  <si>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</si>
  <si>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</si>
  <si>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</si>
  <si>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</si>
  <si>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</si>
  <si>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</si>
  <si>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</si>
  <si>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</si>
  <si>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</si>
  <si>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</si>
  <si>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</si>
  <si>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</si>
  <si>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</si>
  <si>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</si>
  <si>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</si>
  <si>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</si>
  <si>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</si>
  <si>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</si>
  <si>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</si>
  <si>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</si>
  <si>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</si>
  <si>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</si>
  <si>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</si>
  <si>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</si>
  <si>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</si>
  <si>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</si>
  <si>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</si>
  <si>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</si>
  <si>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</si>
  <si>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</si>
  <si>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</si>
  <si>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</si>
  <si>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</si>
  <si>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</si>
  <si>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</si>
  <si>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</si>
  <si>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</si>
  <si>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</si>
  <si>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</si>
  <si>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</si>
  <si>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</si>
  <si>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</si>
  <si>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</si>
  <si>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</si>
  <si>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</si>
  <si>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</si>
  <si>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</si>
  <si>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</si>
  <si>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</si>
  <si>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</si>
  <si>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</si>
  <si>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</si>
  <si>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</si>
  <si>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</si>
  <si>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</si>
  <si>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</si>
  <si>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</si>
  <si>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</si>
  <si>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</si>
  <si>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</si>
  <si>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</si>
  <si>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</si>
  <si>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</si>
  <si>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</si>
  <si>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</si>
  <si>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</si>
  <si>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</si>
  <si>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</si>
  <si>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</si>
  <si>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</si>
  <si>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</si>
  <si>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</si>
  <si>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</si>
  <si>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</si>
  <si>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</si>
  <si>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</si>
  <si>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</si>
  <si>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</si>
  <si>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</si>
  <si>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</si>
  <si>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</si>
  <si>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</si>
  <si>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</si>
  <si>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</si>
  <si>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</si>
  <si>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</si>
  <si>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</si>
  <si>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</si>
  <si>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</si>
  <si>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</si>
  <si>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</si>
  <si>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</si>
  <si>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</si>
  <si>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</si>
  <si>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</si>
  <si>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</si>
  <si>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</si>
  <si>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</si>
  <si>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</si>
  <si>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</si>
  <si>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</si>
  <si>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</si>
  <si>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</si>
  <si>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</si>
  <si>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</si>
  <si>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</si>
  <si>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</si>
  <si>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</si>
  <si>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</si>
  <si>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</si>
  <si>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</si>
  <si>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</si>
  <si>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</si>
  <si>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</si>
  <si>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</si>
  <si>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</si>
  <si>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</si>
  <si>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</si>
  <si>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</si>
  <si>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</si>
  <si>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</si>
  <si>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</si>
  <si>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</si>
  <si>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</si>
  <si>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</si>
  <si>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</si>
  <si>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</si>
  <si>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</si>
  <si>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</si>
  <si>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</si>
  <si>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</si>
  <si>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</si>
  <si>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</si>
  <si>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</si>
  <si>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</si>
  <si>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</si>
  <si>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</si>
  <si>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</si>
  <si>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</si>
  <si>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</si>
  <si>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</si>
  <si>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</si>
  <si>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</si>
  <si>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</si>
  <si>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</si>
  <si>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</si>
  <si>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</si>
  <si>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</si>
  <si>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</si>
  <si>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</si>
  <si>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</si>
  <si>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</si>
  <si>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</si>
  <si>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</si>
  <si>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</si>
  <si>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</si>
  <si>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</si>
  <si>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</si>
  <si>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</si>
  <si>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</si>
  <si>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</si>
  <si>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</si>
  <si>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</si>
  <si>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</si>
  <si>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</si>
  <si>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</si>
  <si>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</si>
  <si>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</si>
  <si>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</si>
  <si>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</si>
  <si>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</si>
  <si>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</si>
  <si>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</si>
  <si>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</si>
  <si>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</si>
  <si>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</si>
  <si>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</si>
  <si>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</si>
  <si>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</si>
  <si>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</si>
  <si>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</si>
  <si>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</si>
  <si>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</si>
  <si>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</si>
  <si>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</si>
  <si>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</si>
  <si>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</si>
  <si>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</si>
  <si>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</si>
  <si>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</si>
  <si>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</si>
  <si>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</si>
  <si>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</si>
  <si>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</si>
  <si>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</si>
  <si>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</si>
  <si>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</si>
  <si>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</si>
  <si>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</si>
  <si>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</si>
  <si>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</si>
  <si>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</si>
  <si>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</si>
  <si>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</si>
  <si>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</si>
  <si>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</si>
  <si>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</si>
  <si>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</si>
  <si>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</si>
  <si>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</si>
  <si>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</si>
  <si>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</si>
  <si>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</si>
  <si>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</si>
  <si>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</si>
  <si>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</si>
  <si>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</si>
  <si>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</si>
  <si>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</si>
  <si>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</si>
  <si>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</si>
  <si>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</si>
  <si>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</si>
  <si>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</si>
  <si>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</si>
  <si>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</si>
  <si>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</si>
  <si>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</si>
  <si>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</si>
  <si>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</si>
  <si>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</si>
  <si>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</si>
  <si>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</si>
  <si>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</si>
  <si>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</si>
  <si>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</si>
  <si>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</si>
  <si>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</si>
  <si>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</si>
  <si>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</si>
  <si>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</si>
  <si>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</si>
  <si>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</si>
  <si>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</si>
  <si>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</si>
  <si>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</si>
  <si>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</si>
  <si>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</si>
  <si>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</si>
  <si>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</si>
  <si>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</si>
  <si>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</si>
  <si>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</si>
  <si>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</si>
  <si>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</si>
  <si>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</si>
  <si>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</si>
  <si>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</si>
  <si>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</si>
  <si>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</si>
  <si>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</si>
  <si>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</si>
  <si>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</si>
  <si>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</si>
  <si>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</si>
  <si>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</si>
  <si>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</si>
  <si>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</si>
  <si>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</si>
  <si>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</si>
  <si>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</si>
  <si>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</si>
  <si>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</si>
  <si>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</si>
  <si>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</si>
  <si>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</si>
  <si>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</si>
  <si>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</si>
  <si>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</si>
  <si>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</si>
  <si>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</si>
  <si>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</si>
  <si>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</si>
  <si>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</si>
  <si>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</si>
  <si>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</si>
  <si>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</si>
  <si>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</si>
  <si>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</si>
  <si>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</si>
  <si>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</si>
  <si>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</si>
  <si>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</si>
  <si>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</si>
  <si>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</si>
  <si>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</si>
  <si>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</si>
  <si>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</si>
  <si>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</si>
  <si>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</si>
  <si>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</si>
  <si>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</si>
  <si>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</si>
  <si>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</si>
  <si>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</si>
  <si>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</si>
  <si>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</si>
  <si>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</si>
  <si>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</si>
  <si>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</si>
  <si>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</si>
  <si>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</si>
  <si>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</si>
  <si>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</si>
  <si>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</si>
  <si>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</si>
  <si>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</si>
  <si>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</si>
  <si>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</si>
  <si>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</si>
  <si>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</si>
  <si>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</si>
  <si>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</si>
  <si>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</si>
  <si>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</si>
  <si>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</si>
  <si>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</si>
  <si>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</si>
  <si>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</si>
  <si>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</si>
  <si>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</si>
  <si>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</si>
  <si>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</si>
  <si>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</si>
  <si>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</si>
  <si>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</si>
  <si>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</si>
  <si>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</si>
  <si>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</si>
  <si>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</si>
  <si>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</si>
  <si>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</si>
  <si>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</si>
  <si>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</si>
  <si>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</si>
  <si>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</si>
  <si>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</si>
  <si>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</si>
  <si>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</si>
  <si>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</si>
  <si>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</si>
  <si>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</si>
  <si>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</si>
  <si>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</si>
  <si>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</si>
  <si>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</si>
  <si>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</si>
  <si>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</si>
  <si>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</si>
  <si>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</si>
  <si>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</si>
  <si>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</si>
  <si>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</si>
  <si>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</si>
  <si>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</si>
  <si>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</si>
  <si>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</si>
  <si>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</si>
  <si>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</si>
  <si>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</si>
  <si>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</si>
  <si>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</si>
  <si>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</si>
  <si>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</si>
  <si>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</si>
  <si>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</si>
  <si>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</si>
  <si>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</si>
  <si>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</si>
  <si>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</si>
  <si>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</si>
  <si>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</si>
  <si>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</si>
  <si>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</si>
  <si>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</si>
  <si>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</si>
  <si>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</si>
  <si>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</si>
  <si>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</si>
  <si>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</si>
  <si>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</si>
  <si>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</si>
  <si>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</si>
  <si>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</si>
  <si>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</si>
  <si>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</si>
  <si>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</si>
  <si>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</si>
  <si>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</si>
  <si>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</si>
  <si>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</si>
  <si>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</si>
  <si>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</si>
  <si>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</si>
  <si>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</si>
  <si>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</si>
  <si>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</si>
  <si>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</si>
  <si>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</si>
  <si>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</si>
  <si>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</si>
  <si>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</si>
  <si>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</si>
  <si>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</si>
  <si>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</si>
  <si>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</si>
  <si>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</si>
  <si>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</si>
  <si>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</si>
  <si>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</si>
  <si>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</si>
  <si>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</si>
  <si>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</si>
  <si>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</si>
  <si>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</si>
  <si>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</si>
  <si>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</si>
  <si>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</si>
  <si>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</si>
  <si>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</si>
  <si>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</si>
  <si>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</si>
  <si>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</si>
  <si>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</si>
  <si>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</si>
  <si>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</si>
  <si>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</si>
  <si>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</si>
  <si>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</si>
  <si>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</si>
  <si>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</si>
  <si>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</si>
  <si>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</si>
  <si>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</si>
  <si>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</si>
  <si>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</si>
  <si>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</si>
  <si>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</si>
  <si>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</si>
  <si>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</si>
  <si>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</si>
  <si>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</si>
  <si>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</si>
  <si>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</si>
  <si>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</si>
  <si>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</si>
  <si>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</si>
  <si>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</si>
  <si>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</si>
  <si>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</si>
  <si>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</si>
  <si>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</si>
  <si>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</si>
  <si>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</si>
  <si>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</si>
  <si>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</si>
  <si>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</si>
  <si>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</si>
  <si>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</si>
  <si>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</si>
  <si>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</si>
  <si>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</si>
  <si>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</si>
  <si>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</si>
  <si>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</si>
  <si>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</si>
  <si>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</si>
  <si>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</si>
  <si>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</si>
  <si>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</si>
  <si>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</si>
  <si>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</si>
  <si>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</si>
  <si>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</si>
  <si>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</si>
  <si>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</si>
  <si>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</si>
  <si>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</si>
  <si>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</si>
  <si>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</si>
  <si>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</si>
  <si>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</si>
  <si>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</si>
  <si>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</si>
  <si>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</si>
  <si>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</si>
  <si>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</si>
  <si>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</si>
  <si>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</si>
  <si>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</si>
  <si>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</si>
  <si>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</si>
  <si>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</si>
  <si>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</si>
  <si>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</si>
  <si>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</si>
  <si>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</si>
  <si>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</si>
  <si>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</si>
  <si>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</si>
  <si>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</si>
  <si>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</si>
  <si>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</si>
  <si>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</si>
  <si>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</si>
  <si>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</si>
  <si>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</si>
  <si>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</si>
  <si>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</si>
  <si>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</si>
  <si>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</si>
  <si>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</si>
  <si>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</si>
  <si>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</si>
  <si>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</si>
  <si>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</si>
  <si>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</si>
  <si>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</si>
  <si>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</si>
  <si>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</si>
  <si>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</si>
  <si>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</si>
  <si>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</si>
  <si>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</si>
  <si>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</si>
  <si>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</si>
  <si>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</si>
  <si>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</si>
  <si>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</si>
  <si>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</si>
  <si>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</si>
  <si>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</si>
  <si>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</si>
  <si>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</si>
  <si>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</si>
  <si>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</si>
  <si>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</si>
  <si>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</si>
  <si>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</si>
  <si>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</si>
  <si>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</si>
  <si>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</si>
  <si>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</si>
  <si>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</si>
  <si>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</si>
  <si>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</si>
  <si>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</si>
  <si>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</si>
  <si>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</si>
  <si>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</si>
  <si>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</si>
  <si>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</si>
  <si>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</si>
  <si>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</si>
  <si>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</si>
  <si>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</si>
  <si>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</si>
  <si>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</si>
  <si>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</si>
  <si>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</si>
  <si>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</si>
  <si>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</si>
  <si>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</si>
  <si>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</si>
  <si>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</si>
  <si>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</si>
  <si>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</si>
  <si>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</si>
  <si>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</si>
  <si>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</si>
  <si>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</si>
  <si>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</si>
  <si>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</si>
  <si>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</si>
  <si>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</si>
  <si>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</si>
  <si>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</si>
  <si>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</si>
  <si>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</si>
  <si>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</si>
  <si>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</si>
  <si>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</si>
  <si>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</si>
  <si>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</si>
  <si>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</si>
  <si>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</si>
  <si>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</si>
  <si>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</si>
  <si>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</si>
  <si>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</si>
  <si>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</si>
  <si>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</si>
  <si>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</si>
  <si>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</si>
  <si>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</si>
  <si>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</si>
  <si>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</si>
  <si>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</si>
  <si>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</si>
  <si>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</si>
  <si>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</si>
  <si>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</si>
  <si>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</si>
  <si>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</si>
  <si>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</si>
  <si>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</si>
  <si>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</si>
  <si>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</si>
  <si>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</si>
  <si>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</si>
  <si>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</si>
  <si>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</si>
  <si>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</si>
  <si>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</si>
  <si>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</si>
  <si>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</si>
  <si>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</si>
  <si>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</si>
  <si>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</si>
  <si>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</si>
  <si>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</si>
  <si>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</si>
  <si>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</si>
  <si>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</si>
  <si>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</si>
  <si>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</si>
  <si>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</si>
  <si>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</si>
  <si>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</si>
  <si>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</si>
  <si>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</si>
  <si>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</si>
  <si>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</si>
  <si>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</si>
  <si>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</si>
  <si>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</si>
  <si>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</si>
  <si>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</si>
  <si>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</si>
  <si>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</si>
  <si>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</si>
  <si>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</si>
  <si>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</si>
  <si>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</si>
  <si>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</si>
  <si>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</si>
  <si>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</si>
  <si>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</si>
  <si>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</si>
  <si>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</si>
  <si>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</si>
  <si>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</si>
  <si>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</si>
  <si>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</si>
  <si>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</si>
  <si>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</si>
  <si>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</si>
  <si>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</si>
  <si>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</si>
  <si>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</si>
  <si>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</si>
  <si>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</si>
  <si>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</si>
  <si>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</si>
  <si>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</si>
  <si>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</si>
  <si>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</si>
  <si>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</si>
  <si>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</si>
  <si>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</si>
  <si>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</si>
  <si>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</si>
  <si>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</si>
  <si>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</si>
  <si>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</si>
  <si>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</si>
  <si>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</si>
  <si>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</si>
  <si>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</si>
  <si>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</si>
  <si>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</si>
  <si>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</si>
  <si>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</si>
  <si>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</si>
  <si>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</si>
  <si>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</si>
  <si>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</si>
  <si>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</si>
  <si>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</si>
  <si>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</si>
  <si>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</si>
  <si>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</si>
  <si>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</si>
  <si>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</si>
  <si>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</si>
  <si>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</si>
  <si>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</si>
  <si>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</si>
  <si>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</si>
  <si>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</si>
  <si>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</si>
  <si>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</si>
  <si>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</si>
  <si>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</si>
  <si>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</si>
  <si>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</si>
  <si>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</si>
  <si>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</si>
  <si>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</si>
  <si>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</si>
  <si>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</si>
  <si>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</si>
  <si>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</si>
  <si>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</si>
  <si>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</si>
  <si>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</si>
  <si>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</si>
  <si>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</si>
  <si>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</si>
  <si>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</si>
  <si>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</si>
  <si>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</si>
  <si>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</si>
  <si>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</si>
  <si>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</si>
  <si>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</si>
  <si>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</si>
  <si>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</si>
  <si>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</si>
  <si>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</si>
  <si>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</si>
  <si>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</si>
  <si>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</si>
  <si>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</si>
  <si>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</si>
  <si>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</si>
  <si>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</si>
  <si>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</si>
  <si>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</si>
  <si>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</si>
  <si>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</si>
  <si>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</si>
  <si>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</si>
  <si>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</si>
  <si>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</si>
  <si>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</si>
  <si>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</si>
  <si>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</si>
  <si>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</si>
  <si>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</si>
  <si>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</si>
  <si>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</si>
  <si>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</si>
  <si>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</si>
  <si>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</si>
  <si>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</si>
  <si>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</si>
  <si>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</si>
  <si>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</si>
  <si>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</si>
  <si>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</si>
  <si>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</si>
  <si>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</si>
  <si>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</si>
  <si>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</si>
  <si>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</si>
  <si>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</si>
  <si>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</si>
  <si>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</si>
  <si>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</si>
  <si>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</si>
  <si>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</si>
  <si>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</si>
  <si>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</si>
  <si>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</si>
  <si>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</si>
  <si>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</si>
  <si>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</si>
  <si>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</si>
  <si>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</si>
  <si>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</si>
  <si>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</si>
  <si>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</si>
  <si>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</si>
  <si>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</si>
  <si>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</si>
  <si>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</si>
  <si>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</si>
  <si>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</si>
  <si>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</si>
  <si>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</si>
  <si>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</si>
  <si>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</si>
  <si>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</si>
  <si>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</si>
  <si>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</si>
  <si>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</si>
  <si>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</si>
  <si>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</si>
  <si>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</si>
  <si>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</si>
  <si>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</si>
  <si>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</si>
  <si>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</si>
  <si>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</si>
  <si>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</si>
  <si>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</si>
  <si>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</si>
  <si>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</si>
  <si>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</si>
  <si>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</si>
  <si>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</si>
  <si>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</si>
  <si>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</si>
  <si>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</si>
  <si>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</si>
  <si>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</si>
  <si>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</si>
  <si>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</si>
  <si>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</si>
  <si>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</si>
  <si>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</si>
  <si>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</si>
  <si>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</si>
  <si>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</si>
  <si>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</si>
  <si>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</si>
  <si>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</si>
  <si>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</si>
  <si>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</si>
  <si>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</si>
  <si>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</si>
  <si>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</si>
  <si>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</si>
  <si>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</si>
  <si>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</si>
  <si>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</si>
  <si>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</si>
  <si>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</si>
  <si>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</si>
  <si>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</si>
  <si>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</si>
  <si>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</si>
  <si>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</si>
  <si>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</si>
  <si>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</si>
  <si>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</si>
  <si>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</si>
  <si>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</si>
  <si>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</si>
  <si>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</si>
  <si>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</si>
  <si>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</si>
  <si>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</si>
  <si>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</si>
  <si>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</si>
  <si>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</si>
  <si>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</si>
  <si>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</si>
  <si>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</si>
  <si>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</si>
  <si>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</si>
  <si>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</si>
  <si>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</si>
  <si>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</si>
  <si>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</si>
  <si>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</si>
  <si>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</si>
  <si>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</si>
  <si>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</si>
  <si>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</si>
  <si>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</si>
  <si>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</si>
  <si>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</si>
  <si>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</si>
  <si>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</si>
  <si>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</si>
  <si>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</si>
  <si>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</si>
  <si>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</si>
  <si>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</si>
  <si>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</si>
  <si>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</si>
  <si>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</si>
  <si>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</si>
  <si>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</si>
  <si>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</si>
  <si>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</si>
  <si>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</si>
  <si>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</si>
  <si>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</si>
  <si>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</si>
  <si>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</si>
  <si>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</si>
  <si>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</si>
  <si>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</si>
  <si>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</si>
  <si>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</si>
  <si>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</si>
  <si>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</si>
  <si>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</si>
  <si>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</si>
  <si>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</si>
  <si>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</si>
  <si>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</si>
  <si>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</si>
  <si>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</si>
  <si>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</si>
  <si>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</si>
  <si>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</si>
  <si>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</si>
  <si>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</si>
  <si>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</si>
  <si>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</si>
  <si>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</si>
  <si>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</si>
  <si>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</si>
  <si>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</si>
  <si>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</si>
  <si>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</si>
  <si>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</si>
  <si>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</si>
  <si>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</si>
  <si>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</si>
  <si>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</si>
  <si>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</si>
  <si>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</si>
  <si>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</si>
  <si>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</si>
  <si>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</si>
  <si>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</si>
  <si>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</si>
  <si>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</si>
  <si>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</si>
  <si>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</si>
  <si>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</si>
  <si>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</si>
  <si>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</si>
  <si>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</si>
  <si>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</si>
  <si>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</si>
  <si>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t>
  </si>
  <si>
    <t>Adjustments to prior year encumbrances</t>
  </si>
  <si>
    <t>Adjustments to prior year receivables</t>
  </si>
  <si>
    <t>Correction for beginning of the year variance in due to/from reserve/trust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</si>
</sst>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44" zoomScaleNormal="144" workbookViewId="0">
      <pane xSplit="5" ySplit="3" topLeftCell="F652" activePane="bottomRight" state="frozen"/>
      <selection pane="topRight" activeCell="F1" sqref="F1"/>
      <selection pane="bottomLeft" activeCell="A4" sqref="A4"/>
      <selection pane="bottomRight" activeCell="H672" sqref="H672"/>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1439</v>
      </c>
      <c r="B2" s="21">
        <v>515</v>
      </c>
      <c r="C2" s="21">
        <v>515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1107470.83+11.41</f>
        <v>1107482.24</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864456.42999999993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8662.7800000000007</v>
      </c>
      <c r="G12" s="18">
        <v>68690.86</v>
      </c>
      <c r="H12" s="18">
        <v>-54176.03</v>
      </c>
      <c r="I12" s="18"/>
      <c r="J12" s="67">
        <f>SUM(I442)</f>
        <v>90000</v>
      </c>
      <c r="K12" s="24" t="s">
        <v>288</v>
      </c>
      <c r="L12" s="24" t="s">
        <v>288</v>
      </c>
      <c r="M12" s="8"/>
      <c r="N12" s="266"/>
    </row>
    <row r="13" spans="1:14" s="3" customFormat="1" ht="12.2" customHeight="1" x14ac:dyDescent="0.15">
      <c r="A13" s="1" t="s">
        <v>604</v>
      </c>
      <c r="B13" s="2" t="s">
        <v>289</v>
      </c>
      <c r="C13" s="6">
        <v>5</v>
      </c>
      <c r="D13" s="2" t="s">
        <v>428</v>
      </c>
      <c r="E13" s="6">
        <v>140</v>
      </c>
      <c r="F13" s="18"/>
      <c r="G13" s="18">
        <f>2916.28+40.75</f>
        <v>2957.03</v>
      </c>
      <c r="H13" s="18">
        <v>58421.45</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13112.19</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1129257.21</v>
      </c>
      <c r="G19" s="41">
        <f>SUM(G9:G18)</f>
        <v>71647.89</v>
      </c>
      <c r="H19" s="41">
        <f>SUM(H9:H18)</f>
        <v>4245.4199999999983</v>
      </c>
      <c r="I19" s="41">
        <f>SUM(I9:I18)</f>
        <v>0</v>
      </c>
      <c r="J19" s="41">
        <f>SUM(J9:J18)</f>
        <v>954456.42999999993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90000</v>
      </c>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3446.69</v>
      </c>
      <c r="G24" s="18">
        <v>40.75</v>
      </c>
      <c r="H24" s="18">
        <v>4245.42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93446.69</v>
      </c>
      <c r="G32" s="41">
        <f>SUM(G22:G31)</f>
        <v>40.75</v>
      </c>
      <c r="H32" s="41">
        <f>SUM(H22:H31)</f>
        <v>4245.42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71607.14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325000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954456.42999999993</v>
      </c>
      <c r="K48" s="24" t="s">
        <v>288</v>
      </c>
      <c r="L48" s="24" t="s">
        <v>288</v>
      </c>
      <c r="M48" s="8"/>
      <c r="N48" s="266"/>
    </row>
    <row r="49" spans="1:14" s="3" customFormat="1" ht="12.2" customHeight="1" x14ac:dyDescent="0.15">
      <c r="A49" s="1" t="s">
        <v>859</v>
      </c>
      <c r="B49" s="2" t="s">
        <v>289</v>
      </c>
      <c r="C49" s="6">
        <v>34</v>
      </c>
      <c r="D49" s="2"/>
      <c r="E49" s="6">
        <v>753</v>
      </c>
      <c r="F49" s="18">
        <v>95601.21</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575209.31000000006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1035810.52</v>
      </c>
      <c r="G51" s="41">
        <f>SUM(G35:G50)</f>
        <v>71607.14</v>
      </c>
      <c r="H51" s="41">
        <f>SUM(H35:H50)</f>
        <v>0</v>
      </c>
      <c r="I51" s="41">
        <f>SUM(I35:I50)</f>
        <v>0</v>
      </c>
      <c r="J51" s="41">
        <f>SUM(J35:J50)</f>
        <v>954456.42999999993</v>
      </c>
      <c r="K51" s="45" t="s">
        <v>288</v>
      </c>
      <c r="L51" s="45" t="s">
        <v>288</v>
      </c>
      <c r="N51" s="264"/>
    </row>
    <row r="52" spans="1:14" s="3" customFormat="1" ht="12.2" customHeight="1" thickTop="1" x14ac:dyDescent="0.15">
      <c r="A52" s="38" t="s">
        <v>455</v>
      </c>
      <c r="B52" s="39" t="s">
        <v>289</v>
      </c>
      <c r="C52" s="6">
        <v>37</v>
      </c>
      <c r="D52" s="39" t="s">
        <v>653</v>
      </c>
      <c r="E52" s="39"/>
      <c r="F52" s="41">
        <f>F51+F32</f>
        <v>1129257.21</v>
      </c>
      <c r="G52" s="41">
        <f>G51+G32</f>
        <v>71647.89</v>
      </c>
      <c r="H52" s="41">
        <f>H51+H32</f>
        <v>4245.42</v>
      </c>
      <c r="I52" s="41">
        <f>I51+I32</f>
        <v>0</v>
      </c>
      <c r="J52" s="41">
        <f>J51+J32</f>
        <v>954456.42999999993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8856533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8856533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49884.43+50</f>
        <v>49934.43</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237288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11092</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298314.43</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1920.3</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27180.38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v>925.37</v>
      </c>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3830</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5750.3</v>
      </c>
      <c r="G111" s="41">
        <f>SUM(G96:G110)</f>
        <v>28105.75</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9160597.7300000004</v>
      </c>
      <c r="G112" s="41">
        <f>G60+G111</f>
        <v>28105.75</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2703824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2703824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v>320932.24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1251.81</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1791.69+166.02</f>
        <v>1957.71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322184.05</v>
      </c>
      <c r="G136" s="41">
        <f>SUM(G123:G135)</f>
        <v>1957.71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3026008.05</v>
      </c>
      <c r="G140" s="41">
        <f>G121+SUM(G136:G137)</f>
        <v>1957.71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52259.519999999997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10000+2137+4000+11200+10241.31</f>
        <v>37578.31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35109</f>
        <v>35109</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38710.45+10890.8</f>
        <v>49601.25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f>1781.74+1882.68+96134.96+88317.01+9762.61</f>
        <v>197879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27778.94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76600</v>
      </c>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34264.410000000003</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104378.94</v>
      </c>
      <c r="G163" s="41">
        <f>SUM(G150:G162)</f>
        <v>49601.25</v>
      </c>
      <c r="H163" s="41">
        <f>SUM(H150:H162)</f>
        <v>357090.24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104378.94</v>
      </c>
      <c r="G170" s="41">
        <f>G147+G163+SUM(G164:G169)</f>
        <v>49601.25</v>
      </c>
      <c r="H170" s="41">
        <f>H147+H163+SUM(H164:H169)</f>
        <v>357090.24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68690.86</v>
      </c>
      <c r="H180" s="18"/>
      <c r="I180" s="18">
        <v>0</v>
      </c>
      <c r="J180" s="18">
        <v>125000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68690.86</v>
      </c>
      <c r="H184" s="41">
        <f>SUM(H180:H183)</f>
        <v>0</v>
      </c>
      <c r="I184" s="41">
        <f>SUM(I180:I183)</f>
        <v>0</v>
      </c>
      <c r="J184" s="41">
        <f>SUM(J180:J183)</f>
        <v>125000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68690.86</v>
      </c>
      <c r="H193" s="41">
        <f>+H184+SUM(H189:H192)</f>
        <v>0</v>
      </c>
      <c r="I193" s="41">
        <f>I178+I184+SUM(I189:I192)</f>
        <v>0</v>
      </c>
      <c r="J193" s="41">
        <f>J184</f>
        <v>125000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12290984.720000001</v>
      </c>
      <c r="G194" s="47">
        <f>G112+G140+G170+G193</f>
        <v>148355.57</v>
      </c>
      <c r="H194" s="47">
        <f>H112+H140+H170+H193</f>
        <v>357090.24</v>
      </c>
      <c r="I194" s="47">
        <f>I112+I140+I170+I193</f>
        <v>0</v>
      </c>
      <c r="J194" s="47">
        <f>J112+J140+J193</f>
        <v>125000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1220070.7+14244-2372</f>
        <v>1231942.7</v>
      </c>
      <c r="G198" s="18">
        <v>506003</v>
      </c>
      <c r="H198" s="18">
        <v>3107.01</v>
      </c>
      <c r="I198" s="18">
        <f>20493.5+8282.1+530.83</f>
        <v>29306.43</v>
      </c>
      <c r="J198" s="18">
        <f>4500.63</f>
        <v>4500.63</v>
      </c>
      <c r="K198" s="18"/>
      <c r="L198" s="19">
        <f>SUM(F198:K198)</f>
        <v>1774859.7699999998</v>
      </c>
      <c r="M198" s="8"/>
      <c r="N198" s="266"/>
    </row>
    <row r="199" spans="1:14" s="3" customFormat="1" ht="12.2" customHeight="1" x14ac:dyDescent="0.15">
      <c r="A199" s="1" t="s">
        <v>439</v>
      </c>
      <c r="B199" s="2" t="s">
        <v>341</v>
      </c>
      <c r="C199" s="2" t="s">
        <v>291</v>
      </c>
      <c r="D199" s="2" t="s">
        <v>431</v>
      </c>
      <c r="E199" s="6">
        <v>1200</v>
      </c>
      <c r="F199" s="18">
        <f>356579.82+44500.13</f>
        <v>401079.95</v>
      </c>
      <c r="G199" s="18">
        <v>139436</v>
      </c>
      <c r="H199" s="18">
        <f>1833.04+6779.02</f>
        <v>8612.0600000000013</v>
      </c>
      <c r="I199" s="18">
        <f>985.55+638.49+3044.03</f>
        <v>4668.07</v>
      </c>
      <c r="J199" s="18">
        <f>284.97</f>
        <v>284.97000000000003</v>
      </c>
      <c r="K199" s="18">
        <f>940.33</f>
        <v>940.33</v>
      </c>
      <c r="L199" s="19">
        <f>SUM(F199:K199)</f>
        <v>555021.37999999989</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562.38+2012</f>
        <v>2574.38</v>
      </c>
      <c r="G201" s="18">
        <v>24150</v>
      </c>
      <c r="H201" s="18">
        <f>33.09+150+261.42</f>
        <v>444.51</v>
      </c>
      <c r="I201" s="18"/>
      <c r="J201" s="18"/>
      <c r="K201" s="18"/>
      <c r="L201" s="19">
        <f>SUM(F201:K201)</f>
        <v>27168.89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21097.66+60899+73709+24557.94+36287.7+38343.52+0.05</f>
        <v>254894.86999999997</v>
      </c>
      <c r="G203" s="18">
        <v>129354</v>
      </c>
      <c r="H203" s="18">
        <f>150+3841.66</f>
        <v>3991.66</v>
      </c>
      <c r="I203" s="18">
        <f>715.69+771</f>
        <v>1486.69</v>
      </c>
      <c r="J203" s="18"/>
      <c r="K203" s="18"/>
      <c r="L203" s="19">
        <f t="shared" ref="L203:L209" si="0">SUM(F203:K203)</f>
        <v>389727.22</v>
      </c>
      <c r="M203" s="8"/>
      <c r="N203" s="266"/>
    </row>
    <row r="204" spans="1:14" s="3" customFormat="1" ht="12.2" customHeight="1" x14ac:dyDescent="0.15">
      <c r="A204" s="1" t="s">
        <v>443</v>
      </c>
      <c r="B204" s="2" t="s">
        <v>341</v>
      </c>
      <c r="C204" s="2" t="s">
        <v>295</v>
      </c>
      <c r="D204" s="2" t="s">
        <v>431</v>
      </c>
      <c r="E204" s="6">
        <v>2200</v>
      </c>
      <c r="F204" s="18">
        <f>81899+45633.71</f>
        <v>127532.70999999999</v>
      </c>
      <c r="G204" s="18">
        <v>69068</v>
      </c>
      <c r="H204" s="18">
        <f>1350+24500.6+1894.58</f>
        <v>27745.18</v>
      </c>
      <c r="I204" s="18">
        <f>2933.68+1153.16+7541.44+28183.65+520</f>
        <v>40331.93</v>
      </c>
      <c r="J204" s="18">
        <f>15597+36469.06</f>
        <v>52066.06</v>
      </c>
      <c r="K204" s="18"/>
      <c r="L204" s="19">
        <f t="shared" si="0"/>
        <v>316743.88</v>
      </c>
      <c r="M204" s="8"/>
      <c r="N204" s="266"/>
    </row>
    <row r="205" spans="1:14" s="3" customFormat="1" ht="12.2" customHeight="1" x14ac:dyDescent="0.15">
      <c r="A205" s="1" t="s">
        <v>444</v>
      </c>
      <c r="B205" s="2" t="s">
        <v>341</v>
      </c>
      <c r="C205" s="2" t="s">
        <v>296</v>
      </c>
      <c r="D205" s="2" t="s">
        <v>431</v>
      </c>
      <c r="E205" s="6">
        <v>2300</v>
      </c>
      <c r="F205" s="18">
        <f>109536.5</f>
        <v>109536.5</v>
      </c>
      <c r="G205" s="18">
        <v>53724</v>
      </c>
      <c r="H205" s="18">
        <f>15192.72</f>
        <v>15192.72</v>
      </c>
      <c r="I205" s="18">
        <f>13702.5</f>
        <v>13702.5</v>
      </c>
      <c r="J205" s="18"/>
      <c r="K205" s="18">
        <f>5556.57</f>
        <v>5556.57</v>
      </c>
      <c r="L205" s="19">
        <f t="shared" si="0"/>
        <v>197712.29</v>
      </c>
      <c r="M205" s="8"/>
      <c r="N205" s="266"/>
    </row>
    <row r="206" spans="1:14" s="3" customFormat="1" ht="12.2" customHeight="1" x14ac:dyDescent="0.15">
      <c r="A206" s="1" t="s">
        <v>445</v>
      </c>
      <c r="B206" s="2" t="s">
        <v>341</v>
      </c>
      <c r="C206" s="2" t="s">
        <v>297</v>
      </c>
      <c r="D206" s="2" t="s">
        <v>431</v>
      </c>
      <c r="E206" s="6">
        <v>2400</v>
      </c>
      <c r="F206" s="18">
        <f>100285+30791.75</f>
        <v>131076.75</v>
      </c>
      <c r="G206" s="18">
        <v>60857</v>
      </c>
      <c r="H206" s="18">
        <f>182.5+42.25</f>
        <v>224.75</v>
      </c>
      <c r="I206" s="18">
        <f>149.99</f>
        <v>149.99</v>
      </c>
      <c r="J206" s="18"/>
      <c r="K206" s="18">
        <f>900</f>
        <v>900</v>
      </c>
      <c r="L206" s="19">
        <f t="shared" si="0"/>
        <v>193208.49</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96103.24+36586.18+30</f>
        <v>132719.42000000001</v>
      </c>
      <c r="G208" s="18">
        <v>50538</v>
      </c>
      <c r="H208" s="18">
        <f>36000+7028.8+27920.83+12991.7+44907.2-50+15450+13088.33+12965</f>
        <v>170301.86</v>
      </c>
      <c r="I208" s="18">
        <f>54483.69+123.33+1024.77+26104</f>
        <v>81735.790000000008</v>
      </c>
      <c r="J208" s="18"/>
      <c r="K208" s="18"/>
      <c r="L208" s="19">
        <f t="shared" si="0"/>
        <v>435295.07000000007</v>
      </c>
      <c r="M208" s="8"/>
      <c r="N208" s="266"/>
    </row>
    <row r="209" spans="1:14" s="3" customFormat="1" ht="12.2" customHeight="1" x14ac:dyDescent="0.15">
      <c r="A209" s="1" t="s">
        <v>448</v>
      </c>
      <c r="B209" s="2" t="s">
        <v>341</v>
      </c>
      <c r="C209" s="2" t="s">
        <v>300</v>
      </c>
      <c r="D209" s="2" t="s">
        <v>431</v>
      </c>
      <c r="E209" s="6">
        <v>2700</v>
      </c>
      <c r="F209" s="18">
        <f>291.33+79556.51</f>
        <v>79847.839999999997</v>
      </c>
      <c r="G209" s="18">
        <v>43426</v>
      </c>
      <c r="H209" s="18">
        <v>12018.88</v>
      </c>
      <c r="I209" s="18">
        <f>5986.07</f>
        <v>5986.07</v>
      </c>
      <c r="J209" s="18">
        <f>31041.06</f>
        <v>31041.06</v>
      </c>
      <c r="K209" s="18">
        <f>315.33</f>
        <v>315.33</v>
      </c>
      <c r="L209" s="19">
        <f t="shared" si="0"/>
        <v>172635.18</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2471205.1199999992</v>
      </c>
      <c r="G212" s="41">
        <f t="shared" si="1"/>
        <v>1076556</v>
      </c>
      <c r="H212" s="41">
        <f t="shared" si="1"/>
        <v>241638.63</v>
      </c>
      <c r="I212" s="41">
        <f t="shared" si="1"/>
        <v>177367.47000000003</v>
      </c>
      <c r="J212" s="41">
        <f t="shared" si="1"/>
        <v>87892.72</v>
      </c>
      <c r="K212" s="41">
        <f t="shared" si="1"/>
        <v>7712.23</v>
      </c>
      <c r="L212" s="41">
        <f t="shared" si="1"/>
        <v>4062372.1700000004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1780007.1*0.4+14244</f>
        <v>726246.84000000008</v>
      </c>
      <c r="G216" s="18">
        <v>506003</v>
      </c>
      <c r="H216" s="18">
        <f>6494.26*0.4</f>
        <v>2597.7040000000002</v>
      </c>
      <c r="I216" s="18">
        <f>(43677.48+7877.82+14019)*0.4</f>
        <v>26229.72</v>
      </c>
      <c r="J216" s="18">
        <f>15309.72*0.4</f>
        <v>6123.8879999999999</v>
      </c>
      <c r="K216" s="18"/>
      <c r="L216" s="19">
        <f>SUM(F216:K216)</f>
        <v>1267201.152</v>
      </c>
      <c r="M216" s="8"/>
      <c r="N216" s="266"/>
    </row>
    <row r="217" spans="1:14" s="3" customFormat="1" ht="12.2" customHeight="1" x14ac:dyDescent="0.15">
      <c r="A217" s="1" t="s">
        <v>439</v>
      </c>
      <c r="B217" s="2" t="s">
        <v>346</v>
      </c>
      <c r="C217" s="2" t="s">
        <v>291</v>
      </c>
      <c r="D217" s="2" t="s">
        <v>431</v>
      </c>
      <c r="E217" s="6">
        <v>1200</v>
      </c>
      <c r="F217" s="18">
        <f>362788.84*0.4+44500.13</f>
        <v>189615.66600000003</v>
      </c>
      <c r="G217" s="18">
        <v>139436</v>
      </c>
      <c r="H217" s="18">
        <f>83837.52+6779.02</f>
        <v>90616.540000000008</v>
      </c>
      <c r="I217" s="18">
        <f>(1576.71+601.38)*0.4+3044.03</f>
        <v>3915.2660000000005</v>
      </c>
      <c r="J217" s="18">
        <f>182.92*0.4</f>
        <v>73.167999999999992</v>
      </c>
      <c r="K217" s="18">
        <f>940.33</f>
        <v>940.33</v>
      </c>
      <c r="L217" s="19">
        <f>SUM(F217:K217)</f>
        <v>424596.97000000003</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145137.74*0.4</f>
        <v>58055.095999999998</v>
      </c>
      <c r="G219" s="18">
        <v>24150</v>
      </c>
      <c r="H219" s="18">
        <f>(22029+210.18)*0.4</f>
        <v>8895.6720000000005</v>
      </c>
      <c r="I219" s="18">
        <f>(3126.67+24915.38)*0.4</f>
        <v>11216.820000000002</v>
      </c>
      <c r="J219" s="18"/>
      <c r="K219" s="18">
        <f>5030*0.4</f>
        <v>2012</v>
      </c>
      <c r="L219" s="19">
        <f>SUM(F219:K219)</f>
        <v>104329.588</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21097.66+168225*0.4+45360*0.4+82149.1*0.4+24557.94+36287.7+38343.52</f>
        <v>238580.46</v>
      </c>
      <c r="G221" s="18">
        <v>129354</v>
      </c>
      <c r="H221" s="18">
        <f>(8349.5+150)*0.4+3841.66</f>
        <v>7241.46</v>
      </c>
      <c r="I221" s="18">
        <f>(3961.71+724.58)*0.4+771</f>
        <v>2645.5160000000001</v>
      </c>
      <c r="J221" s="18"/>
      <c r="K221" s="18"/>
      <c r="L221" s="19">
        <f t="shared" ref="L221:L227" si="2">SUM(F221:K221)</f>
        <v>377821.43599999999</v>
      </c>
      <c r="M221" s="8"/>
      <c r="N221" s="266"/>
    </row>
    <row r="222" spans="1:14" s="3" customFormat="1" ht="12.2" customHeight="1" x14ac:dyDescent="0.15">
      <c r="A222" s="1" t="s">
        <v>443</v>
      </c>
      <c r="B222" s="2" t="s">
        <v>346</v>
      </c>
      <c r="C222" s="2" t="s">
        <v>295</v>
      </c>
      <c r="D222" s="2" t="s">
        <v>431</v>
      </c>
      <c r="E222" s="6">
        <v>2200</v>
      </c>
      <c r="F222" s="18">
        <f>85801.5*0.4+28198.59*0.4+89659.36*0.4+45633.71</f>
        <v>127097.48999999999</v>
      </c>
      <c r="G222" s="18">
        <v>69068</v>
      </c>
      <c r="H222" s="18">
        <f>(546.71+3762.9+3370.58)*0.4+24500.6</f>
        <v>27572.675999999999</v>
      </c>
      <c r="I222" s="18">
        <f>(694.04+2308.99+4356.2)*0.4+(4913*0.4)+28183.65+520</f>
        <v>33612.542000000001</v>
      </c>
      <c r="J222" s="18">
        <f>(1593.16+37719.79)*0.4-10877.57+4159.2+36469.06</f>
        <v>45475.869999999995</v>
      </c>
      <c r="K222" s="18"/>
      <c r="L222" s="19">
        <f t="shared" si="2"/>
        <v>302826.57799999998</v>
      </c>
      <c r="M222" s="8"/>
      <c r="N222" s="266"/>
    </row>
    <row r="223" spans="1:14" s="3" customFormat="1" ht="12.2" customHeight="1" x14ac:dyDescent="0.15">
      <c r="A223" s="1" t="s">
        <v>444</v>
      </c>
      <c r="B223" s="2" t="s">
        <v>346</v>
      </c>
      <c r="C223" s="2" t="s">
        <v>296</v>
      </c>
      <c r="D223" s="2" t="s">
        <v>431</v>
      </c>
      <c r="E223" s="6">
        <v>2300</v>
      </c>
      <c r="F223" s="18">
        <f>109536.5</f>
        <v>109536.5</v>
      </c>
      <c r="G223" s="18">
        <v>53724</v>
      </c>
      <c r="H223" s="18">
        <f>15192.72</f>
        <v>15192.72</v>
      </c>
      <c r="I223" s="18">
        <f>13702.5</f>
        <v>13702.5</v>
      </c>
      <c r="J223" s="18"/>
      <c r="K223" s="18">
        <f>5556.57</f>
        <v>5556.57</v>
      </c>
      <c r="L223" s="19">
        <f t="shared" si="2"/>
        <v>197712.29</v>
      </c>
      <c r="M223" s="8"/>
      <c r="N223" s="266"/>
    </row>
    <row r="224" spans="1:14" s="3" customFormat="1" ht="12.2" customHeight="1" x14ac:dyDescent="0.15">
      <c r="A224" s="1" t="s">
        <v>445</v>
      </c>
      <c r="B224" s="2" t="s">
        <v>346</v>
      </c>
      <c r="C224" s="2" t="s">
        <v>297</v>
      </c>
      <c r="D224" s="2" t="s">
        <v>431</v>
      </c>
      <c r="E224" s="6">
        <v>2400</v>
      </c>
      <c r="F224" s="18">
        <f>171569.93*0.4+69588.01*0.4</f>
        <v>96463.175999999992</v>
      </c>
      <c r="G224" s="18">
        <v>60857</v>
      </c>
      <c r="H224" s="18">
        <f>(2280.74+4651.61)*0.4</f>
        <v>2772.94</v>
      </c>
      <c r="I224" s="18">
        <f>9522.02*0.4</f>
        <v>3808.8080000000004</v>
      </c>
      <c r="J224" s="18"/>
      <c r="K224" s="18">
        <f>6178*0.4</f>
        <v>2471.2000000000003</v>
      </c>
      <c r="L224" s="19">
        <f t="shared" si="2"/>
        <v>166373.12399999998</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f>103225.34*0.4+36586.18</f>
        <v>77876.315999999992</v>
      </c>
      <c r="G226" s="18">
        <v>50538</v>
      </c>
      <c r="H226" s="18">
        <f>(23091.46+77777.89+56559.79+12761.54)*0.4+44907.2-50+12321.78+13088.33+12965</f>
        <v>151308.58199999999</v>
      </c>
      <c r="I226" s="18">
        <f>73812.56+1246.16+208.77+123.33+149.97</f>
        <v>75540.790000000008</v>
      </c>
      <c r="J226" s="18">
        <f>2320+2310</f>
        <v>4630</v>
      </c>
      <c r="K226" s="18"/>
      <c r="L226" s="19">
        <f t="shared" si="2"/>
        <v>359893.68799999997</v>
      </c>
      <c r="M226" s="8"/>
      <c r="N226" s="266"/>
    </row>
    <row r="227" spans="1:14" s="3" customFormat="1" ht="12.2" customHeight="1" x14ac:dyDescent="0.15">
      <c r="A227" s="1" t="s">
        <v>448</v>
      </c>
      <c r="B227" s="2" t="s">
        <v>346</v>
      </c>
      <c r="C227" s="2" t="s">
        <v>300</v>
      </c>
      <c r="D227" s="2" t="s">
        <v>431</v>
      </c>
      <c r="E227" s="6">
        <v>2700</v>
      </c>
      <c r="F227" s="18">
        <f>5064.1+79556.51</f>
        <v>84620.61</v>
      </c>
      <c r="G227" s="18">
        <v>43426</v>
      </c>
      <c r="H227" s="18">
        <v>12018.88</v>
      </c>
      <c r="I227" s="18"/>
      <c r="J227" s="18">
        <f>31041.06</f>
        <v>31041.06</v>
      </c>
      <c r="K227" s="18">
        <f>315.33</f>
        <v>315.33</v>
      </c>
      <c r="L227" s="19">
        <f t="shared" si="2"/>
        <v>171421.87999999998</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1708092.1540000003</v>
      </c>
      <c r="G230" s="41">
        <f>SUM(G216:G229)</f>
        <v>1076556</v>
      </c>
      <c r="H230" s="41">
        <f>SUM(H216:H229)</f>
        <v>318217.174</v>
      </c>
      <c r="I230" s="41">
        <f>SUM(I216:I229)</f>
        <v>170671.962</v>
      </c>
      <c r="J230" s="41">
        <f>SUM(J216:J229)</f>
        <v>87343.98599999999</v>
      </c>
      <c r="K230" s="41">
        <f t="shared" si="3"/>
        <v>11295.43</v>
      </c>
      <c r="L230" s="41">
        <f t="shared" si="3"/>
        <v>3372176.7059999993</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1780007.1*0.6+14244</f>
        <v>1082248.26</v>
      </c>
      <c r="G234" s="18">
        <v>521338</v>
      </c>
      <c r="H234" s="18">
        <f>6494.26*0.6</f>
        <v>3896.556</v>
      </c>
      <c r="I234" s="18">
        <f>(43677.48+7877.82+14019)*0.6</f>
        <v>39344.58</v>
      </c>
      <c r="J234" s="18">
        <f>15309.72*0.6</f>
        <v>9185.8319999999985</v>
      </c>
      <c r="K234" s="18"/>
      <c r="L234" s="19">
        <f>SUM(F234:K234)</f>
        <v>1656013.2280000001</v>
      </c>
      <c r="M234" s="8"/>
      <c r="N234" s="266"/>
    </row>
    <row r="235" spans="1:14" s="3" customFormat="1" ht="12.2" customHeight="1" x14ac:dyDescent="0.15">
      <c r="A235" s="1" t="s">
        <v>439</v>
      </c>
      <c r="B235" s="2" t="s">
        <v>350</v>
      </c>
      <c r="C235" s="2" t="s">
        <v>291</v>
      </c>
      <c r="D235" s="2" t="s">
        <v>431</v>
      </c>
      <c r="E235" s="6">
        <v>1200</v>
      </c>
      <c r="F235" s="18">
        <f>362788.84*0.6+44500.13</f>
        <v>262173.43400000001</v>
      </c>
      <c r="G235" s="18">
        <v>143661</v>
      </c>
      <c r="H235" s="18">
        <f>10000+415553.96+33416.7+59761.12+1681.5+6779.02+33977.2</f>
        <v>561169.5</v>
      </c>
      <c r="I235" s="18">
        <f>(1576.71+601.38)*0.6+3044.03</f>
        <v>4350.884</v>
      </c>
      <c r="J235" s="18">
        <f>182.92*0.6</f>
        <v>109.752</v>
      </c>
      <c r="K235" s="18">
        <f>940.34</f>
        <v>940.34</v>
      </c>
      <c r="L235" s="19">
        <f>SUM(F235:K235)</f>
        <v>972404.90999999992</v>
      </c>
      <c r="M235" s="8"/>
      <c r="N235" s="266"/>
    </row>
    <row r="236" spans="1:14" s="3" customFormat="1" ht="12.2" customHeight="1" x14ac:dyDescent="0.15">
      <c r="A236" s="1" t="s">
        <v>440</v>
      </c>
      <c r="B236" s="2" t="s">
        <v>350</v>
      </c>
      <c r="C236" s="2" t="s">
        <v>292</v>
      </c>
      <c r="D236" s="2" t="s">
        <v>431</v>
      </c>
      <c r="E236" s="6">
        <v>1300</v>
      </c>
      <c r="F236" s="18"/>
      <c r="G236" s="18"/>
      <c r="H236" s="18">
        <v>23421.83</v>
      </c>
      <c r="I236" s="18"/>
      <c r="J236" s="18"/>
      <c r="K236" s="18"/>
      <c r="L236" s="19">
        <f>SUM(F236:K236)</f>
        <v>23421.83</v>
      </c>
      <c r="M236" s="8"/>
      <c r="N236" s="266"/>
    </row>
    <row r="237" spans="1:14" s="3" customFormat="1" ht="12.2" customHeight="1" x14ac:dyDescent="0.15">
      <c r="A237" s="1" t="s">
        <v>441</v>
      </c>
      <c r="B237" s="2" t="s">
        <v>350</v>
      </c>
      <c r="C237" s="2" t="s">
        <v>293</v>
      </c>
      <c r="D237" s="2" t="s">
        <v>431</v>
      </c>
      <c r="E237" s="6">
        <v>1400</v>
      </c>
      <c r="F237" s="18">
        <f>145137.74*0.6</f>
        <v>87082.643999999986</v>
      </c>
      <c r="G237" s="18">
        <v>24881</v>
      </c>
      <c r="H237" s="18">
        <f>(22029+210.18)*0.6</f>
        <v>13343.508</v>
      </c>
      <c r="I237" s="18">
        <f>(3126.67+24915.38)*0.6</f>
        <v>16825.23</v>
      </c>
      <c r="J237" s="18"/>
      <c r="K237" s="18">
        <f>5030*0.6</f>
        <v>3018</v>
      </c>
      <c r="L237" s="19">
        <f>SUM(F237:K237)</f>
        <v>145150.38199999998</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21097.66+168225*0.6+45360*0.6+82149.1*0.6+24557.94+36287.7+38343.52</f>
        <v>297727.28000000003</v>
      </c>
      <c r="G239" s="18">
        <v>133274</v>
      </c>
      <c r="H239" s="18">
        <f>(8349.5+150)*0.6+3841.66</f>
        <v>8941.36</v>
      </c>
      <c r="I239" s="18">
        <f>(3961.71+724.58)*0.6+771</f>
        <v>3582.7739999999999</v>
      </c>
      <c r="J239" s="18"/>
      <c r="K239" s="18"/>
      <c r="L239" s="19">
        <f t="shared" ref="L239:L245" si="4">SUM(F239:K239)</f>
        <v>443525.41399999999</v>
      </c>
      <c r="M239" s="8"/>
      <c r="N239" s="266"/>
    </row>
    <row r="240" spans="1:14" s="3" customFormat="1" ht="12.2" customHeight="1" x14ac:dyDescent="0.15">
      <c r="A240" s="1" t="s">
        <v>443</v>
      </c>
      <c r="B240" s="2" t="s">
        <v>350</v>
      </c>
      <c r="C240" s="2" t="s">
        <v>295</v>
      </c>
      <c r="D240" s="2" t="s">
        <v>431</v>
      </c>
      <c r="E240" s="6">
        <v>2200</v>
      </c>
      <c r="F240" s="18">
        <f>85801.5*0.6+28198.59*0.6+89659.36*0.6+45633.73</f>
        <v>167829.40000000002</v>
      </c>
      <c r="G240" s="18">
        <v>71161</v>
      </c>
      <c r="H240" s="18">
        <f>(546.71+3762.9+3370.58)*0.6+24500.6</f>
        <v>29108.714</v>
      </c>
      <c r="I240" s="18">
        <f>(694.04+2308.99+4356.2)*0.6+(4913*0.6)+28183.65+520</f>
        <v>36066.987999999998</v>
      </c>
      <c r="J240" s="18">
        <f>(1593.16+37719.79)*0.6-10877.57+6238.8+36469.06</f>
        <v>55418.06</v>
      </c>
      <c r="K240" s="18"/>
      <c r="L240" s="19">
        <f t="shared" si="4"/>
        <v>359584.16200000001</v>
      </c>
      <c r="M240" s="8"/>
      <c r="N240" s="266"/>
    </row>
    <row r="241" spans="1:14" s="3" customFormat="1" ht="12.2" customHeight="1" x14ac:dyDescent="0.15">
      <c r="A241" s="1" t="s">
        <v>444</v>
      </c>
      <c r="B241" s="2" t="s">
        <v>350</v>
      </c>
      <c r="C241" s="2" t="s">
        <v>296</v>
      </c>
      <c r="D241" s="2" t="s">
        <v>431</v>
      </c>
      <c r="E241" s="6">
        <v>2300</v>
      </c>
      <c r="F241" s="18">
        <f>109536.5</f>
        <v>109536.5</v>
      </c>
      <c r="G241" s="18">
        <v>55353</v>
      </c>
      <c r="H241" s="18">
        <f>15192.72</f>
        <v>15192.72</v>
      </c>
      <c r="I241" s="18">
        <f>13702.5</f>
        <v>13702.5</v>
      </c>
      <c r="J241" s="18"/>
      <c r="K241" s="18">
        <f>5556.58</f>
        <v>5556.58</v>
      </c>
      <c r="L241" s="19">
        <f t="shared" si="4"/>
        <v>199341.3</v>
      </c>
      <c r="M241" s="8"/>
      <c r="N241" s="266"/>
    </row>
    <row r="242" spans="1:14" s="3" customFormat="1" ht="12.2" customHeight="1" x14ac:dyDescent="0.15">
      <c r="A242" s="1" t="s">
        <v>445</v>
      </c>
      <c r="B242" s="2" t="s">
        <v>350</v>
      </c>
      <c r="C242" s="2" t="s">
        <v>297</v>
      </c>
      <c r="D242" s="2" t="s">
        <v>431</v>
      </c>
      <c r="E242" s="6">
        <v>2400</v>
      </c>
      <c r="F242" s="18">
        <f>171569.93*0.6+69588.01*0.6</f>
        <v>144694.764</v>
      </c>
      <c r="G242" s="18">
        <v>62701</v>
      </c>
      <c r="H242" s="18">
        <f>(2280.74+4651.61)*0.6</f>
        <v>4159.41</v>
      </c>
      <c r="I242" s="18">
        <f>9522.02*0.6</f>
        <v>5713.2120000000004</v>
      </c>
      <c r="J242" s="18"/>
      <c r="K242" s="18">
        <f>6178*0.6</f>
        <v>3706.7999999999997</v>
      </c>
      <c r="L242" s="19">
        <f t="shared" si="4"/>
        <v>220975.18599999999</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f>103225.34*0.6+36586.18+11340</f>
        <v>109861.38399999999</v>
      </c>
      <c r="G244" s="18">
        <v>52069</v>
      </c>
      <c r="H244" s="18">
        <f>(23091.46+77777.89+56559.79+12761.54)*0.6+44907.2-50+18482.69+13088.33+12965-5749+0.29</f>
        <v>185758.91800000001</v>
      </c>
      <c r="I244" s="18">
        <f>107228.6+3000.09+1869.24+208.77+123.33+224.97+39156</f>
        <v>151811</v>
      </c>
      <c r="J244" s="18">
        <f>11995+3465</f>
        <v>15460</v>
      </c>
      <c r="K244" s="18"/>
      <c r="L244" s="19">
        <f t="shared" si="4"/>
        <v>514960.30200000003</v>
      </c>
      <c r="M244" s="8"/>
      <c r="N244" s="266"/>
    </row>
    <row r="245" spans="1:14" s="3" customFormat="1" ht="12.2" customHeight="1" x14ac:dyDescent="0.15">
      <c r="A245" s="1" t="s">
        <v>448</v>
      </c>
      <c r="B245" s="2" t="s">
        <v>350</v>
      </c>
      <c r="C245" s="2" t="s">
        <v>300</v>
      </c>
      <c r="D245" s="2" t="s">
        <v>431</v>
      </c>
      <c r="E245" s="6">
        <v>2700</v>
      </c>
      <c r="F245" s="18">
        <f>13994.63+7596.15+79556.51+0.03</f>
        <v>101147.31999999999</v>
      </c>
      <c r="G245" s="18">
        <v>44742</v>
      </c>
      <c r="H245" s="18">
        <v>12018.88</v>
      </c>
      <c r="I245" s="18">
        <f>5986.07</f>
        <v>5986.07</v>
      </c>
      <c r="J245" s="18">
        <f>31041.07</f>
        <v>31041.07</v>
      </c>
      <c r="K245" s="18">
        <f>315.34</f>
        <v>315.33999999999997</v>
      </c>
      <c r="L245" s="19">
        <f t="shared" si="4"/>
        <v>195250.68000000002</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2362300.986</v>
      </c>
      <c r="G248" s="41">
        <f t="shared" si="5"/>
        <v>1109180</v>
      </c>
      <c r="H248" s="41">
        <f t="shared" si="5"/>
        <v>857011.39600000007</v>
      </c>
      <c r="I248" s="41">
        <f t="shared" si="5"/>
        <v>277383.23800000001</v>
      </c>
      <c r="J248" s="41">
        <f t="shared" si="5"/>
        <v>111214.71400000001</v>
      </c>
      <c r="K248" s="41">
        <f t="shared" si="5"/>
        <v>13537.06</v>
      </c>
      <c r="L248" s="41">
        <f t="shared" si="5"/>
        <v>4730627.3940000003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6541598.2599999998</v>
      </c>
      <c r="G258" s="41">
        <f t="shared" si="8"/>
        <v>3262292</v>
      </c>
      <c r="H258" s="41">
        <f t="shared" si="8"/>
        <v>1416867.2000000002</v>
      </c>
      <c r="I258" s="41">
        <f t="shared" si="8"/>
        <v>625422.67000000004</v>
      </c>
      <c r="J258" s="41">
        <f t="shared" si="8"/>
        <v>286451.42000000004</v>
      </c>
      <c r="K258" s="41">
        <f t="shared" si="8"/>
        <v>32544.720000000001</v>
      </c>
      <c r="L258" s="41">
        <f t="shared" si="8"/>
        <v>12165176.27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68690.86</v>
      </c>
      <c r="L264" s="19">
        <f>SUM(F264:K264)</f>
        <v>68690.86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t="s">
        <v>1672</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125000</v>
      </c>
      <c r="L267" s="19">
        <f t="shared" si="9"/>
        <v>125000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193690.86</v>
      </c>
      <c r="L271" s="41">
        <f t="shared" si="9"/>
        <v>193690.86</v>
      </c>
      <c r="M271" s="8"/>
      <c r="N271" s="266"/>
    </row>
    <row r="272" spans="1:14" s="34" customFormat="1" ht="12.2" customHeight="1" thickTop="1" x14ac:dyDescent="0.2">
      <c r="A272" s="43" t="s">
        <v>464</v>
      </c>
      <c r="B272" s="40">
        <v>10</v>
      </c>
      <c r="C272" s="40">
        <v>18</v>
      </c>
      <c r="D272" s="39" t="s">
        <v>431</v>
      </c>
      <c r="E272" s="40"/>
      <c r="F272" s="42">
        <f t="shared" ref="F272:L272" si="11">F258+F271</f>
        <v>6541598.2599999998</v>
      </c>
      <c r="G272" s="42">
        <f t="shared" si="11"/>
        <v>3262292</v>
      </c>
      <c r="H272" s="42">
        <f t="shared" si="11"/>
        <v>1416867.2000000002</v>
      </c>
      <c r="I272" s="42">
        <f t="shared" si="11"/>
        <v>625422.67000000004</v>
      </c>
      <c r="J272" s="42">
        <f t="shared" si="11"/>
        <v>286451.42000000004</v>
      </c>
      <c r="K272" s="42">
        <f t="shared" si="11"/>
        <v>226235.58</v>
      </c>
      <c r="L272" s="42">
        <f t="shared" si="11"/>
        <v>12358867.129999999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55877.87</v>
      </c>
      <c r="G277" s="18"/>
      <c r="H277" s="18"/>
      <c r="I277" s="18"/>
      <c r="J277" s="18">
        <v>1767.67</v>
      </c>
      <c r="K277" s="18"/>
      <c r="L277" s="19">
        <f>SUM(F277:K277)</f>
        <v>57645.54</v>
      </c>
      <c r="M277" s="8"/>
      <c r="N277" s="266"/>
    </row>
    <row r="278" spans="1:14" s="3" customFormat="1" ht="12.2" customHeight="1" x14ac:dyDescent="0.15">
      <c r="A278" s="1" t="s">
        <v>439</v>
      </c>
      <c r="B278" s="2" t="s">
        <v>357</v>
      </c>
      <c r="C278" s="2" t="s">
        <v>291</v>
      </c>
      <c r="D278" s="2" t="s">
        <v>431</v>
      </c>
      <c r="E278" s="6">
        <v>1200</v>
      </c>
      <c r="F278" s="18">
        <v>38996.019999999997</v>
      </c>
      <c r="G278" s="18"/>
      <c r="H278" s="18">
        <v>16992.400000000001</v>
      </c>
      <c r="I278" s="18">
        <v>8937.7800000000007</v>
      </c>
      <c r="J278" s="18">
        <v>439.56</v>
      </c>
      <c r="K278" s="18">
        <v>593.91</v>
      </c>
      <c r="L278" s="19">
        <f>SUM(F278:K278)</f>
        <v>65959.67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932.33</v>
      </c>
      <c r="I283" s="18">
        <v>8791.67</v>
      </c>
      <c r="J283" s="18">
        <v>20425.57</v>
      </c>
      <c r="K283" s="18">
        <v>114.98</v>
      </c>
      <c r="L283" s="19">
        <f t="shared" si="12"/>
        <v>30264.55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94873.89</v>
      </c>
      <c r="G291" s="42">
        <f t="shared" si="13"/>
        <v>0</v>
      </c>
      <c r="H291" s="42">
        <f t="shared" si="13"/>
        <v>17924.730000000003</v>
      </c>
      <c r="I291" s="42">
        <f t="shared" si="13"/>
        <v>17729.45</v>
      </c>
      <c r="J291" s="42">
        <f t="shared" si="13"/>
        <v>22632.799999999999</v>
      </c>
      <c r="K291" s="42">
        <f t="shared" si="13"/>
        <v>708.89</v>
      </c>
      <c r="L291" s="41">
        <f t="shared" si="13"/>
        <v>153869.75999999998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3733.33</v>
      </c>
      <c r="G296" s="18"/>
      <c r="H296" s="18"/>
      <c r="I296" s="18"/>
      <c r="J296" s="18">
        <v>1767.67</v>
      </c>
      <c r="K296" s="18"/>
      <c r="L296" s="19">
        <f>SUM(F296:K296)</f>
        <v>5501</v>
      </c>
      <c r="M296" s="8"/>
      <c r="N296" s="266"/>
    </row>
    <row r="297" spans="1:14" s="3" customFormat="1" ht="12.2" customHeight="1" x14ac:dyDescent="0.15">
      <c r="A297" s="1" t="s">
        <v>439</v>
      </c>
      <c r="B297" s="2" t="s">
        <v>358</v>
      </c>
      <c r="C297" s="2" t="s">
        <v>291</v>
      </c>
      <c r="D297" s="2" t="s">
        <v>431</v>
      </c>
      <c r="E297" s="6">
        <v>1200</v>
      </c>
      <c r="F297" s="18">
        <v>38996.019999999997</v>
      </c>
      <c r="G297" s="18"/>
      <c r="H297" s="18">
        <v>16992.400000000001</v>
      </c>
      <c r="I297" s="18">
        <v>8937.7800000000007</v>
      </c>
      <c r="J297" s="18">
        <v>439.56</v>
      </c>
      <c r="K297" s="18">
        <v>593.91</v>
      </c>
      <c r="L297" s="19">
        <f>SUM(F297:K297)</f>
        <v>65959.67</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v>932.33</v>
      </c>
      <c r="I302" s="18">
        <v>8791.67</v>
      </c>
      <c r="J302" s="18">
        <v>20425.57</v>
      </c>
      <c r="K302" s="18"/>
      <c r="L302" s="19">
        <f t="shared" si="14"/>
        <v>30149.57</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42729.35</v>
      </c>
      <c r="G310" s="42">
        <f t="shared" si="15"/>
        <v>0</v>
      </c>
      <c r="H310" s="42">
        <f t="shared" si="15"/>
        <v>17924.730000000003</v>
      </c>
      <c r="I310" s="42">
        <f t="shared" si="15"/>
        <v>17729.45</v>
      </c>
      <c r="J310" s="42">
        <f t="shared" si="15"/>
        <v>22632.799999999999</v>
      </c>
      <c r="K310" s="42">
        <f t="shared" si="15"/>
        <v>593.91</v>
      </c>
      <c r="L310" s="41">
        <f t="shared" si="15"/>
        <v>101610.23999999999</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3733.33</v>
      </c>
      <c r="G315" s="18"/>
      <c r="H315" s="18"/>
      <c r="I315" s="18"/>
      <c r="J315" s="18">
        <v>1767.67</v>
      </c>
      <c r="K315" s="18"/>
      <c r="L315" s="19">
        <f>SUM(F315:K315)</f>
        <v>5501</v>
      </c>
      <c r="M315" s="8"/>
      <c r="N315" s="266"/>
    </row>
    <row r="316" spans="1:14" s="3" customFormat="1" ht="12.2" customHeight="1" x14ac:dyDescent="0.15">
      <c r="A316" s="1" t="s">
        <v>439</v>
      </c>
      <c r="B316" s="2" t="s">
        <v>359</v>
      </c>
      <c r="C316" s="2" t="s">
        <v>291</v>
      </c>
      <c r="D316" s="2" t="s">
        <v>431</v>
      </c>
      <c r="E316" s="6">
        <v>1200</v>
      </c>
      <c r="F316" s="18">
        <v>38996.019999999997</v>
      </c>
      <c r="G316" s="18"/>
      <c r="H316" s="18">
        <v>16992.400000000001</v>
      </c>
      <c r="I316" s="18">
        <v>8937.7800000000007</v>
      </c>
      <c r="J316" s="18">
        <v>439.56</v>
      </c>
      <c r="K316" s="18">
        <v>593.91</v>
      </c>
      <c r="L316" s="19">
        <f>SUM(F316:K316)</f>
        <v>65959.67</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v>932.33</v>
      </c>
      <c r="I321" s="18">
        <v>8791.67</v>
      </c>
      <c r="J321" s="18">
        <v>20425.57</v>
      </c>
      <c r="K321" s="18"/>
      <c r="L321" s="19">
        <f t="shared" si="16"/>
        <v>30149.57</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42729.35</v>
      </c>
      <c r="G329" s="42">
        <f t="shared" si="17"/>
        <v>0</v>
      </c>
      <c r="H329" s="42">
        <f t="shared" si="17"/>
        <v>17924.730000000003</v>
      </c>
      <c r="I329" s="42">
        <f t="shared" si="17"/>
        <v>17729.45</v>
      </c>
      <c r="J329" s="42">
        <f t="shared" si="17"/>
        <v>22632.799999999999</v>
      </c>
      <c r="K329" s="42">
        <f t="shared" si="17"/>
        <v>593.91</v>
      </c>
      <c r="L329" s="41">
        <f t="shared" si="17"/>
        <v>101610.23999999999</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180332.59</v>
      </c>
      <c r="G339" s="41">
        <f t="shared" si="20"/>
        <v>0</v>
      </c>
      <c r="H339" s="41">
        <f t="shared" si="20"/>
        <v>53774.19000000001</v>
      </c>
      <c r="I339" s="41">
        <f t="shared" si="20"/>
        <v>53188.350000000006</v>
      </c>
      <c r="J339" s="41">
        <f t="shared" si="20"/>
        <v>67898.399999999994</v>
      </c>
      <c r="K339" s="41">
        <f t="shared" si="20"/>
        <v>1896.71</v>
      </c>
      <c r="L339" s="41">
        <f t="shared" si="20"/>
        <v>357090.24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180332.59</v>
      </c>
      <c r="G353" s="41">
        <f>G339</f>
        <v>0</v>
      </c>
      <c r="H353" s="41">
        <f>H339</f>
        <v>53774.19000000001</v>
      </c>
      <c r="I353" s="41">
        <f>I339</f>
        <v>53188.350000000006</v>
      </c>
      <c r="J353" s="41">
        <f>J339</f>
        <v>67898.399999999994</v>
      </c>
      <c r="K353" s="47">
        <f>K339+K352</f>
        <v>1896.71</v>
      </c>
      <c r="L353" s="41">
        <f>L339+L352</f>
        <v>357090.24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79920.62*0.33333333</f>
        <v>26640.206400264597</v>
      </c>
      <c r="G359" s="18"/>
      <c r="H359" s="18">
        <f>458.85*0.3333333</f>
        <v>152.94998470500002</v>
      </c>
      <c r="I359" s="18">
        <f>(7683.11+25292.99)*0.3333333</f>
        <v>10992.03223413</v>
      </c>
      <c r="J359" s="18"/>
      <c r="K359" s="18"/>
      <c r="L359" s="13">
        <f>SUM(F359:K359)</f>
        <v>37785.188619099594</v>
      </c>
      <c r="M359" s="8"/>
      <c r="N359" s="266"/>
    </row>
    <row r="360" spans="1:22" s="3" customFormat="1" ht="12.2" customHeight="1" x14ac:dyDescent="0.15">
      <c r="A360" s="1" t="s">
        <v>542</v>
      </c>
      <c r="B360" s="2" t="s">
        <v>366</v>
      </c>
      <c r="C360" s="6">
        <v>2</v>
      </c>
      <c r="D360" s="2" t="s">
        <v>431</v>
      </c>
      <c r="E360" s="6"/>
      <c r="F360" s="18">
        <f t="shared" ref="F360:F361" si="22">79920.62*0.33333333</f>
        <v>26640.206400264597</v>
      </c>
      <c r="G360" s="18"/>
      <c r="H360" s="18">
        <f t="shared" ref="H360:H361" si="23">458.85*0.3333333</f>
        <v>152.94998470500002</v>
      </c>
      <c r="I360" s="18"/>
      <c r="J360" s="18"/>
      <c r="K360" s="18"/>
      <c r="L360" s="19">
        <f>SUM(F360:K360)</f>
        <v>26793.156384969596</v>
      </c>
      <c r="M360" s="8"/>
      <c r="N360" s="266"/>
    </row>
    <row r="361" spans="1:22" s="3" customFormat="1" ht="12.2" customHeight="1" x14ac:dyDescent="0.15">
      <c r="A361" s="3" t="s">
        <v>543</v>
      </c>
      <c r="B361" s="2" t="s">
        <v>366</v>
      </c>
      <c r="C361" s="6">
        <v>3</v>
      </c>
      <c r="D361" s="2" t="s">
        <v>431</v>
      </c>
      <c r="E361" s="6"/>
      <c r="F361" s="18">
        <f t="shared" si="22"/>
        <v>26640.206400264597</v>
      </c>
      <c r="G361" s="18"/>
      <c r="H361" s="18">
        <f t="shared" si="23"/>
        <v>152.94998470500002</v>
      </c>
      <c r="I361" s="18"/>
      <c r="J361" s="18"/>
      <c r="K361" s="18"/>
      <c r="L361" s="19">
        <f>SUM(F361:K361)</f>
        <v>26793.156384969596</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4">SUM(F359:F362)</f>
        <v>79920.619200793793</v>
      </c>
      <c r="G363" s="47">
        <f t="shared" si="24"/>
        <v>0</v>
      </c>
      <c r="H363" s="47">
        <f t="shared" si="24"/>
        <v>458.84995411500006</v>
      </c>
      <c r="I363" s="47">
        <f t="shared" si="24"/>
        <v>10992.03223413</v>
      </c>
      <c r="J363" s="47">
        <f t="shared" si="24"/>
        <v>0</v>
      </c>
      <c r="K363" s="47">
        <f t="shared" si="24"/>
        <v>0</v>
      </c>
      <c r="L363" s="47">
        <f t="shared" si="24"/>
        <v>91371.501389038778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10992.03</v>
      </c>
      <c r="G369" s="63"/>
      <c r="H369" s="63"/>
      <c r="I369" s="56">
        <f>SUM(F369:H369)</f>
        <v>10992.03</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10992.03</v>
      </c>
      <c r="G370" s="47">
        <f>SUM(G368:G369)</f>
        <v>0</v>
      </c>
      <c r="H370" s="47">
        <f>SUM(H368:H369)</f>
        <v>0</v>
      </c>
      <c r="I370" s="47">
        <f>SUM(I368:I369)</f>
        <v>10992.03</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5">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5"/>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5"/>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5"/>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5"/>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5"/>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5"/>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6">SUM(G375:G382)</f>
        <v>0</v>
      </c>
      <c r="H383" s="139">
        <f t="shared" si="26"/>
        <v>0</v>
      </c>
      <c r="I383" s="41">
        <f t="shared" si="26"/>
        <v>0</v>
      </c>
      <c r="J383" s="47">
        <f t="shared" si="26"/>
        <v>0</v>
      </c>
      <c r="K383" s="47">
        <f t="shared" si="26"/>
        <v>0</v>
      </c>
      <c r="L383" s="47">
        <f t="shared" si="26"/>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7">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7"/>
        <v>0</v>
      </c>
      <c r="M389" s="8"/>
      <c r="N389" s="266"/>
    </row>
    <row r="390" spans="1:14" s="3" customFormat="1" ht="12.2" customHeight="1" x14ac:dyDescent="0.15">
      <c r="A390" s="79" t="s">
        <v>552</v>
      </c>
      <c r="B390" s="2" t="s">
        <v>381</v>
      </c>
      <c r="C390" s="6">
        <v>3</v>
      </c>
      <c r="D390" s="2" t="s">
        <v>432</v>
      </c>
      <c r="E390" s="6"/>
      <c r="F390" s="18"/>
      <c r="G390" s="18">
        <v>125000</v>
      </c>
      <c r="H390" s="18"/>
      <c r="I390" s="18"/>
      <c r="J390" s="24" t="s">
        <v>288</v>
      </c>
      <c r="K390" s="24" t="s">
        <v>288</v>
      </c>
      <c r="L390" s="56">
        <f t="shared" si="27"/>
        <v>125000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7"/>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7"/>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7"/>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125000</v>
      </c>
      <c r="H394" s="139">
        <f>SUM(H388:H393)</f>
        <v>0</v>
      </c>
      <c r="I394" s="65">
        <f>SUM(I388:I393)</f>
        <v>0</v>
      </c>
      <c r="J394" s="45" t="s">
        <v>288</v>
      </c>
      <c r="K394" s="45" t="s">
        <v>288</v>
      </c>
      <c r="L394" s="47">
        <f>SUM(L388:L393)</f>
        <v>125000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8">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8"/>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8"/>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8"/>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8"/>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8"/>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125000</v>
      </c>
      <c r="H409" s="47">
        <f>H394+H402+H408</f>
        <v>0</v>
      </c>
      <c r="I409" s="47">
        <f>I394+I402+I408</f>
        <v>0</v>
      </c>
      <c r="J409" s="24" t="s">
        <v>288</v>
      </c>
      <c r="K409" s="24" t="s">
        <v>288</v>
      </c>
      <c r="L409" s="47">
        <f>L394+L402+L408</f>
        <v>125000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9">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9"/>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331710.67</v>
      </c>
      <c r="I416" s="18"/>
      <c r="J416" s="18"/>
      <c r="K416" s="18"/>
      <c r="L416" s="56">
        <f t="shared" si="29"/>
        <v>331710.67</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9"/>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9"/>
        <v>0</v>
      </c>
      <c r="M418" s="8"/>
      <c r="N418" s="266"/>
    </row>
    <row r="419" spans="1:21" s="3" customFormat="1" ht="12.2" customHeight="1" thickBot="1" x14ac:dyDescent="0.2">
      <c r="A419" s="79" t="s">
        <v>555</v>
      </c>
      <c r="B419" s="6">
        <v>17</v>
      </c>
      <c r="C419" s="6">
        <v>6</v>
      </c>
      <c r="D419" s="2" t="s">
        <v>432</v>
      </c>
      <c r="E419" s="6"/>
      <c r="F419" s="18"/>
      <c r="G419" s="18"/>
      <c r="H419" s="18">
        <v>2000</v>
      </c>
      <c r="I419" s="18"/>
      <c r="J419" s="18"/>
      <c r="K419" s="18"/>
      <c r="L419" s="56">
        <f t="shared" si="29"/>
        <v>2000</v>
      </c>
      <c r="M419" s="8"/>
      <c r="N419" s="266"/>
    </row>
    <row r="420" spans="1:21" s="3" customFormat="1" ht="12.2" customHeight="1" thickTop="1" x14ac:dyDescent="0.15">
      <c r="A420" s="160" t="s">
        <v>471</v>
      </c>
      <c r="B420" s="6">
        <v>17</v>
      </c>
      <c r="C420" s="6">
        <v>7</v>
      </c>
      <c r="D420" s="2" t="s">
        <v>432</v>
      </c>
      <c r="E420" s="40">
        <v>5251</v>
      </c>
      <c r="F420" s="139">
        <f t="shared" ref="F420:L420" si="30">SUM(F414:F419)</f>
        <v>0</v>
      </c>
      <c r="G420" s="139">
        <f t="shared" si="30"/>
        <v>0</v>
      </c>
      <c r="H420" s="139">
        <f t="shared" si="30"/>
        <v>333710.67</v>
      </c>
      <c r="I420" s="139">
        <f t="shared" si="30"/>
        <v>0</v>
      </c>
      <c r="J420" s="139">
        <f t="shared" si="30"/>
        <v>0</v>
      </c>
      <c r="K420" s="139">
        <f t="shared" si="30"/>
        <v>0</v>
      </c>
      <c r="L420" s="47">
        <f t="shared" si="30"/>
        <v>333710.67</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31">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31"/>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31"/>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31"/>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31"/>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31"/>
        <v>0</v>
      </c>
      <c r="M427" s="8"/>
      <c r="N427" s="266"/>
    </row>
    <row r="428" spans="1:21" s="11" customFormat="1" ht="12.2" customHeight="1" thickTop="1" x14ac:dyDescent="0.15">
      <c r="A428" s="160" t="s">
        <v>470</v>
      </c>
      <c r="B428" s="6">
        <v>17</v>
      </c>
      <c r="C428" s="6">
        <v>14</v>
      </c>
      <c r="D428" s="2" t="s">
        <v>432</v>
      </c>
      <c r="E428" s="40">
        <v>5252</v>
      </c>
      <c r="F428" s="47">
        <f t="shared" ref="F428:L428" si="32">SUM(F422:F427)</f>
        <v>0</v>
      </c>
      <c r="G428" s="47">
        <f t="shared" si="32"/>
        <v>0</v>
      </c>
      <c r="H428" s="47">
        <f t="shared" si="32"/>
        <v>0</v>
      </c>
      <c r="I428" s="47">
        <f t="shared" si="32"/>
        <v>0</v>
      </c>
      <c r="J428" s="47">
        <f t="shared" si="32"/>
        <v>0</v>
      </c>
      <c r="K428" s="47">
        <f t="shared" si="32"/>
        <v>0</v>
      </c>
      <c r="L428" s="47">
        <f t="shared" si="32"/>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3">SUM(F430:F433)</f>
        <v>0</v>
      </c>
      <c r="G434" s="47">
        <f t="shared" si="33"/>
        <v>0</v>
      </c>
      <c r="H434" s="47">
        <f t="shared" si="33"/>
        <v>0</v>
      </c>
      <c r="I434" s="47">
        <f t="shared" si="33"/>
        <v>0</v>
      </c>
      <c r="J434" s="47">
        <f t="shared" si="33"/>
        <v>0</v>
      </c>
      <c r="K434" s="47">
        <f t="shared" si="33"/>
        <v>0</v>
      </c>
      <c r="L434" s="47">
        <f t="shared" si="33"/>
        <v>0</v>
      </c>
      <c r="M434" s="8"/>
      <c r="N434" s="266"/>
    </row>
    <row r="435" spans="1:14" s="3" customFormat="1" ht="12.2" customHeight="1" thickTop="1" x14ac:dyDescent="0.15">
      <c r="A435" s="78" t="s">
        <v>422</v>
      </c>
      <c r="B435" s="6">
        <v>17</v>
      </c>
      <c r="C435" s="6">
        <v>20</v>
      </c>
      <c r="D435" s="2" t="s">
        <v>432</v>
      </c>
      <c r="E435" s="40"/>
      <c r="F435" s="47">
        <f t="shared" ref="F435:L435" si="34">F420+F428+F434</f>
        <v>0</v>
      </c>
      <c r="G435" s="47">
        <f t="shared" si="34"/>
        <v>0</v>
      </c>
      <c r="H435" s="47">
        <f t="shared" si="34"/>
        <v>333710.67</v>
      </c>
      <c r="I435" s="47">
        <f t="shared" si="34"/>
        <v>0</v>
      </c>
      <c r="J435" s="47">
        <f t="shared" si="34"/>
        <v>0</v>
      </c>
      <c r="K435" s="47">
        <f t="shared" si="34"/>
        <v>0</v>
      </c>
      <c r="L435" s="47">
        <f t="shared" si="34"/>
        <v>333710.67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5">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358168.79</v>
      </c>
      <c r="G441" s="18">
        <v>506287.64</v>
      </c>
      <c r="H441" s="18"/>
      <c r="I441" s="56">
        <f t="shared" si="35"/>
        <v>864456.42999999993</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90000</v>
      </c>
      <c r="G442" s="18"/>
      <c r="H442" s="18"/>
      <c r="I442" s="56">
        <f t="shared" si="35"/>
        <v>90000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5"/>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5"/>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5"/>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5"/>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448168.79</v>
      </c>
      <c r="G447" s="13">
        <f>SUM(G440:G446)</f>
        <v>506287.64</v>
      </c>
      <c r="H447" s="13">
        <f>SUM(H440:H446)</f>
        <v>0</v>
      </c>
      <c r="I447" s="13">
        <f>SUM(I440:I446)</f>
        <v>954456.42999999993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6">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6"/>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6"/>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6"/>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6"/>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358168.79+90000</f>
        <v>448168.79</v>
      </c>
      <c r="G460" s="18">
        <v>506287.64</v>
      </c>
      <c r="H460" s="18"/>
      <c r="I460" s="56">
        <f t="shared" si="36"/>
        <v>954456.42999999993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448168.79</v>
      </c>
      <c r="G461" s="83">
        <f>SUM(G455:G460)</f>
        <v>506287.64</v>
      </c>
      <c r="H461" s="83">
        <f>SUM(H455:H460)</f>
        <v>0</v>
      </c>
      <c r="I461" s="83">
        <f>SUM(I455:I460)</f>
        <v>954456.42999999993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448168.79</v>
      </c>
      <c r="G462" s="42">
        <f>G453+G461</f>
        <v>506287.64</v>
      </c>
      <c r="H462" s="42">
        <f>H453+H461</f>
        <v>0</v>
      </c>
      <c r="I462" s="42">
        <f>I453+I461</f>
        <v>954456.42999999993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1146065</v>
      </c>
      <c r="G466" s="18">
        <v>13389</v>
      </c>
      <c r="H466" s="18">
        <v>0</v>
      </c>
      <c r="I466" s="18"/>
      <c r="J466" s="18">
        <v>996784.42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12290984.720000001</v>
      </c>
      <c r="G469" s="18">
        <f>G194</f>
        <v>148355.57</v>
      </c>
      <c r="H469" s="18">
        <f>H194</f>
        <v>357090.24</v>
      </c>
      <c r="I469" s="18"/>
      <c r="J469" s="18">
        <v>125000</v>
      </c>
      <c r="K469" s="24" t="s">
        <v>288</v>
      </c>
      <c r="L469" s="24" t="s">
        <v>288</v>
      </c>
      <c r="N469" s="265"/>
    </row>
    <row r="470" spans="1:14" s="52" customFormat="1" ht="12.2" customHeight="1" x14ac:dyDescent="0.2">
      <c r="A470" s="93" t="s">
        <v>611</v>
      </c>
      <c r="B470" s="75">
        <v>19</v>
      </c>
      <c r="C470" s="80">
        <v>3</v>
      </c>
      <c r="D470" s="2" t="s">
        <v>432</v>
      </c>
      <c r="E470" s="80"/>
      <c r="F470" s="18">
        <f>126382.68</f>
        <v>126382.68</v>
      </c>
      <c r="G470" s="18">
        <v>1234.07</v>
      </c>
      <c r="H470" s="18"/>
      <c r="I470" s="18"/>
      <c r="J470" s="18">
        <v>166382.68</v>
      </c>
      <c r="K470" s="24" t="s">
        <v>288</v>
      </c>
      <c r="L470" s="24" t="s">
        <v>288</v>
      </c>
      <c r="N470" s="265"/>
    </row>
    <row r="471" spans="1:14" s="52" customFormat="1" ht="12.2" customHeight="1" x14ac:dyDescent="0.2">
      <c r="A471" s="92" t="s">
        <v>425</v>
      </c>
      <c r="B471" s="75">
        <v>19</v>
      </c>
      <c r="C471" s="80">
        <v>4</v>
      </c>
      <c r="D471" s="2" t="s">
        <v>432</v>
      </c>
      <c r="E471" s="80"/>
      <c r="F471" s="53">
        <f>SUM(F469:F470)</f>
        <v>12417367.4</v>
      </c>
      <c r="G471" s="53">
        <f>SUM(G469:G470)</f>
        <v>149589.64000000001</v>
      </c>
      <c r="H471" s="53">
        <f>SUM(H469:H470)</f>
        <v>357090.24</v>
      </c>
      <c r="I471" s="53">
        <f>SUM(I469:I470)</f>
        <v>0</v>
      </c>
      <c r="J471" s="53">
        <f>SUM(J469:J470)</f>
        <v>291382.68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12358867.129999999</v>
      </c>
      <c r="G473" s="18">
        <f>L363</f>
        <v>91371.501389038778</v>
      </c>
      <c r="H473" s="18">
        <f>L353</f>
        <v>357090.24</v>
      </c>
      <c r="I473" s="18"/>
      <c r="J473" s="18">
        <f>L435</f>
        <v>333710.67</v>
      </c>
      <c r="K473" s="24" t="s">
        <v>288</v>
      </c>
      <c r="L473" s="24" t="s">
        <v>288</v>
      </c>
      <c r="N473" s="265"/>
    </row>
    <row r="474" spans="1:14" s="52" customFormat="1" ht="12.2" customHeight="1" x14ac:dyDescent="0.2">
      <c r="A474" s="93" t="s">
        <v>613</v>
      </c>
      <c r="B474" s="75">
        <v>19</v>
      </c>
      <c r="C474" s="80">
        <v>6</v>
      </c>
      <c r="D474" s="2" t="s">
        <v>432</v>
      </c>
      <c r="E474" s="80"/>
      <c r="F474" s="18">
        <f>2372.07+166382.68</f>
        <v>168754.75</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12527621.879999999</v>
      </c>
      <c r="G475" s="53">
        <f>SUM(G473:G474)</f>
        <v>91371.501389038778</v>
      </c>
      <c r="H475" s="53">
        <f>SUM(H473:H474)</f>
        <v>357090.24</v>
      </c>
      <c r="I475" s="53">
        <f>SUM(I473:I474)</f>
        <v>0</v>
      </c>
      <c r="J475" s="53">
        <f>SUM(J473:J474)</f>
        <v>333710.67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1035810.5200000014</v>
      </c>
      <c r="G477" s="53">
        <f>(G466+G471)- G475</f>
        <v>71607.138610961236</v>
      </c>
      <c r="H477" s="53">
        <f>(H466+H471)- H475</f>
        <v>0</v>
      </c>
      <c r="I477" s="53">
        <f>(I466+I471)- I475</f>
        <v>0</v>
      </c>
      <c r="J477" s="53">
        <f>(J466+J471)- J475</f>
        <v>954456.43000000017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1675</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1673</v>
      </c>
      <c r="B484" s="112"/>
      <c r="C484" s="112"/>
      <c r="D484" s="112"/>
      <c r="E484" s="112"/>
      <c r="F484" s="112"/>
      <c r="G484" s="112"/>
      <c r="H484" s="112"/>
      <c r="I484" s="112" t="s">
        <v>18</v>
      </c>
      <c r="J484" s="112"/>
      <c r="K484" s="95"/>
      <c r="L484" s="95"/>
      <c r="N484" s="265"/>
    </row>
    <row r="485" spans="1:14" s="52" customFormat="1" ht="12.2" customHeight="1" x14ac:dyDescent="0.2">
      <c r="A485" s="174" t="s">
        <v>1674</v>
      </c>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7">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7"/>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7"/>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7"/>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7"/>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7"/>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7"/>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7"/>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401079.95+38996.02-44500.13</f>
        <v>395575.84</v>
      </c>
      <c r="G522" s="18">
        <f>139436-19135</f>
        <v>120301</v>
      </c>
      <c r="H522" s="18">
        <f>8612.06+16992.4</f>
        <v>25604.46</v>
      </c>
      <c r="I522" s="18">
        <f>4668.07+8937.78</f>
        <v>13605.85</v>
      </c>
      <c r="J522" s="18">
        <f>284.97+439.56</f>
        <v>724.53</v>
      </c>
      <c r="K522" s="18">
        <f>940.33+593.91</f>
        <v>1534.24</v>
      </c>
      <c r="L522" s="88">
        <f>SUM(F522:K522)</f>
        <v>557345.92000000004</v>
      </c>
      <c r="N522" s="265"/>
    </row>
    <row r="523" spans="1:14" s="52" customFormat="1" ht="12.2" customHeight="1" x14ac:dyDescent="0.2">
      <c r="A523" s="22" t="s">
        <v>634</v>
      </c>
      <c r="B523" s="105">
        <v>21</v>
      </c>
      <c r="C523" s="115">
        <v>2</v>
      </c>
      <c r="D523" s="2" t="s">
        <v>432</v>
      </c>
      <c r="E523" s="115"/>
      <c r="F523" s="18">
        <f>189615.67+38996.02-44500.13</f>
        <v>184111.56</v>
      </c>
      <c r="G523" s="18">
        <f>139436-19135</f>
        <v>120301</v>
      </c>
      <c r="H523" s="18">
        <f>90616.54+16992.4</f>
        <v>107608.94</v>
      </c>
      <c r="I523" s="18">
        <f>3915.27+8937.78</f>
        <v>12853.050000000001</v>
      </c>
      <c r="J523" s="18">
        <f>73.17+439.56</f>
        <v>512.73</v>
      </c>
      <c r="K523" s="18">
        <f>940.33+593.9</f>
        <v>1534.23</v>
      </c>
      <c r="L523" s="88">
        <f>SUM(F523:K523)</f>
        <v>426921.50999999995</v>
      </c>
      <c r="N523" s="265"/>
    </row>
    <row r="524" spans="1:14" s="52" customFormat="1" ht="12.2" customHeight="1" thickBot="1" x14ac:dyDescent="0.25">
      <c r="A524" s="22" t="s">
        <v>635</v>
      </c>
      <c r="B524" s="105">
        <v>21</v>
      </c>
      <c r="C524" s="115">
        <v>3</v>
      </c>
      <c r="D524" s="2" t="s">
        <v>432</v>
      </c>
      <c r="E524" s="115"/>
      <c r="F524" s="18">
        <f>262173.43+38996.02-44500.14</f>
        <v>256669.31</v>
      </c>
      <c r="G524" s="18">
        <f>143661-19135</f>
        <v>124526</v>
      </c>
      <c r="H524" s="18">
        <f>527192.3+16992.4+33977.2</f>
        <v>578161.9</v>
      </c>
      <c r="I524" s="18">
        <f>4350.88+8937.78</f>
        <v>13288.66</v>
      </c>
      <c r="J524" s="18">
        <f>109.75+439.56</f>
        <v>549.30999999999995</v>
      </c>
      <c r="K524" s="18">
        <f>940.34+593.92</f>
        <v>1534.26</v>
      </c>
      <c r="L524" s="88">
        <f>SUM(F524:K524)</f>
        <v>974729.44000000006</v>
      </c>
      <c r="N524" s="265"/>
    </row>
    <row r="525" spans="1:14" s="52" customFormat="1" ht="12.2" customHeight="1" thickTop="1" x14ac:dyDescent="0.2">
      <c r="A525" s="139" t="s">
        <v>63</v>
      </c>
      <c r="B525" s="107">
        <v>21</v>
      </c>
      <c r="C525" s="195">
        <v>4</v>
      </c>
      <c r="D525" s="196" t="s">
        <v>432</v>
      </c>
      <c r="E525" s="195"/>
      <c r="F525" s="108">
        <f>SUM(F522:F524)</f>
        <v>836356.71</v>
      </c>
      <c r="G525" s="108">
        <f t="shared" ref="G525:L525" si="38">SUM(G522:G524)</f>
        <v>365128</v>
      </c>
      <c r="H525" s="108">
        <f t="shared" si="38"/>
        <v>711375.3</v>
      </c>
      <c r="I525" s="108">
        <f t="shared" si="38"/>
        <v>39747.56</v>
      </c>
      <c r="J525" s="108">
        <f t="shared" si="38"/>
        <v>1786.57</v>
      </c>
      <c r="K525" s="108">
        <f t="shared" si="38"/>
        <v>4602.7300000000005</v>
      </c>
      <c r="L525" s="89">
        <f t="shared" si="38"/>
        <v>1958996.87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254894.87</f>
        <v>254894.87</v>
      </c>
      <c r="G527" s="18">
        <f>129354</f>
        <v>129354</v>
      </c>
      <c r="H527" s="18">
        <v>3991.66</v>
      </c>
      <c r="I527" s="18">
        <v>1486.69</v>
      </c>
      <c r="J527" s="18"/>
      <c r="K527" s="18"/>
      <c r="L527" s="88">
        <f>SUM(F527:K527)</f>
        <v>389727.22</v>
      </c>
      <c r="M527" s="8"/>
      <c r="N527" s="266"/>
    </row>
    <row r="528" spans="1:14" s="3" customFormat="1" ht="12.2" customHeight="1" x14ac:dyDescent="0.15">
      <c r="A528" s="22" t="s">
        <v>634</v>
      </c>
      <c r="B528" s="105">
        <v>21</v>
      </c>
      <c r="C528" s="115">
        <v>6</v>
      </c>
      <c r="D528" s="2" t="s">
        <v>432</v>
      </c>
      <c r="E528" s="115"/>
      <c r="F528" s="18">
        <v>238580.46</v>
      </c>
      <c r="G528" s="18">
        <v>129354</v>
      </c>
      <c r="H528" s="18">
        <v>7241.46</v>
      </c>
      <c r="I528" s="18">
        <v>2645.52</v>
      </c>
      <c r="J528" s="18"/>
      <c r="K528" s="18"/>
      <c r="L528" s="88">
        <f>SUM(F528:K528)</f>
        <v>377821.44</v>
      </c>
      <c r="M528" s="8"/>
      <c r="N528" s="266"/>
    </row>
    <row r="529" spans="1:14" s="3" customFormat="1" ht="12.2" customHeight="1" thickBot="1" x14ac:dyDescent="0.2">
      <c r="A529" s="22" t="s">
        <v>635</v>
      </c>
      <c r="B529" s="118">
        <v>21</v>
      </c>
      <c r="C529" s="118">
        <v>7</v>
      </c>
      <c r="D529" s="2" t="s">
        <v>432</v>
      </c>
      <c r="E529" s="118"/>
      <c r="F529" s="18">
        <v>297727.28000000003</v>
      </c>
      <c r="G529" s="18">
        <v>133274</v>
      </c>
      <c r="H529" s="18">
        <v>8941.36</v>
      </c>
      <c r="I529" s="18">
        <v>3582.77</v>
      </c>
      <c r="J529" s="18"/>
      <c r="K529" s="18"/>
      <c r="L529" s="88">
        <f>SUM(F529:K529)</f>
        <v>443525.41000000003</v>
      </c>
      <c r="M529" s="8"/>
      <c r="N529" s="266"/>
    </row>
    <row r="530" spans="1:14" s="3" customFormat="1" ht="12.2" customHeight="1" thickTop="1" x14ac:dyDescent="0.15">
      <c r="A530" s="139" t="s">
        <v>65</v>
      </c>
      <c r="B530" s="107">
        <v>21</v>
      </c>
      <c r="C530" s="107">
        <v>8</v>
      </c>
      <c r="D530" s="158" t="s">
        <v>432</v>
      </c>
      <c r="E530" s="107"/>
      <c r="F530" s="89">
        <f>SUM(F527:F529)</f>
        <v>791202.61</v>
      </c>
      <c r="G530" s="89">
        <f t="shared" ref="G530:L530" si="39">SUM(G527:G529)</f>
        <v>391982</v>
      </c>
      <c r="H530" s="89">
        <f t="shared" si="39"/>
        <v>20174.48</v>
      </c>
      <c r="I530" s="89">
        <f t="shared" si="39"/>
        <v>7714.98</v>
      </c>
      <c r="J530" s="89">
        <f t="shared" si="39"/>
        <v>0</v>
      </c>
      <c r="K530" s="89">
        <f t="shared" si="39"/>
        <v>0</v>
      </c>
      <c r="L530" s="89">
        <f t="shared" si="39"/>
        <v>1211074.0699999998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44500.13</v>
      </c>
      <c r="G532" s="18">
        <v>19135</v>
      </c>
      <c r="H532" s="18"/>
      <c r="I532" s="18"/>
      <c r="J532" s="18"/>
      <c r="K532" s="18"/>
      <c r="L532" s="88">
        <f>SUM(F532:K532)</f>
        <v>63635.13</v>
      </c>
      <c r="M532" s="8"/>
      <c r="N532" s="266"/>
    </row>
    <row r="533" spans="1:14" s="3" customFormat="1" ht="12.2" customHeight="1" x14ac:dyDescent="0.15">
      <c r="A533" s="22" t="s">
        <v>634</v>
      </c>
      <c r="B533" s="105">
        <v>21</v>
      </c>
      <c r="C533" s="105">
        <v>10</v>
      </c>
      <c r="D533" s="2" t="s">
        <v>432</v>
      </c>
      <c r="E533" s="105"/>
      <c r="F533" s="18">
        <v>44500.13</v>
      </c>
      <c r="G533" s="18">
        <v>19135</v>
      </c>
      <c r="H533" s="18"/>
      <c r="I533" s="18"/>
      <c r="J533" s="18"/>
      <c r="K533" s="18"/>
      <c r="L533" s="88">
        <f>SUM(F533:K533)</f>
        <v>63635.13</v>
      </c>
      <c r="M533" s="8"/>
      <c r="N533" s="266"/>
    </row>
    <row r="534" spans="1:14" s="3" customFormat="1" ht="12.2" customHeight="1" thickBot="1" x14ac:dyDescent="0.2">
      <c r="A534" s="22" t="s">
        <v>635</v>
      </c>
      <c r="B534" s="105">
        <v>21</v>
      </c>
      <c r="C534" s="105">
        <v>11</v>
      </c>
      <c r="D534" s="2" t="s">
        <v>432</v>
      </c>
      <c r="E534" s="105"/>
      <c r="F534" s="18">
        <v>44500.14</v>
      </c>
      <c r="G534" s="18">
        <v>19135</v>
      </c>
      <c r="H534" s="18"/>
      <c r="I534" s="18"/>
      <c r="J534" s="18"/>
      <c r="K534" s="18"/>
      <c r="L534" s="88">
        <f>SUM(F534:K534)</f>
        <v>63635.14</v>
      </c>
      <c r="M534" s="8"/>
      <c r="N534" s="266"/>
    </row>
    <row r="535" spans="1:14" s="3" customFormat="1" ht="12.2" customHeight="1" thickTop="1" x14ac:dyDescent="0.15">
      <c r="A535" s="139" t="s">
        <v>67</v>
      </c>
      <c r="B535" s="107">
        <v>21</v>
      </c>
      <c r="C535" s="107">
        <v>12</v>
      </c>
      <c r="D535" s="158" t="s">
        <v>432</v>
      </c>
      <c r="E535" s="107"/>
      <c r="F535" s="89">
        <f>SUM(F532:F534)</f>
        <v>133500.4</v>
      </c>
      <c r="G535" s="89">
        <f t="shared" ref="G535:L535" si="40">SUM(G532:G534)</f>
        <v>57405</v>
      </c>
      <c r="H535" s="89">
        <f t="shared" si="40"/>
        <v>0</v>
      </c>
      <c r="I535" s="89">
        <f t="shared" si="40"/>
        <v>0</v>
      </c>
      <c r="J535" s="89">
        <f t="shared" si="40"/>
        <v>0</v>
      </c>
      <c r="K535" s="89">
        <f t="shared" si="40"/>
        <v>0</v>
      </c>
      <c r="L535" s="89">
        <f t="shared" si="40"/>
        <v>190905.4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39018.67</v>
      </c>
      <c r="G542" s="18"/>
      <c r="H542" s="18"/>
      <c r="I542" s="18"/>
      <c r="J542" s="18"/>
      <c r="K542" s="18"/>
      <c r="L542" s="88">
        <f>SUM(F542:K542)</f>
        <v>39018.67</v>
      </c>
      <c r="M542" s="8"/>
      <c r="N542" s="266"/>
    </row>
    <row r="543" spans="1:14" s="3" customFormat="1" ht="12.2" customHeight="1" x14ac:dyDescent="0.15">
      <c r="A543" s="22" t="s">
        <v>634</v>
      </c>
      <c r="B543" s="105">
        <v>21</v>
      </c>
      <c r="C543" s="105">
        <v>18</v>
      </c>
      <c r="D543" s="2" t="s">
        <v>432</v>
      </c>
      <c r="E543" s="105"/>
      <c r="F543" s="18">
        <v>38975.65</v>
      </c>
      <c r="G543" s="18"/>
      <c r="H543" s="18"/>
      <c r="I543" s="18"/>
      <c r="J543" s="18"/>
      <c r="K543" s="18"/>
      <c r="L543" s="88">
        <f>SUM(F543:K543)</f>
        <v>38975.65</v>
      </c>
      <c r="M543" s="8"/>
      <c r="N543" s="266"/>
    </row>
    <row r="544" spans="1:14" s="3" customFormat="1" ht="12.2" customHeight="1" thickBot="1" x14ac:dyDescent="0.2">
      <c r="A544" s="22" t="s">
        <v>635</v>
      </c>
      <c r="B544" s="105">
        <v>21</v>
      </c>
      <c r="C544" s="105">
        <v>19</v>
      </c>
      <c r="D544" s="2" t="s">
        <v>432</v>
      </c>
      <c r="E544" s="105"/>
      <c r="F544" s="18">
        <v>39334.68</v>
      </c>
      <c r="G544" s="18"/>
      <c r="H544" s="18"/>
      <c r="I544" s="18"/>
      <c r="J544" s="18"/>
      <c r="K544" s="18"/>
      <c r="L544" s="88">
        <f>SUM(F544:K544)</f>
        <v>39334.68</v>
      </c>
      <c r="M544" s="8"/>
      <c r="N544" s="266"/>
    </row>
    <row r="545" spans="1:14" s="3" customFormat="1" ht="12.2" customHeight="1" thickTop="1" thickBot="1" x14ac:dyDescent="0.2">
      <c r="A545" s="130" t="s">
        <v>71</v>
      </c>
      <c r="B545" s="191">
        <v>21</v>
      </c>
      <c r="C545" s="191">
        <v>20</v>
      </c>
      <c r="D545" s="192" t="s">
        <v>432</v>
      </c>
      <c r="E545" s="191"/>
      <c r="F545" s="193">
        <f>SUM(F542:F544)</f>
        <v>117329</v>
      </c>
      <c r="G545" s="193">
        <f t="shared" ref="G545:L545" si="42">SUM(G542:G544)</f>
        <v>0</v>
      </c>
      <c r="H545" s="193">
        <f t="shared" si="42"/>
        <v>0</v>
      </c>
      <c r="I545" s="193">
        <f t="shared" si="42"/>
        <v>0</v>
      </c>
      <c r="J545" s="193">
        <f t="shared" si="42"/>
        <v>0</v>
      </c>
      <c r="K545" s="193">
        <f t="shared" si="42"/>
        <v>0</v>
      </c>
      <c r="L545" s="193">
        <f t="shared" si="42"/>
        <v>117329</v>
      </c>
      <c r="M545" s="8"/>
      <c r="N545" s="266"/>
    </row>
    <row r="546" spans="1:14" s="3" customFormat="1" ht="12.2" customHeight="1" thickTop="1" x14ac:dyDescent="0.15">
      <c r="A546" s="98" t="s">
        <v>72</v>
      </c>
      <c r="B546" s="107">
        <v>21</v>
      </c>
      <c r="C546" s="107">
        <v>21</v>
      </c>
      <c r="D546" s="158" t="s">
        <v>432</v>
      </c>
      <c r="E546" s="107"/>
      <c r="F546" s="89">
        <f>F525+F530+F535+F540+F545</f>
        <v>1878388.7199999997</v>
      </c>
      <c r="G546" s="89">
        <f t="shared" ref="G546:L546" si="43">G525+G530+G535+G540+G545</f>
        <v>814515</v>
      </c>
      <c r="H546" s="89">
        <f t="shared" si="43"/>
        <v>731549.78</v>
      </c>
      <c r="I546" s="89">
        <f t="shared" si="43"/>
        <v>47462.539999999994</v>
      </c>
      <c r="J546" s="89">
        <f t="shared" si="43"/>
        <v>1786.57</v>
      </c>
      <c r="K546" s="89">
        <f t="shared" si="43"/>
        <v>4602.7300000000005</v>
      </c>
      <c r="L546" s="89">
        <f t="shared" si="43"/>
        <v>3478305.34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557345.92000000004</v>
      </c>
      <c r="G550" s="87">
        <f>L527</f>
        <v>389727.22</v>
      </c>
      <c r="H550" s="87">
        <f>L532</f>
        <v>63635.13</v>
      </c>
      <c r="I550" s="87">
        <f>L537</f>
        <v>0</v>
      </c>
      <c r="J550" s="87">
        <f>L542</f>
        <v>39018.67</v>
      </c>
      <c r="K550" s="87">
        <f>SUM(F550:J550)</f>
        <v>1049726.94</v>
      </c>
      <c r="L550" s="24" t="s">
        <v>288</v>
      </c>
      <c r="M550" s="8"/>
      <c r="N550" s="266"/>
    </row>
    <row r="551" spans="1:14" s="3" customFormat="1" ht="12.2" customHeight="1" x14ac:dyDescent="0.15">
      <c r="A551" s="22" t="s">
        <v>634</v>
      </c>
      <c r="B551" s="75">
        <v>21</v>
      </c>
      <c r="C551" s="75">
        <v>23</v>
      </c>
      <c r="D551" s="2" t="s">
        <v>432</v>
      </c>
      <c r="E551" s="75"/>
      <c r="F551" s="87">
        <f>L523</f>
        <v>426921.50999999995</v>
      </c>
      <c r="G551" s="87">
        <f>L528</f>
        <v>377821.44</v>
      </c>
      <c r="H551" s="87">
        <f>L533</f>
        <v>63635.13</v>
      </c>
      <c r="I551" s="87">
        <f>L538</f>
        <v>0</v>
      </c>
      <c r="J551" s="87">
        <f>L543</f>
        <v>38975.65</v>
      </c>
      <c r="K551" s="87">
        <f>SUM(F551:J551)</f>
        <v>907353.73</v>
      </c>
      <c r="L551" s="24" t="s">
        <v>288</v>
      </c>
      <c r="M551" s="8"/>
      <c r="N551" s="266"/>
    </row>
    <row r="552" spans="1:14" s="3" customFormat="1" ht="12.2" customHeight="1" thickBot="1" x14ac:dyDescent="0.2">
      <c r="A552" s="22" t="s">
        <v>635</v>
      </c>
      <c r="B552" s="75">
        <v>21</v>
      </c>
      <c r="C552" s="75">
        <v>24</v>
      </c>
      <c r="D552" s="2" t="s">
        <v>432</v>
      </c>
      <c r="E552" s="75"/>
      <c r="F552" s="87">
        <f>L524</f>
        <v>974729.44000000006</v>
      </c>
      <c r="G552" s="87">
        <f>L529</f>
        <v>443525.41000000003</v>
      </c>
      <c r="H552" s="87">
        <f>L534</f>
        <v>63635.14</v>
      </c>
      <c r="I552" s="87">
        <f>L539</f>
        <v>0</v>
      </c>
      <c r="J552" s="87">
        <f>L544</f>
        <v>39334.68</v>
      </c>
      <c r="K552" s="87">
        <f>SUM(F552:J552)</f>
        <v>1521224.67</v>
      </c>
      <c r="L552" s="24" t="s">
        <v>288</v>
      </c>
      <c r="M552" s="8"/>
      <c r="N552" s="266"/>
    </row>
    <row r="553" spans="1:14" s="3" customFormat="1" ht="12.2" customHeight="1" thickTop="1" x14ac:dyDescent="0.15">
      <c r="A553" s="172" t="s">
        <v>340</v>
      </c>
      <c r="B553" s="44">
        <v>21</v>
      </c>
      <c r="C553" s="44">
        <v>25</v>
      </c>
      <c r="D553" s="39" t="s">
        <v>432</v>
      </c>
      <c r="E553" s="44"/>
      <c r="F553" s="89">
        <f t="shared" ref="F553:K553" si="44">SUM(F550:F552)</f>
        <v>1958996.87</v>
      </c>
      <c r="G553" s="89">
        <f t="shared" si="44"/>
        <v>1211074.0699999998</v>
      </c>
      <c r="H553" s="89">
        <f t="shared" si="44"/>
        <v>190905.4</v>
      </c>
      <c r="I553" s="89">
        <f t="shared" si="44"/>
        <v>0</v>
      </c>
      <c r="J553" s="89">
        <f t="shared" si="44"/>
        <v>117329</v>
      </c>
      <c r="K553" s="89">
        <f t="shared" si="44"/>
        <v>3478305.34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7">SUM(G568:G570)</f>
        <v>0</v>
      </c>
      <c r="H571" s="193">
        <f t="shared" si="47"/>
        <v>0</v>
      </c>
      <c r="I571" s="193">
        <f t="shared" si="47"/>
        <v>0</v>
      </c>
      <c r="J571" s="193">
        <f t="shared" si="47"/>
        <v>0</v>
      </c>
      <c r="K571" s="193">
        <f t="shared" si="47"/>
        <v>0</v>
      </c>
      <c r="L571" s="193">
        <f t="shared" si="47"/>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1833.04</v>
      </c>
      <c r="G580" s="18"/>
      <c r="H580" s="18"/>
      <c r="I580" s="87">
        <f t="shared" si="49"/>
        <v>1833.04</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f>83837.52</f>
        <v>83837.52</v>
      </c>
      <c r="H583" s="18">
        <f>10000+415553.96+33416.7+59761.12+1681.5-4388.54+33977.2</f>
        <v>550001.94000000006</v>
      </c>
      <c r="I583" s="87">
        <f t="shared" si="49"/>
        <v>633839.46000000008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23421.83</v>
      </c>
      <c r="I585" s="87">
        <f t="shared" si="49"/>
        <v>23421.83</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98385.84+33004+1935.84-0.5</f>
        <v>133325.18</v>
      </c>
      <c r="I592" s="18">
        <f>98385.84+32867-2120.04</f>
        <v>129132.8</v>
      </c>
      <c r="J592" s="18">
        <f>98385.84+34004+184.7</f>
        <v>132574.54</v>
      </c>
      <c r="K592" s="104">
        <f t="shared" ref="K592:K598" si="50">SUM(H592:J592)</f>
        <v>395032.52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39018.67</v>
      </c>
      <c r="I593" s="18">
        <f>29747.95+10379-1151-0.3</f>
        <v>38975.649999999994</v>
      </c>
      <c r="J593" s="18">
        <f>29747.96+10738-1151.28</f>
        <v>39334.68</v>
      </c>
      <c r="K593" s="104">
        <f t="shared" si="50"/>
        <v>117329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13994.63</v>
      </c>
      <c r="K594" s="104">
        <f t="shared" si="50"/>
        <v>13994.63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3016.7</v>
      </c>
      <c r="J595" s="18">
        <f>12066.81-3016.7</f>
        <v>9050.11</v>
      </c>
      <c r="K595" s="104">
        <f t="shared" si="50"/>
        <v>12066.810000000001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291.33</v>
      </c>
      <c r="I596" s="18">
        <f>593.45/2</f>
        <v>296.72500000000002</v>
      </c>
      <c r="J596" s="18">
        <f>593.45/2-0.005</f>
        <v>296.72000000000003</v>
      </c>
      <c r="K596" s="104">
        <f t="shared" si="50"/>
        <v>884.77500000000009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172635.17999999996</v>
      </c>
      <c r="I599" s="108">
        <f>SUM(I592:I598)</f>
        <v>171421.87500000003</v>
      </c>
      <c r="J599" s="108">
        <f>SUM(J592:J598)</f>
        <v>195250.68000000002</v>
      </c>
      <c r="K599" s="108">
        <f>SUM(K592:K598)</f>
        <v>539307.7350000001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110525.52</f>
        <v>110525.52</v>
      </c>
      <c r="I605" s="18">
        <f>109976.79</f>
        <v>109976.79</v>
      </c>
      <c r="J605" s="18">
        <f>133847.51</f>
        <v>133847.51</v>
      </c>
      <c r="K605" s="104">
        <f>SUM(H605:J605)</f>
        <v>354349.82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110525.52</v>
      </c>
      <c r="I606" s="108">
        <f>SUM(I603:I605)</f>
        <v>109976.79</v>
      </c>
      <c r="J606" s="108">
        <f>SUM(J603:J605)</f>
        <v>133847.51</v>
      </c>
      <c r="K606" s="108">
        <f>SUM(K603:K605)</f>
        <v>354349.82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2012</v>
      </c>
      <c r="G612" s="18"/>
      <c r="H612" s="18"/>
      <c r="I612" s="18"/>
      <c r="J612" s="18"/>
      <c r="K612" s="18"/>
      <c r="L612" s="88">
        <f>SUM(F612:K612)</f>
        <v>2012</v>
      </c>
      <c r="M612" s="8"/>
      <c r="N612" s="266"/>
    </row>
    <row r="613" spans="1:14" s="3" customFormat="1" ht="12.2" customHeight="1" x14ac:dyDescent="0.15">
      <c r="A613" s="22" t="s">
        <v>634</v>
      </c>
      <c r="B613" s="75">
        <v>23</v>
      </c>
      <c r="C613" s="75">
        <v>14</v>
      </c>
      <c r="D613" s="2" t="s">
        <v>432</v>
      </c>
      <c r="E613" s="75"/>
      <c r="F613" s="18">
        <f>30035/2</f>
        <v>15017.5</v>
      </c>
      <c r="G613" s="18"/>
      <c r="H613" s="18"/>
      <c r="I613" s="18"/>
      <c r="J613" s="18"/>
      <c r="K613" s="18"/>
      <c r="L613" s="88">
        <f>SUM(F613:K613)</f>
        <v>15017.5</v>
      </c>
      <c r="M613" s="8"/>
      <c r="N613" s="266"/>
    </row>
    <row r="614" spans="1:14" s="3" customFormat="1" ht="12.2" customHeight="1" thickBot="1" x14ac:dyDescent="0.2">
      <c r="A614" s="22" t="s">
        <v>645</v>
      </c>
      <c r="B614" s="75">
        <v>23</v>
      </c>
      <c r="C614" s="75">
        <v>15</v>
      </c>
      <c r="D614" s="2" t="s">
        <v>432</v>
      </c>
      <c r="E614" s="75"/>
      <c r="F614" s="18">
        <f>30035/2</f>
        <v>15017.5</v>
      </c>
      <c r="G614" s="18"/>
      <c r="H614" s="18"/>
      <c r="I614" s="18"/>
      <c r="J614" s="18"/>
      <c r="K614" s="18"/>
      <c r="L614" s="88">
        <f>SUM(F614:K614)</f>
        <v>15017.5</v>
      </c>
      <c r="M614" s="8"/>
      <c r="N614" s="266"/>
    </row>
    <row r="615" spans="1:14" s="3" customFormat="1" ht="12.2" customHeight="1" thickTop="1" x14ac:dyDescent="0.15">
      <c r="A615" s="98" t="s">
        <v>340</v>
      </c>
      <c r="B615" s="107">
        <v>23</v>
      </c>
      <c r="C615" s="107">
        <v>16</v>
      </c>
      <c r="D615" s="39" t="s">
        <v>432</v>
      </c>
      <c r="E615" s="107"/>
      <c r="F615" s="108">
        <f t="shared" ref="F615:L615" si="51">SUM(F612:F614)</f>
        <v>32047</v>
      </c>
      <c r="G615" s="108">
        <f t="shared" si="51"/>
        <v>0</v>
      </c>
      <c r="H615" s="108">
        <f t="shared" si="51"/>
        <v>0</v>
      </c>
      <c r="I615" s="108">
        <f t="shared" si="51"/>
        <v>0</v>
      </c>
      <c r="J615" s="108">
        <f t="shared" si="51"/>
        <v>0</v>
      </c>
      <c r="K615" s="108">
        <f t="shared" si="51"/>
        <v>0</v>
      </c>
      <c r="L615" s="89">
        <f t="shared" si="51"/>
        <v>32047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1129257.21</v>
      </c>
      <c r="H618" s="109">
        <f>SUM(F52)</f>
        <v>1129257.21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71647.89</v>
      </c>
      <c r="H619" s="109">
        <f>SUM(G52)</f>
        <v>71647.89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4245.4199999999983</v>
      </c>
      <c r="H620" s="109">
        <f>SUM(H52)</f>
        <v>4245.42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954456.42999999993</v>
      </c>
      <c r="H622" s="109">
        <f>SUM(J52)</f>
        <v>954456.42999999993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1035810.52</v>
      </c>
      <c r="H623" s="109">
        <f>F477</f>
        <v>1035810.5200000014</v>
      </c>
      <c r="I623" s="121" t="s">
        <v>101</v>
      </c>
      <c r="J623" s="109">
        <f t="shared" ref="J623:J656" si="52">G623-H623</f>
        <v>-1.3969838619232178E-9</v>
      </c>
      <c r="K623" s="109"/>
      <c r="L623" s="109"/>
      <c r="M623" s="8"/>
    </row>
    <row r="624" spans="1:14" s="3" customFormat="1" ht="12.2" customHeight="1" x14ac:dyDescent="0.15">
      <c r="A624" s="97"/>
      <c r="B624" s="105"/>
      <c r="C624" s="119"/>
      <c r="D624" s="119"/>
      <c r="E624" s="119"/>
      <c r="F624" s="119" t="s">
        <v>866</v>
      </c>
      <c r="G624" s="109">
        <f>G51</f>
        <v>71607.14</v>
      </c>
      <c r="H624" s="109">
        <f>G477</f>
        <v>71607.138610961236</v>
      </c>
      <c r="I624" s="121" t="s">
        <v>102</v>
      </c>
      <c r="J624" s="109">
        <f t="shared" si="52"/>
        <v>1.3890387635910884E-3</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2"/>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954456.42999999993</v>
      </c>
      <c r="H627" s="109">
        <f>J477</f>
        <v>954456.43000000017</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12290984.720000001</v>
      </c>
      <c r="H628" s="104">
        <f>SUM(F469)</f>
        <v>12290984.720000001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148355.57</v>
      </c>
      <c r="H629" s="104">
        <f>SUM(G469)</f>
        <v>148355.57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357090.24</v>
      </c>
      <c r="H630" s="104">
        <f>SUM(H469)</f>
        <v>357090.24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125000</v>
      </c>
      <c r="H632" s="104">
        <f>SUM(J469)</f>
        <v>125000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12358867.129999999</v>
      </c>
      <c r="H633" s="104">
        <f>SUM(F473)</f>
        <v>12358867.129999999</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357090.24</v>
      </c>
      <c r="H634" s="104">
        <f>SUM(H473)</f>
        <v>357090.24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10992.03223413</v>
      </c>
      <c r="H635" s="104">
        <f>I370</f>
        <v>10992.03</v>
      </c>
      <c r="I635" s="143" t="s">
        <v>248</v>
      </c>
      <c r="J635" s="109">
        <f>G635-H635</f>
        <v>2.2341299991239794E-3</v>
      </c>
      <c r="K635" s="85"/>
      <c r="L635" s="88"/>
      <c r="M635" s="168"/>
    </row>
    <row r="636" spans="1:13" s="169" customFormat="1" ht="12.2" customHeight="1" x14ac:dyDescent="0.15">
      <c r="A636" s="22"/>
      <c r="B636" s="105"/>
      <c r="C636" s="105"/>
      <c r="D636" s="105"/>
      <c r="E636" s="105"/>
      <c r="F636" s="120" t="s">
        <v>113</v>
      </c>
      <c r="G636" s="109">
        <f>SUM(L363)</f>
        <v>91371.501389038778</v>
      </c>
      <c r="H636" s="104">
        <f>SUM(G473)</f>
        <v>91371.501389038778</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125000</v>
      </c>
      <c r="H638" s="164">
        <f>SUM(J469)</f>
        <v>125000</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333710.67</v>
      </c>
      <c r="H639" s="164">
        <f>SUM(J473)</f>
        <v>333710.67</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448168.79</v>
      </c>
      <c r="H640" s="104">
        <f>SUM(F462)</f>
        <v>448168.79</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506287.64</v>
      </c>
      <c r="H641" s="104">
        <f>SUM(G462)</f>
        <v>506287.64</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954456.42999999993</v>
      </c>
      <c r="H643" s="104">
        <f>SUM(I462)</f>
        <v>954456.42999999993</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125000</v>
      </c>
      <c r="H646" s="104">
        <f>G409</f>
        <v>125000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125000</v>
      </c>
      <c r="H647" s="104">
        <f>L409</f>
        <v>125000</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539307.7350000001</v>
      </c>
      <c r="H648" s="104">
        <f>L209+L227+L245</f>
        <v>539307.74</v>
      </c>
      <c r="I648" s="140" t="s">
        <v>396</v>
      </c>
      <c r="J648" s="109">
        <f t="shared" si="52"/>
        <v>-4.999999888241291E-3</v>
      </c>
      <c r="K648" s="85"/>
      <c r="L648" s="88"/>
      <c r="M648" s="8"/>
    </row>
    <row r="649" spans="1:13" s="3" customFormat="1" ht="12.2" customHeight="1" x14ac:dyDescent="0.15">
      <c r="A649" s="22"/>
      <c r="B649" s="105"/>
      <c r="C649" s="105"/>
      <c r="D649" s="105"/>
      <c r="E649" s="105"/>
      <c r="F649" s="120" t="s">
        <v>52</v>
      </c>
      <c r="G649" s="109">
        <f>K606</f>
        <v>354349.82</v>
      </c>
      <c r="H649" s="104">
        <f>(J258+J339)-(J256+J337)</f>
        <v>354349.82000000007</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172635.18</v>
      </c>
      <c r="H650" s="104">
        <f>H599</f>
        <v>172635.17999999996</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171421.87999999998</v>
      </c>
      <c r="H651" s="104">
        <f>I599</f>
        <v>171421.87500000003</v>
      </c>
      <c r="I651" s="140" t="s">
        <v>389</v>
      </c>
      <c r="J651" s="109">
        <f t="shared" si="52"/>
        <v>4.999999946448952E-3</v>
      </c>
      <c r="K651" s="85"/>
      <c r="L651" s="88"/>
      <c r="M651" s="8"/>
    </row>
    <row r="652" spans="1:13" s="3" customFormat="1" ht="12.2" customHeight="1" x14ac:dyDescent="0.15">
      <c r="A652" s="22"/>
      <c r="B652" s="105"/>
      <c r="C652" s="105"/>
      <c r="D652" s="105"/>
      <c r="E652" s="105"/>
      <c r="F652" s="120" t="s">
        <v>393</v>
      </c>
      <c r="G652" s="109">
        <f>L245</f>
        <v>195250.68000000002</v>
      </c>
      <c r="H652" s="104">
        <f>J599</f>
        <v>195250.68000000002</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G180+G182</f>
        <v>68690.86</v>
      </c>
      <c r="H653" s="104">
        <f>K264+K346</f>
        <v>68690.86</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t="str">
        <f>K265</f>
        <v>```````````````````````</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125000</v>
      </c>
      <c r="H656" s="104">
        <f>K267+K348</f>
        <v>125000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3.6231651902198792E-3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4254027.1186191002</v>
      </c>
      <c r="G661" s="19">
        <f>(L230+L310+L360)</f>
        <v>3500580.1023849691</v>
      </c>
      <c r="H661" s="19">
        <f>(L248+L329+L361)</f>
        <v>4859030.7903849706</v>
      </c>
      <c r="I661" s="19">
        <f>SUM(F661:H661)</f>
        <v>12613638.011389039</v>
      </c>
      <c r="J661" s="13"/>
      <c r="K661" s="13"/>
      <c r="L661" s="13"/>
      <c r="M661" s="9"/>
    </row>
    <row r="662" spans="1:13" s="3" customFormat="1" ht="12.2" customHeight="1" x14ac:dyDescent="0.2">
      <c r="A662" s="1" t="s">
        <v>127</v>
      </c>
      <c r="F662" s="19">
        <f>(L359/IF(SUM(L359:L361)=0,1,SUM(L359:L361))*(SUM(G97:G110)))</f>
        <v>11622.67281249531</v>
      </c>
      <c r="G662" s="19">
        <f>(L360/IF(SUM(L359:L361)=0,1,SUM(L359:L361))*(SUM(G97:G110)))</f>
        <v>8241.5385937523461</v>
      </c>
      <c r="H662" s="19">
        <f>(L361/IF(SUM(L359:L361)=0,1,SUM(L359:L361))*(SUM(G97:G110)))</f>
        <v>8241.5385937523461</v>
      </c>
      <c r="I662" s="19">
        <f>SUM(F662:H662)</f>
        <v>28105.75</v>
      </c>
      <c r="J662"/>
      <c r="K662" s="13"/>
      <c r="L662" s="13"/>
      <c r="M662" s="8"/>
    </row>
    <row r="663" spans="1:13" s="3" customFormat="1" ht="12.2" customHeight="1" x14ac:dyDescent="0.2">
      <c r="A663" s="1" t="s">
        <v>128</v>
      </c>
      <c r="F663" s="19">
        <f>(L209+L288)-(J209+J288)</f>
        <v>141594.12</v>
      </c>
      <c r="G663" s="19">
        <f>(L227+L307)-(J227+J307)</f>
        <v>140380.81999999998</v>
      </c>
      <c r="H663" s="19">
        <f>(L245+L326)-(J245+J326)</f>
        <v>164209.61000000002</v>
      </c>
      <c r="I663" s="19">
        <f>SUM(F663:H663)</f>
        <v>446184.54999999993</v>
      </c>
      <c r="J663"/>
      <c r="K663" s="13"/>
      <c r="L663" s="13"/>
      <c r="M663" s="9"/>
    </row>
    <row r="664" spans="1:13" s="3" customFormat="1" ht="12.2" customHeight="1" x14ac:dyDescent="0.15">
      <c r="A664" s="198" t="s">
        <v>129</v>
      </c>
      <c r="B664" s="169"/>
      <c r="C664" s="169"/>
      <c r="D664" s="169"/>
      <c r="E664" s="169"/>
      <c r="F664" s="199">
        <f>SUM(F576:F588)+SUM(H603:H605)+SUM(L612)</f>
        <v>114370.56</v>
      </c>
      <c r="G664" s="199">
        <f>SUM(G576:G588)+SUM(I603:I605)+L613</f>
        <v>208831.81</v>
      </c>
      <c r="H664" s="199">
        <f>SUM(H576:H588)+SUM(J603:J605)+L614</f>
        <v>722288.78</v>
      </c>
      <c r="I664" s="19">
        <f>SUM(F664:H664)</f>
        <v>1045491.15</v>
      </c>
      <c r="J664" s="13"/>
      <c r="K664" s="13"/>
      <c r="L664" s="13"/>
      <c r="M664" s="9"/>
    </row>
    <row r="665" spans="1:13" s="3" customFormat="1" ht="12.2" customHeight="1" x14ac:dyDescent="0.15">
      <c r="A665" s="1" t="s">
        <v>130</v>
      </c>
      <c r="F665" s="19">
        <f>F661-SUM(F662:F664)</f>
        <v>3986439.7658066051</v>
      </c>
      <c r="G665" s="19">
        <f>G661-SUM(G662:G664)</f>
        <v>3143125.9337912169</v>
      </c>
      <c r="H665" s="19">
        <f>H661-SUM(H662:H664)</f>
        <v>3964290.8617912182</v>
      </c>
      <c r="I665" s="19">
        <f>I661-SUM(I662:I664)</f>
        <v>11093856.56138904</v>
      </c>
      <c r="J665" s="13"/>
      <c r="K665" s="13"/>
      <c r="L665" s="13"/>
      <c r="M665" s="8"/>
    </row>
    <row r="666" spans="1:13" s="3" customFormat="1" ht="12.2" customHeight="1" x14ac:dyDescent="0.2">
      <c r="A666" s="1" t="s">
        <v>131</v>
      </c>
      <c r="F666" s="246">
        <v>153.37</v>
      </c>
      <c r="G666" s="247">
        <v>95.17</v>
      </c>
      <c r="H666" s="247">
        <v>136.80000000000001</v>
      </c>
      <c r="I666" s="19">
        <f>SUM(F666:H666)</f>
        <v>385.34000000000003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25992.3</v>
      </c>
      <c r="G668" s="19">
        <f>ROUND(G665/G666,2)</f>
        <v>33026.44</v>
      </c>
      <c r="H668" s="19">
        <f>ROUND(H665/H666,2)</f>
        <v>28978.73</v>
      </c>
      <c r="I668" s="19">
        <f>ROUND(I665/I666,2)</f>
        <v>28789.79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-2.17</v>
      </c>
      <c r="I671" s="19">
        <f>SUM(F671:H671)</f>
        <v>-2.17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25992.3</v>
      </c>
      <c r="G673" s="19">
        <f>ROUND((G665+G670)/(G666+G671),2)</f>
        <v>33026.44</v>
      </c>
      <c r="H673" s="19">
        <f>ROUND((H665+H670)/(H666+H671),2)</f>
        <v>29445.82</v>
      </c>
      <c r="I673" s="19">
        <f>ROUND((I665+I670)/(I666+I671),2)</f>
        <v>28952.83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19" sqref="E19"/>
    </sheetView>
  </sheetViews>
  <sheetFormatPr defaultColWidth="9.1640625" defaultRowHeight="15" x14ac:dyDescent="0.25"/>
  <cols>
    <col min="1" max="2" width="9.1640625" style="342"/>
    <col min="3" max="3" width="154.5" style="342" customWidth="1"/>
    <col min="4" max="4" width="9.1640625" style="342"/>
    <col min="5" max="5" width="14.1640625" style="342" customWidth="1"/>
    <col min="6" max="7" width="9.1640625" style="342"/>
    <col min="8" max="8" width="23.1640625" style="342" customWidth="1"/>
    <col min="9" max="9" width="14.1640625" style="342" customWidth="1"/>
    <col min="10" max="16384" width="9.16406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34264.410000000003</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76600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76600</v>
      </c>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v>34264.410000000003</v>
      </c>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Sunapee</v>
      </c>
      <c r="C5" s="364"/>
      <c r="D5" s="364"/>
      <c r="E5" s="364"/>
      <c r="F5" s="364"/>
    </row>
    <row r="8" spans="1:9" ht="18" x14ac:dyDescent="0.25">
      <c r="A8" s="319" t="s">
        <v>1576</v>
      </c>
      <c r="F8" s="326" t="s">
        <v>1594</v>
      </c>
    </row>
    <row r="9" spans="1:9" ht="15" x14ac:dyDescent="0.2">
      <c r="A9" s="317" t="s">
        <v>1577</v>
      </c>
      <c r="B9" s="320">
        <f>'DOE25'!G97</f>
        <v>27180.38</v>
      </c>
      <c r="F9" s="317" t="s">
        <v>1590</v>
      </c>
    </row>
    <row r="10" spans="1:9" ht="15" x14ac:dyDescent="0.2">
      <c r="A10" s="317" t="s">
        <v>1578</v>
      </c>
      <c r="B10" s="320">
        <f>'DOE25'!G112-'DOE25'!G97</f>
        <v>925.36999999999898</v>
      </c>
      <c r="F10" s="317" t="s">
        <v>1591</v>
      </c>
    </row>
    <row r="11" spans="1:9" ht="15" x14ac:dyDescent="0.2">
      <c r="A11" s="317" t="s">
        <v>1579</v>
      </c>
      <c r="B11" s="320">
        <f>'DOE25'!G140</f>
        <v>1957.71</v>
      </c>
      <c r="F11" s="317" t="s">
        <v>1592</v>
      </c>
    </row>
    <row r="12" spans="1:9" ht="15" x14ac:dyDescent="0.2">
      <c r="A12" s="317" t="s">
        <v>1580</v>
      </c>
      <c r="B12" s="320">
        <f>'DOE25'!G170</f>
        <v>49601.25</v>
      </c>
      <c r="F12" s="317" t="s">
        <v>1593</v>
      </c>
    </row>
    <row r="13" spans="1:9" ht="15" x14ac:dyDescent="0.2">
      <c r="A13" s="317" t="s">
        <v>1581</v>
      </c>
      <c r="B13" s="320">
        <f>'DOE25'!G193-'DOE25'!G180</f>
        <v>0</v>
      </c>
      <c r="F13" s="317" t="s">
        <v>1603</v>
      </c>
    </row>
    <row r="14" spans="1:9" ht="18" x14ac:dyDescent="0.25">
      <c r="A14" s="319" t="s">
        <v>732</v>
      </c>
      <c r="B14" s="321">
        <f>SUM(B9:B13)</f>
        <v>79664.709999999992</v>
      </c>
    </row>
    <row r="16" spans="1:9" ht="18" x14ac:dyDescent="0.25">
      <c r="A16" s="319" t="s">
        <v>786</v>
      </c>
      <c r="F16" s="326" t="s">
        <v>1595</v>
      </c>
    </row>
    <row r="17" spans="1:6" ht="15" x14ac:dyDescent="0.2">
      <c r="A17" s="317" t="s">
        <v>1582</v>
      </c>
      <c r="B17" s="320">
        <f>'DOE25'!L363-'DOE25'!L362</f>
        <v>91371.501389038778</v>
      </c>
      <c r="F17" s="317" t="s">
        <v>1596</v>
      </c>
    </row>
    <row r="18" spans="1:6" ht="15" x14ac:dyDescent="0.2">
      <c r="A18" s="317" t="s">
        <v>1583</v>
      </c>
      <c r="B18" s="330"/>
      <c r="F18" s="326" t="s">
        <v>1620</v>
      </c>
    </row>
    <row r="19" spans="1:6" ht="18" x14ac:dyDescent="0.25">
      <c r="A19" s="319" t="s">
        <v>725</v>
      </c>
      <c r="B19" s="321">
        <f>SUM(B17:B18)</f>
        <v>91371.501389038778</v>
      </c>
    </row>
    <row r="21" spans="1:6" ht="18.75" thickBot="1" x14ac:dyDescent="0.3">
      <c r="A21" s="319" t="s">
        <v>1584</v>
      </c>
    </row>
    <row r="22" spans="1:6" ht="18.75" thickTop="1" x14ac:dyDescent="0.25">
      <c r="A22" s="319" t="s">
        <v>1585</v>
      </c>
      <c r="B22" s="325">
        <f>B14-B19</f>
        <v>-11706.791389038786</v>
      </c>
      <c r="F22" s="317" t="s">
        <v>1597</v>
      </c>
    </row>
    <row r="26" spans="1:6" ht="18" x14ac:dyDescent="0.25">
      <c r="A26" s="319" t="s">
        <v>186</v>
      </c>
    </row>
    <row r="27" spans="1:6" ht="15" x14ac:dyDescent="0.2">
      <c r="A27" s="317" t="s">
        <v>1586</v>
      </c>
      <c r="B27" s="320">
        <f>'DOE25'!G180</f>
        <v>68690.86</v>
      </c>
      <c r="F27" s="317" t="s">
        <v>1598</v>
      </c>
    </row>
    <row r="28" spans="1:6" ht="15" x14ac:dyDescent="0.2">
      <c r="A28" s="317" t="s">
        <v>1588</v>
      </c>
      <c r="B28" s="320">
        <f>'DOE25'!L362</f>
        <v>0</v>
      </c>
      <c r="F28" s="317" t="s">
        <v>1599</v>
      </c>
    </row>
    <row r="31" spans="1:6" ht="15" x14ac:dyDescent="0.2">
      <c r="A31" s="317" t="s">
        <v>1628</v>
      </c>
      <c r="B31" s="320">
        <f>'DOE25'!G466</f>
        <v>13389</v>
      </c>
      <c r="F31" s="317" t="s">
        <v>1600</v>
      </c>
    </row>
    <row r="33" spans="1:6" ht="15" x14ac:dyDescent="0.2">
      <c r="A33" s="317" t="s">
        <v>1629</v>
      </c>
      <c r="B33" s="320">
        <f>'DOE25'!G477</f>
        <v>71607.138610961236</v>
      </c>
      <c r="F33" s="317" t="s">
        <v>1601</v>
      </c>
    </row>
    <row r="36" spans="1:6" ht="15" x14ac:dyDescent="0.2">
      <c r="A36" s="317" t="s">
        <v>1587</v>
      </c>
      <c r="B36" s="331">
        <v>5685.62</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40" sqref="B40"/>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Sunapee</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3103782.33</v>
      </c>
      <c r="C9" s="229">
        <f>'DOE25'!G198+'DOE25'!G216+'DOE25'!G234+'DOE25'!G277+'DOE25'!G296+'DOE25'!G315</f>
        <v>1533344</v>
      </c>
    </row>
    <row r="10" spans="1:3" x14ac:dyDescent="0.2">
      <c r="A10" t="s">
        <v>775</v>
      </c>
      <c r="B10" s="240">
        <f>42732+1185281.59+1718833+55877+3733+3733-2370.23</f>
        <v>3007819.36</v>
      </c>
      <c r="C10" s="240">
        <v>1472010.24</v>
      </c>
    </row>
    <row r="11" spans="1:3" x14ac:dyDescent="0.2">
      <c r="A11" t="s">
        <v>776</v>
      </c>
      <c r="B11" s="240">
        <f>34789.11+61173.86</f>
        <v>95962.97</v>
      </c>
      <c r="C11" s="240">
        <f>61333.76</f>
        <v>61333.760000000002</v>
      </c>
    </row>
    <row r="12" spans="1:3" x14ac:dyDescent="0.2">
      <c r="A12" t="s">
        <v>777</v>
      </c>
      <c r="B12" s="240"/>
      <c r="C12" s="240"/>
    </row>
    <row r="13" spans="1:3" x14ac:dyDescent="0.2">
      <c r="A13" t="str">
        <f>IF(B9=B13,IF(C9=C13,"Check Total OK","Check Total Error"),"Check Total Error")</f>
        <v>Check Total OK</v>
      </c>
      <c r="B13" s="231">
        <f>SUM(B10:B12)</f>
        <v>3103782.33</v>
      </c>
      <c r="C13" s="231">
        <f>SUM(C10:C12)</f>
        <v>1533344</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969857.1100000001</v>
      </c>
      <c r="C18" s="229">
        <f>'DOE25'!G199+'DOE25'!G217+'DOE25'!G235+'DOE25'!G278+'DOE25'!G297+'DOE25'!G316</f>
        <v>422533</v>
      </c>
    </row>
    <row r="19" spans="1:3" x14ac:dyDescent="0.2">
      <c r="A19" t="s">
        <v>775</v>
      </c>
      <c r="B19" s="240">
        <f>214960.36+262082.84+(38996.02*3)</f>
        <v>594031.26</v>
      </c>
      <c r="C19" s="240">
        <f>261970.46</f>
        <v>261970.46</v>
      </c>
    </row>
    <row r="20" spans="1:3" x14ac:dyDescent="0.2">
      <c r="A20" t="s">
        <v>776</v>
      </c>
      <c r="B20" s="240">
        <f>141619.45+100706</f>
        <v>242325.45</v>
      </c>
      <c r="C20" s="240">
        <f>103520.59</f>
        <v>103520.59</v>
      </c>
    </row>
    <row r="21" spans="1:3" x14ac:dyDescent="0.2">
      <c r="A21" t="s">
        <v>777</v>
      </c>
      <c r="B21" s="240">
        <f>102665+30835.4</f>
        <v>133500.4</v>
      </c>
      <c r="C21" s="240">
        <f>57041.95</f>
        <v>57041.95</v>
      </c>
    </row>
    <row r="22" spans="1:3" x14ac:dyDescent="0.2">
      <c r="A22" t="str">
        <f>IF(B18=B22,IF(C18=C22,"Check Total OK","Check Total Error"),"Check Total Error")</f>
        <v>Check Total OK</v>
      </c>
      <c r="B22" s="231">
        <f>SUM(B19:B21)</f>
        <v>969857.11</v>
      </c>
      <c r="C22" s="231">
        <f>SUM(C19:C21)</f>
        <v>422533</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147712.12</v>
      </c>
      <c r="C36" s="235">
        <f>'DOE25'!G201+'DOE25'!G219+'DOE25'!G237+'DOE25'!G280+'DOE25'!G299+'DOE25'!G318</f>
        <v>73181</v>
      </c>
    </row>
    <row r="37" spans="1:3" x14ac:dyDescent="0.2">
      <c r="A37" t="s">
        <v>775</v>
      </c>
      <c r="B37" s="240">
        <f>69506.72</f>
        <v>69506.720000000001</v>
      </c>
      <c r="C37" s="240">
        <f>34395+680</f>
        <v>35075</v>
      </c>
    </row>
    <row r="38" spans="1:3" x14ac:dyDescent="0.2">
      <c r="A38" t="s">
        <v>776</v>
      </c>
      <c r="B38" s="240"/>
      <c r="C38" s="240"/>
    </row>
    <row r="39" spans="1:3" x14ac:dyDescent="0.2">
      <c r="A39" t="s">
        <v>777</v>
      </c>
      <c r="B39" s="240">
        <f>75631.02+2574.38</f>
        <v>78205.400000000009</v>
      </c>
      <c r="C39" s="240">
        <f>37468.67+637.33</f>
        <v>38106</v>
      </c>
    </row>
    <row r="40" spans="1:3" x14ac:dyDescent="0.2">
      <c r="A40" t="str">
        <f>IF(B36=B40,IF(C36=C40,"Check Total OK","Check Total Error"),"Check Total Error")</f>
        <v>Check Total OK</v>
      </c>
      <c r="B40" s="231">
        <f>SUM(B37:B39)</f>
        <v>147712.12</v>
      </c>
      <c r="C40" s="231">
        <f>SUM(C37:C39)</f>
        <v>73181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2" sqref="F12"/>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67" t="s">
        <v>892</v>
      </c>
      <c r="B1" s="370"/>
      <c r="C1" s="370"/>
      <c r="D1" s="370"/>
      <c r="E1" s="370"/>
      <c r="F1" s="370"/>
      <c r="G1" s="370"/>
      <c r="H1" s="370"/>
      <c r="I1" s="181"/>
    </row>
    <row r="2" spans="1:9" x14ac:dyDescent="0.2">
      <c r="A2" s="33" t="s">
        <v>713</v>
      </c>
      <c r="B2" s="260" t="str">
        <f>'DOE25'!A2</f>
        <v>Sunapee</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6950168.0999999996</v>
      </c>
      <c r="D5" s="20">
        <f>SUM('DOE25'!L198:L201)+SUM('DOE25'!L216:L219)+SUM('DOE25'!L234:L237)-F5-G5-H5</f>
        <v>6922038.8599999994</v>
      </c>
      <c r="E5" s="243"/>
      <c r="F5" s="244"/>
      <c r="G5" s="53">
        <f>SUM('DOE25'!J198:J201)+SUM('DOE25'!J216:J219)+SUM('DOE25'!J234:J237)</f>
        <v>20278.239999999998</v>
      </c>
      <c r="H5" s="53">
        <f>SUM('DOE25'!K198:K201)+SUM('DOE25'!K216:K219)+SUM('DOE25'!K234:K237)</f>
        <v>7851</v>
      </c>
      <c r="I5" s="256"/>
    </row>
    <row r="6" spans="1:9" x14ac:dyDescent="0.2">
      <c r="A6" s="32">
        <v>2100</v>
      </c>
      <c r="B6" t="s">
        <v>796</v>
      </c>
      <c r="C6" s="275">
        <f t="shared" si="0"/>
        <v>1211074.0699999998</v>
      </c>
      <c r="D6" s="20">
        <f>'DOE25'!L203+'DOE25'!L221+'DOE25'!L239-F6-G6-H6</f>
        <v>1211074.0699999998</v>
      </c>
      <c r="E6" s="243"/>
      <c r="F6" s="244"/>
      <c r="G6" s="53">
        <f>'DOE25'!J203+'DOE25'!J221+'DOE25'!J239</f>
        <v>0</v>
      </c>
      <c r="H6" s="53">
        <f>'DOE25'!K203+'DOE25'!K221+'DOE25'!K239</f>
        <v>0</v>
      </c>
      <c r="I6" s="256"/>
    </row>
    <row r="7" spans="1:9" x14ac:dyDescent="0.2">
      <c r="A7" s="32">
        <v>2200</v>
      </c>
      <c r="B7" t="s">
        <v>821</v>
      </c>
      <c r="C7" s="275">
        <f t="shared" si="0"/>
        <v>979154.62</v>
      </c>
      <c r="D7" s="20">
        <f>'DOE25'!L204+'DOE25'!L222+'DOE25'!L240-F7-G7-H7</f>
        <v>826194.63</v>
      </c>
      <c r="E7" s="243"/>
      <c r="F7" s="244"/>
      <c r="G7" s="53">
        <f>'DOE25'!J204+'DOE25'!J222+'DOE25'!J240</f>
        <v>152959.99</v>
      </c>
      <c r="H7" s="53">
        <f>'DOE25'!K204+'DOE25'!K222+'DOE25'!K240</f>
        <v>0</v>
      </c>
      <c r="I7" s="256"/>
    </row>
    <row r="8" spans="1:9" x14ac:dyDescent="0.2">
      <c r="A8" s="32">
        <v>2300</v>
      </c>
      <c r="B8" t="s">
        <v>797</v>
      </c>
      <c r="C8" s="275">
        <f t="shared" si="0"/>
        <v>341377.64</v>
      </c>
      <c r="D8" s="243"/>
      <c r="E8" s="20">
        <f>'DOE25'!L205+'DOE25'!L223+'DOE25'!L241-F8-G8-H8-D9-D11</f>
        <v>324707.92000000004</v>
      </c>
      <c r="F8" s="244"/>
      <c r="G8" s="53">
        <f>'DOE25'!J205+'DOE25'!J223+'DOE25'!J241</f>
        <v>0</v>
      </c>
      <c r="H8" s="53">
        <f>'DOE25'!K205+'DOE25'!K223+'DOE25'!K241</f>
        <v>16669.72</v>
      </c>
      <c r="I8" s="256"/>
    </row>
    <row r="9" spans="1:9" ht="14.25" x14ac:dyDescent="0.2">
      <c r="A9" s="32">
        <v>2310</v>
      </c>
      <c r="B9" s="185" t="s">
        <v>888</v>
      </c>
      <c r="C9" s="275">
        <f t="shared" si="0"/>
        <v>58628.24</v>
      </c>
      <c r="D9" s="244">
        <v>58628.24</v>
      </c>
      <c r="E9" s="243"/>
      <c r="F9" s="253"/>
      <c r="G9" s="253"/>
      <c r="H9" s="253"/>
      <c r="I9" s="256"/>
    </row>
    <row r="10" spans="1:9" ht="14.25" x14ac:dyDescent="0.2">
      <c r="A10" s="32">
        <v>2317</v>
      </c>
      <c r="B10" s="185" t="s">
        <v>889</v>
      </c>
      <c r="C10" s="275">
        <f t="shared" si="0"/>
        <v>8500</v>
      </c>
      <c r="D10" s="243"/>
      <c r="E10" s="244">
        <v>8500</v>
      </c>
      <c r="F10" s="253"/>
      <c r="G10" s="253"/>
      <c r="H10" s="253"/>
      <c r="I10" s="256"/>
    </row>
    <row r="11" spans="1:9" ht="14.25" x14ac:dyDescent="0.2">
      <c r="A11" s="32">
        <v>2321</v>
      </c>
      <c r="B11" s="185" t="s">
        <v>890</v>
      </c>
      <c r="C11" s="275">
        <f t="shared" si="0"/>
        <v>194760</v>
      </c>
      <c r="D11" s="244">
        <v>194760</v>
      </c>
      <c r="E11" s="243"/>
      <c r="F11" s="253"/>
      <c r="G11" s="253"/>
      <c r="H11" s="253"/>
      <c r="I11" s="256"/>
    </row>
    <row r="12" spans="1:9" x14ac:dyDescent="0.2">
      <c r="A12" s="32">
        <v>2400</v>
      </c>
      <c r="B12" t="s">
        <v>711</v>
      </c>
      <c r="C12" s="275">
        <f t="shared" si="0"/>
        <v>580556.79999999993</v>
      </c>
      <c r="D12" s="20">
        <f>'DOE25'!L206+'DOE25'!L224+'DOE25'!L242-F12-G12-H12</f>
        <v>573478.79999999993</v>
      </c>
      <c r="E12" s="243"/>
      <c r="F12" s="244"/>
      <c r="G12" s="53">
        <f>'DOE25'!J206+'DOE25'!J224+'DOE25'!J242</f>
        <v>0</v>
      </c>
      <c r="H12" s="53">
        <f>'DOE25'!K206+'DOE25'!K224+'DOE25'!K242</f>
        <v>7078</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1310149.06</v>
      </c>
      <c r="D14" s="20">
        <f>'DOE25'!L208+'DOE25'!L226+'DOE25'!L244-F14-G14-H14</f>
        <v>1290059.06</v>
      </c>
      <c r="E14" s="243"/>
      <c r="F14" s="244"/>
      <c r="G14" s="53">
        <f>'DOE25'!J208+'DOE25'!J226+'DOE25'!J244</f>
        <v>20090</v>
      </c>
      <c r="H14" s="53">
        <f>'DOE25'!K208+'DOE25'!K226+'DOE25'!K244</f>
        <v>0</v>
      </c>
      <c r="I14" s="256"/>
    </row>
    <row r="15" spans="1:9" x14ac:dyDescent="0.2">
      <c r="A15" s="32">
        <v>2700</v>
      </c>
      <c r="B15" t="s">
        <v>799</v>
      </c>
      <c r="C15" s="275">
        <f t="shared" si="0"/>
        <v>539307.74</v>
      </c>
      <c r="D15" s="20">
        <f>'DOE25'!L209+'DOE25'!L227+'DOE25'!L245-F15-G15-H15</f>
        <v>445238.55</v>
      </c>
      <c r="E15" s="243"/>
      <c r="F15" s="244"/>
      <c r="G15" s="53">
        <f>'DOE25'!J209+'DOE25'!J227+'DOE25'!J245</f>
        <v>93123.19</v>
      </c>
      <c r="H15" s="53">
        <f>'DOE25'!K209+'DOE25'!K227+'DOE25'!K245</f>
        <v>946</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91371.501389038778</v>
      </c>
      <c r="D29" s="283">
        <f>'DOE25'!L359+'DOE25'!L360+'DOE25'!L361-'DOE25'!I368-F29-G29-H29</f>
        <v>91371.501389038778</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357090.23999999993</v>
      </c>
      <c r="D31" s="20">
        <f>'DOE25'!L291+'DOE25'!L310+'DOE25'!L329+'DOE25'!L334+'DOE25'!L335+'DOE25'!L336-F31-G31-H31</f>
        <v>287295.12999999995</v>
      </c>
      <c r="E31" s="243"/>
      <c r="F31" s="244"/>
      <c r="G31" s="53">
        <f>'DOE25'!J291+'DOE25'!J310+'DOE25'!J329+'DOE25'!J334+'DOE25'!J335+'DOE25'!J336</f>
        <v>67898.399999999994</v>
      </c>
      <c r="H31" s="53">
        <f>'DOE25'!K291+'DOE25'!K310+'DOE25'!K329+'DOE25'!K334+'DOE25'!K335+'DOE25'!K336</f>
        <v>1896.71</v>
      </c>
      <c r="I31" s="256"/>
    </row>
    <row r="32" spans="1:9" ht="12" thickBot="1" x14ac:dyDescent="0.25">
      <c r="C32" s="276"/>
      <c r="G32" s="251"/>
      <c r="H32" s="251"/>
      <c r="I32" s="258"/>
    </row>
    <row r="33" spans="1:9" ht="12" thickTop="1" x14ac:dyDescent="0.2">
      <c r="B33" t="s">
        <v>809</v>
      </c>
      <c r="D33" s="245">
        <f t="shared" ref="D33:I33" si="1">SUM(D5:D31)</f>
        <v>11900138.841389043</v>
      </c>
      <c r="E33" s="245">
        <f t="shared" si="1"/>
        <v>333207.92000000004</v>
      </c>
      <c r="F33" s="245">
        <f t="shared" si="1"/>
        <v>0</v>
      </c>
      <c r="G33" s="245">
        <f t="shared" si="1"/>
        <v>354349.81999999995</v>
      </c>
      <c r="H33" s="245">
        <f t="shared" si="1"/>
        <v>34441.43</v>
      </c>
      <c r="I33" s="245">
        <f t="shared" si="1"/>
        <v>0</v>
      </c>
    </row>
    <row r="35" spans="1:9" ht="12" thickBot="1" x14ac:dyDescent="0.25">
      <c r="B35" s="251" t="s">
        <v>831</v>
      </c>
      <c r="D35" s="252">
        <f>E33</f>
        <v>333207.92000000004</v>
      </c>
      <c r="E35" s="248"/>
      <c r="F35" s="335" t="s">
        <v>1632</v>
      </c>
      <c r="G35" s="336"/>
      <c r="H35" s="336"/>
      <c r="I35" s="336"/>
    </row>
    <row r="36" spans="1:9" ht="12" thickTop="1" x14ac:dyDescent="0.2">
      <c r="B36" t="s">
        <v>810</v>
      </c>
      <c r="D36" s="20">
        <f>D33</f>
        <v>11900138.841389043</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42" sqref="A42"/>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Sunapee</v>
      </c>
      <c r="B2" s="126">
        <f>'DOE25'!B2</f>
        <v>515</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4216241.9300000006</v>
      </c>
      <c r="G4" s="302">
        <f>'DOE25'!L212+'DOE25'!L291</f>
        <v>4216241.9300000006</v>
      </c>
      <c r="H4" s="355">
        <f>F4-G4</f>
        <v>0</v>
      </c>
      <c r="I4" s="372" t="str">
        <f>IF(H4=0,"","ISSUES!! Please review page 7 and 11 totals in comparison with total on this page")</f>
        <v/>
      </c>
      <c r="N4"/>
    </row>
    <row r="5" spans="1:18" x14ac:dyDescent="0.2">
      <c r="A5" s="21" t="s">
        <v>1441</v>
      </c>
      <c r="B5" s="303">
        <f>IFERROR(VLOOKUP(A5,'School Tables'!$C$3:$D$365,2,FALSE),"")</f>
        <v>22005</v>
      </c>
      <c r="C5" s="296" t="str">
        <f>IFERROR(INDEX('School Tables'!$B$3:$B$365,MATCH('School Level Expenditures'!B5,'School Tables'!$D$3:$D$365,0)),"")</f>
        <v>Sunapee</v>
      </c>
      <c r="D5" s="293">
        <f>'DOE25'!L212</f>
        <v>4062372.1700000004</v>
      </c>
      <c r="E5" s="293">
        <f>'DOE25'!L291</f>
        <v>153869.75999999998</v>
      </c>
      <c r="F5" s="306">
        <f>D5+E5</f>
        <v>4216241.9300000006</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4062372.1700000004</v>
      </c>
      <c r="E21" s="353">
        <f>SUM(E5:E20)</f>
        <v>153869.75999999998</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3473786.9459999995</v>
      </c>
      <c r="G24" s="302">
        <f>'DOE25'!L230+'DOE25'!L310</f>
        <v>3473786.9459999995</v>
      </c>
      <c r="H24" s="355">
        <f>F24-G24</f>
        <v>0</v>
      </c>
      <c r="I24" s="372" t="str">
        <f>IF(H24=0,"","ISSUES!! Please review page 8 and 12 totals in comparison with total on this page")</f>
        <v/>
      </c>
      <c r="N24"/>
    </row>
    <row r="25" spans="1:14" x14ac:dyDescent="0.2">
      <c r="A25" s="21" t="s">
        <v>1545</v>
      </c>
      <c r="B25" s="303">
        <f>IFERROR(VLOOKUP(A25,'School Tables'!$I$3:$J$80,2,FALSE),"")</f>
        <v>26965</v>
      </c>
      <c r="C25" s="296" t="str">
        <f t="array" ref="C25">IFERROR(INDEX('School Tables'!$H$3:$H$80,MATCH('School Level Expenditures'!B25,'School Tables'!$J$3:$J$80,0)),"")</f>
        <v>Sunapee</v>
      </c>
      <c r="D25" s="293">
        <f>'DOE25'!L230</f>
        <v>3372176.7059999993</v>
      </c>
      <c r="E25" s="293">
        <f>'DOE25'!L310</f>
        <v>101610.23999999999</v>
      </c>
      <c r="F25" s="306">
        <f>D25+E25</f>
        <v>3473786.9459999995</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3372176.7059999993</v>
      </c>
      <c r="E33" s="353">
        <f>SUM(E25:E32)</f>
        <v>101610.23999999999</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4832237.6340000005</v>
      </c>
      <c r="G36" s="302">
        <f>'DOE25'!L248+'DOE25'!L329</f>
        <v>4832237.6340000005</v>
      </c>
      <c r="H36" s="355">
        <f>F36-G36</f>
        <v>0</v>
      </c>
      <c r="I36" s="372" t="str">
        <f>IF(H36=0,"","ISSUES!! Please review page 9 and 13 totals in comparison with total on this page")</f>
        <v/>
      </c>
      <c r="N36"/>
    </row>
    <row r="37" spans="1:14" x14ac:dyDescent="0.2">
      <c r="A37" s="21" t="s">
        <v>1440</v>
      </c>
      <c r="B37" s="303">
        <f>IFERROR(VLOOKUP(A37,'School Tables'!$O$3:$P$118,2,FALSE),"")</f>
        <v>22000</v>
      </c>
      <c r="C37" s="296" t="str">
        <f t="array" ref="C37">IFERROR(INDEX('School Tables'!$N$3:$N$118,MATCH('School Level Expenditures'!B37,'School Tables'!$P$3:$P$118,0)),"")</f>
        <v>Sunapee</v>
      </c>
      <c r="D37" s="293">
        <f>'DOE25'!L248</f>
        <v>4730627.3940000003</v>
      </c>
      <c r="E37" s="293">
        <f>'DOE25'!L329</f>
        <v>101610.23999999999</v>
      </c>
      <c r="F37" s="306">
        <f t="shared" ref="F37:F42" si="2">D37+E37</f>
        <v>4832237.6340000005</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4730627.3940000003</v>
      </c>
      <c r="E43" s="354">
        <f>SUM(E37:E42)</f>
        <v>101610.23999999999</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137" sqref="C137"/>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Sunapee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1107482.24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864456.42999999993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8662.7800000000007</v>
      </c>
      <c r="D11" s="95">
        <f>'DOE25'!G12</f>
        <v>68690.86</v>
      </c>
      <c r="E11" s="95">
        <f>'DOE25'!H12</f>
        <v>-54176.03</v>
      </c>
      <c r="F11" s="95">
        <f>'DOE25'!I12</f>
        <v>0</v>
      </c>
      <c r="G11" s="95">
        <f>'DOE25'!J12</f>
        <v>90000</v>
      </c>
      <c r="H11" s="124"/>
      <c r="I11" s="124"/>
    </row>
    <row r="12" spans="1:9" x14ac:dyDescent="0.2">
      <c r="A12" s="1" t="s">
        <v>143</v>
      </c>
      <c r="B12" s="6">
        <v>140</v>
      </c>
      <c r="C12" s="95">
        <f>'DOE25'!F13</f>
        <v>0</v>
      </c>
      <c r="D12" s="95">
        <f>'DOE25'!G13</f>
        <v>2957.03</v>
      </c>
      <c r="E12" s="95">
        <f>'DOE25'!H13</f>
        <v>58421.45</v>
      </c>
      <c r="F12" s="95">
        <f>'DOE25'!I13</f>
        <v>0</v>
      </c>
      <c r="G12" s="95">
        <f>'DOE25'!J13</f>
        <v>0</v>
      </c>
      <c r="H12" s="124"/>
      <c r="I12" s="124"/>
    </row>
    <row r="13" spans="1:9" x14ac:dyDescent="0.2">
      <c r="A13" s="1" t="s">
        <v>144</v>
      </c>
      <c r="B13" s="6">
        <v>150</v>
      </c>
      <c r="C13" s="95">
        <f>'DOE25'!F14</f>
        <v>13112.19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1129257.21</v>
      </c>
      <c r="D18" s="41">
        <f>SUM(D8:D17)</f>
        <v>71647.89</v>
      </c>
      <c r="E18" s="41">
        <f>SUM(E8:E17)</f>
        <v>4245.4199999999983</v>
      </c>
      <c r="F18" s="41">
        <f>SUM(F8:F17)</f>
        <v>0</v>
      </c>
      <c r="G18" s="41">
        <f>SUM(G8:G17)</f>
        <v>954456.42999999993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90000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3446.69</v>
      </c>
      <c r="D23" s="95">
        <f>'DOE25'!G24</f>
        <v>40.75</v>
      </c>
      <c r="E23" s="95">
        <f>'DOE25'!H24</f>
        <v>4245.42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93446.69</v>
      </c>
      <c r="D31" s="41">
        <f>SUM(D21:D30)</f>
        <v>40.75</v>
      </c>
      <c r="E31" s="41">
        <f>SUM(E21:E30)</f>
        <v>4245.42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71607.14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325000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954456.42999999993</v>
      </c>
      <c r="H47" s="124"/>
      <c r="I47" s="124"/>
    </row>
    <row r="48" spans="1:9" x14ac:dyDescent="0.2">
      <c r="A48" s="1" t="s">
        <v>882</v>
      </c>
      <c r="B48" s="6">
        <v>753</v>
      </c>
      <c r="C48" s="95">
        <f>'DOE25'!F49</f>
        <v>95601.21</v>
      </c>
      <c r="D48" s="95">
        <f>'DOE25'!G49</f>
        <v>0</v>
      </c>
      <c r="E48" s="95">
        <f>'DOE25'!H49</f>
        <v>0</v>
      </c>
      <c r="F48" s="95">
        <f>'DOE25'!I49</f>
        <v>0</v>
      </c>
      <c r="G48" s="95">
        <f>'DOE25'!J49</f>
        <v>0</v>
      </c>
      <c r="H48" s="124"/>
      <c r="I48" s="124"/>
    </row>
    <row r="49" spans="1:9" ht="12" thickBot="1" x14ac:dyDescent="0.25">
      <c r="A49" s="29" t="s">
        <v>883</v>
      </c>
      <c r="B49" s="71">
        <v>770</v>
      </c>
      <c r="C49" s="95">
        <f>'DOE25'!F50</f>
        <v>575209.31000000006</v>
      </c>
      <c r="D49" s="24" t="s">
        <v>288</v>
      </c>
      <c r="E49" s="24" t="s">
        <v>288</v>
      </c>
      <c r="F49" s="24" t="s">
        <v>288</v>
      </c>
      <c r="G49" s="24" t="s">
        <v>288</v>
      </c>
      <c r="H49" s="124"/>
      <c r="I49" s="124"/>
    </row>
    <row r="50" spans="1:9" ht="12.75" thickTop="1" thickBot="1" x14ac:dyDescent="0.25">
      <c r="A50" s="38" t="s">
        <v>884</v>
      </c>
      <c r="B50" s="48"/>
      <c r="C50" s="41">
        <f>SUM(C34:C49)</f>
        <v>1035810.52</v>
      </c>
      <c r="D50" s="41">
        <f>SUM(D34:D49)</f>
        <v>71607.14</v>
      </c>
      <c r="E50" s="41">
        <f>SUM(E34:E49)</f>
        <v>0</v>
      </c>
      <c r="F50" s="41">
        <f>SUM(F34:F49)</f>
        <v>0</v>
      </c>
      <c r="G50" s="41">
        <f>SUM(G34:G49)</f>
        <v>954456.42999999993</v>
      </c>
      <c r="H50" s="124"/>
      <c r="I50" s="124"/>
    </row>
    <row r="51" spans="1:9" ht="12" thickTop="1" x14ac:dyDescent="0.2">
      <c r="A51" s="38" t="s">
        <v>885</v>
      </c>
      <c r="B51" s="2"/>
      <c r="C51" s="41">
        <f>C50+C31</f>
        <v>1129257.21</v>
      </c>
      <c r="D51" s="41">
        <f>D50+D31</f>
        <v>71647.89</v>
      </c>
      <c r="E51" s="41">
        <f>E50+E31</f>
        <v>4245.42</v>
      </c>
      <c r="F51" s="41">
        <f>F50+F31</f>
        <v>0</v>
      </c>
      <c r="G51" s="41">
        <f>G50+G31</f>
        <v>954456.42999999993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8856533</v>
      </c>
      <c r="D56" s="95">
        <f>'DOE25'!G60</f>
        <v>0</v>
      </c>
      <c r="E56" s="95">
        <f>'DOE25'!H60</f>
        <v>0</v>
      </c>
      <c r="F56" s="95">
        <f>'DOE25'!I60</f>
        <v>0</v>
      </c>
      <c r="G56" s="95">
        <f>'DOE25'!J60</f>
        <v>0</v>
      </c>
      <c r="H56"/>
      <c r="I56"/>
    </row>
    <row r="57" spans="1:9" x14ac:dyDescent="0.2">
      <c r="A57" s="1" t="s">
        <v>164</v>
      </c>
      <c r="B57" s="6" t="s">
        <v>165</v>
      </c>
      <c r="C57" s="95">
        <f>'DOE25'!F79</f>
        <v>298314.43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1920.3</v>
      </c>
      <c r="D59" s="95">
        <f>'DOE25'!G96</f>
        <v>0</v>
      </c>
      <c r="E59" s="95">
        <f>'DOE25'!H96</f>
        <v>0</v>
      </c>
      <c r="F59" s="95">
        <f>'DOE25'!I96</f>
        <v>0</v>
      </c>
      <c r="G59" s="95">
        <f>'DOE25'!J96</f>
        <v>0</v>
      </c>
      <c r="H59"/>
      <c r="I59"/>
    </row>
    <row r="60" spans="1:9" x14ac:dyDescent="0.2">
      <c r="A60" s="1" t="s">
        <v>170</v>
      </c>
      <c r="B60" s="118" t="s">
        <v>171</v>
      </c>
      <c r="C60" s="24" t="s">
        <v>288</v>
      </c>
      <c r="D60" s="95">
        <f>'DOE25'!G97</f>
        <v>27180.38</v>
      </c>
      <c r="E60" s="24" t="s">
        <v>288</v>
      </c>
      <c r="F60" s="24" t="s">
        <v>288</v>
      </c>
      <c r="G60" s="24" t="s">
        <v>288</v>
      </c>
      <c r="H60"/>
      <c r="I60"/>
    </row>
    <row r="61" spans="1:9" ht="12" thickBot="1" x14ac:dyDescent="0.25">
      <c r="A61" s="1" t="s">
        <v>172</v>
      </c>
      <c r="B61" s="118" t="s">
        <v>173</v>
      </c>
      <c r="C61" s="95">
        <f>SUM('DOE25'!F98:F110)</f>
        <v>3830</v>
      </c>
      <c r="D61" s="95">
        <f>SUM('DOE25'!G98:G110)</f>
        <v>925.37</v>
      </c>
      <c r="E61" s="95">
        <f>SUM('DOE25'!H98:H110)</f>
        <v>0</v>
      </c>
      <c r="F61" s="95">
        <f>SUM('DOE25'!I98:I110)</f>
        <v>0</v>
      </c>
      <c r="G61" s="95">
        <f>SUM('DOE25'!J98:J110)</f>
        <v>0</v>
      </c>
      <c r="H61"/>
      <c r="I61"/>
    </row>
    <row r="62" spans="1:9" ht="12.75" thickTop="1" thickBot="1" x14ac:dyDescent="0.25">
      <c r="A62" s="29" t="s">
        <v>174</v>
      </c>
      <c r="B62" s="6"/>
      <c r="C62" s="130">
        <f>SUM(C57:C61)</f>
        <v>304064.73</v>
      </c>
      <c r="D62" s="130">
        <f>SUM(D57:D61)</f>
        <v>28105.75</v>
      </c>
      <c r="E62" s="130">
        <f>SUM(E57:E61)</f>
        <v>0</v>
      </c>
      <c r="F62" s="130">
        <f>SUM(F57:F61)</f>
        <v>0</v>
      </c>
      <c r="G62" s="130">
        <f>SUM(G57:G61)</f>
        <v>0</v>
      </c>
      <c r="H62"/>
      <c r="I62"/>
    </row>
    <row r="63" spans="1:9" ht="12" thickTop="1" x14ac:dyDescent="0.2">
      <c r="A63" s="29" t="s">
        <v>175</v>
      </c>
      <c r="B63" s="6"/>
      <c r="C63" s="22">
        <f>C56+C62</f>
        <v>9160597.7300000004</v>
      </c>
      <c r="D63" s="22">
        <f>D56+D62</f>
        <v>28105.75</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2703824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2703824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320932.24</v>
      </c>
      <c r="D75" s="24" t="s">
        <v>288</v>
      </c>
      <c r="E75" s="24" t="s">
        <v>288</v>
      </c>
      <c r="F75" s="24" t="s">
        <v>288</v>
      </c>
      <c r="G75" s="24" t="s">
        <v>288</v>
      </c>
      <c r="H75"/>
      <c r="I75"/>
    </row>
    <row r="76" spans="1:9" x14ac:dyDescent="0.2">
      <c r="A76" s="1" t="s">
        <v>257</v>
      </c>
      <c r="B76" s="6" t="s">
        <v>179</v>
      </c>
      <c r="C76" s="95">
        <f>SUM('DOE25'!F127:F130)</f>
        <v>1251.81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1957.71</v>
      </c>
      <c r="E77" s="95">
        <f>SUM('DOE25'!H131:H135)</f>
        <v>0</v>
      </c>
      <c r="F77" s="95">
        <f>SUM('DOE25'!I131:I135)</f>
        <v>0</v>
      </c>
      <c r="G77" s="95">
        <f>SUM('DOE25'!J131:J135)</f>
        <v>0</v>
      </c>
      <c r="H77"/>
      <c r="I77"/>
    </row>
    <row r="78" spans="1:9" ht="12.75" thickTop="1" thickBot="1" x14ac:dyDescent="0.25">
      <c r="A78" s="29" t="s">
        <v>259</v>
      </c>
      <c r="B78" s="6"/>
      <c r="C78" s="130">
        <f>SUM(C72:C77)</f>
        <v>322184.05</v>
      </c>
      <c r="D78" s="130">
        <f>SUM(D72:D77)</f>
        <v>1957.71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3026008.05</v>
      </c>
      <c r="D81" s="130">
        <f>SUM(D79:D80)+D78+D70</f>
        <v>1957.71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104378.94</v>
      </c>
      <c r="D88" s="333">
        <f>SUM('DOE25'!G153:G162)</f>
        <v>49601.25</v>
      </c>
      <c r="E88" s="333">
        <f>SUM('DOE25'!H153:H162)</f>
        <v>357090.24</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104378.94</v>
      </c>
      <c r="D91" s="131">
        <f>SUM(D85:D90)</f>
        <v>49601.25</v>
      </c>
      <c r="E91" s="131">
        <f>SUM(E85:E90)</f>
        <v>357090.24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68690.86</v>
      </c>
      <c r="E96" s="95">
        <f>'DOE25'!H180</f>
        <v>0</v>
      </c>
      <c r="F96" s="95">
        <f>'DOE25'!I180</f>
        <v>0</v>
      </c>
      <c r="G96" s="95">
        <f>'DOE25'!J180</f>
        <v>125000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68690.86</v>
      </c>
      <c r="E103" s="86">
        <f>SUM(E93:E102)</f>
        <v>0</v>
      </c>
      <c r="F103" s="86">
        <f>SUM(F93:F102)</f>
        <v>0</v>
      </c>
      <c r="G103" s="86">
        <f>SUM(G93:G102)</f>
        <v>125000</v>
      </c>
    </row>
    <row r="104" spans="1:7" ht="12.75" thickTop="1" thickBot="1" x14ac:dyDescent="0.25">
      <c r="A104" s="33" t="s">
        <v>761</v>
      </c>
      <c r="C104" s="86">
        <f>C63+C81+C91+C103</f>
        <v>12290984.720000001</v>
      </c>
      <c r="D104" s="86">
        <f>D63+D81+D91+D103</f>
        <v>148355.57</v>
      </c>
      <c r="E104" s="86">
        <f>E63+E81+E91+E103</f>
        <v>357090.24</v>
      </c>
      <c r="F104" s="86">
        <f>F63+F81+F91+F103</f>
        <v>0</v>
      </c>
      <c r="G104" s="86">
        <f>G63+G81+G103</f>
        <v>125000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4698074.1500000004</v>
      </c>
      <c r="D109" s="24" t="s">
        <v>288</v>
      </c>
      <c r="E109" s="95">
        <f>('DOE25'!L277)+('DOE25'!L296)+('DOE25'!L315)</f>
        <v>68647.540000000008</v>
      </c>
      <c r="F109" s="24" t="s">
        <v>288</v>
      </c>
      <c r="G109" s="24" t="s">
        <v>288</v>
      </c>
    </row>
    <row r="110" spans="1:7" x14ac:dyDescent="0.2">
      <c r="A110" t="s">
        <v>198</v>
      </c>
      <c r="B110" s="32" t="s">
        <v>199</v>
      </c>
      <c r="C110" s="95">
        <f>('DOE25'!L199)+('DOE25'!L217)+('DOE25'!L235)</f>
        <v>1952023.2599999998</v>
      </c>
      <c r="D110" s="24" t="s">
        <v>288</v>
      </c>
      <c r="E110" s="95">
        <f>('DOE25'!L278)+('DOE25'!L297)+('DOE25'!L316)</f>
        <v>197879.01</v>
      </c>
      <c r="F110" s="24" t="s">
        <v>288</v>
      </c>
      <c r="G110" s="24" t="s">
        <v>288</v>
      </c>
    </row>
    <row r="111" spans="1:7" x14ac:dyDescent="0.2">
      <c r="A111" t="s">
        <v>200</v>
      </c>
      <c r="B111" s="32" t="s">
        <v>165</v>
      </c>
      <c r="C111" s="95">
        <f>('DOE25'!L200)+('DOE25'!L218)+('DOE25'!L236)</f>
        <v>23421.83</v>
      </c>
      <c r="D111" s="24" t="s">
        <v>288</v>
      </c>
      <c r="E111" s="95">
        <f>('DOE25'!L279)+('DOE25'!L298)+('DOE25'!L317)</f>
        <v>0</v>
      </c>
      <c r="F111" s="24" t="s">
        <v>288</v>
      </c>
      <c r="G111" s="24" t="s">
        <v>288</v>
      </c>
    </row>
    <row r="112" spans="1:7" x14ac:dyDescent="0.2">
      <c r="A112" t="s">
        <v>201</v>
      </c>
      <c r="B112" s="32" t="s">
        <v>167</v>
      </c>
      <c r="C112" s="95">
        <f>('DOE25'!L201)+('DOE25'!L219)+('DOE25'!L237)</f>
        <v>276648.86</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6950168.1000000006</v>
      </c>
      <c r="D115" s="86">
        <f>SUM(D109:D114)</f>
        <v>0</v>
      </c>
      <c r="E115" s="86">
        <f>SUM(E109:E114)</f>
        <v>266526.55000000005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1211074.0699999998</v>
      </c>
      <c r="D118" s="24" t="s">
        <v>288</v>
      </c>
      <c r="E118" s="95">
        <f>+('DOE25'!L282)+('DOE25'!L301)+('DOE25'!L320)</f>
        <v>0</v>
      </c>
      <c r="F118" s="24" t="s">
        <v>288</v>
      </c>
      <c r="G118" s="24" t="s">
        <v>288</v>
      </c>
    </row>
    <row r="119" spans="1:7" x14ac:dyDescent="0.2">
      <c r="A119" t="s">
        <v>208</v>
      </c>
      <c r="B119" s="32" t="s">
        <v>209</v>
      </c>
      <c r="C119" s="95">
        <f>('DOE25'!L204)+('DOE25'!L222)+('DOE25'!L240)</f>
        <v>979154.62</v>
      </c>
      <c r="D119" s="24" t="s">
        <v>288</v>
      </c>
      <c r="E119" s="95">
        <f>+('DOE25'!L283)+('DOE25'!L302)+('DOE25'!L321)</f>
        <v>90563.69</v>
      </c>
      <c r="F119" s="24" t="s">
        <v>288</v>
      </c>
      <c r="G119" s="24" t="s">
        <v>288</v>
      </c>
    </row>
    <row r="120" spans="1:7" x14ac:dyDescent="0.2">
      <c r="A120" t="s">
        <v>210</v>
      </c>
      <c r="B120" s="32" t="s">
        <v>211</v>
      </c>
      <c r="C120" s="95">
        <f>('DOE25'!L205)+('DOE25'!L223)+('DOE25'!L241)</f>
        <v>594765.88</v>
      </c>
      <c r="D120" s="24" t="s">
        <v>288</v>
      </c>
      <c r="E120" s="95">
        <f>+('DOE25'!L284)+('DOE25'!L303)+('DOE25'!L322)</f>
        <v>0</v>
      </c>
      <c r="F120" s="24" t="s">
        <v>288</v>
      </c>
      <c r="G120" s="24" t="s">
        <v>288</v>
      </c>
    </row>
    <row r="121" spans="1:7" x14ac:dyDescent="0.2">
      <c r="A121" t="s">
        <v>212</v>
      </c>
      <c r="B121" s="32" t="s">
        <v>213</v>
      </c>
      <c r="C121" s="95">
        <f>('DOE25'!L206)+('DOE25'!L224)+('DOE25'!L242)</f>
        <v>580556.79999999993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1310149.06</v>
      </c>
      <c r="D123" s="24" t="s">
        <v>288</v>
      </c>
      <c r="E123" s="95">
        <f>+('DOE25'!L287)+('DOE25'!L306)+('DOE25'!L325)</f>
        <v>0</v>
      </c>
      <c r="F123" s="24" t="s">
        <v>288</v>
      </c>
      <c r="G123" s="24" t="s">
        <v>288</v>
      </c>
    </row>
    <row r="124" spans="1:7" x14ac:dyDescent="0.2">
      <c r="A124" t="s">
        <v>218</v>
      </c>
      <c r="B124" s="32" t="s">
        <v>219</v>
      </c>
      <c r="C124" s="95">
        <f>('DOE25'!L209)+('DOE25'!L227)+('DOE25'!L245+'DOE25'!L255)</f>
        <v>539307.74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91371.501389038778</v>
      </c>
      <c r="E127" s="24" t="s">
        <v>288</v>
      </c>
      <c r="F127" s="24" t="s">
        <v>288</v>
      </c>
      <c r="G127" s="24" t="s">
        <v>288</v>
      </c>
    </row>
    <row r="128" spans="1:7" ht="12.75" thickTop="1" thickBot="1" x14ac:dyDescent="0.25">
      <c r="A128" s="33" t="s">
        <v>226</v>
      </c>
      <c r="C128" s="86">
        <f>SUM(C118:C127)</f>
        <v>5215008.17</v>
      </c>
      <c r="D128" s="86">
        <f>SUM(D118:D127)</f>
        <v>91371.501389038778</v>
      </c>
      <c r="E128" s="86">
        <f>SUM(E118:E127)</f>
        <v>90563.69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68690.86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125000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193690.86</v>
      </c>
      <c r="D144" s="141">
        <f>SUM(D130:D143)</f>
        <v>0</v>
      </c>
      <c r="E144" s="141">
        <f>SUM(E130:E143)</f>
        <v>0</v>
      </c>
      <c r="F144" s="141">
        <f>SUM(F130:F143)</f>
        <v>0</v>
      </c>
      <c r="G144" s="141">
        <f>SUM(G130:G143)</f>
        <v>0</v>
      </c>
    </row>
    <row r="145" spans="1:9" ht="12.75" thickTop="1" thickBot="1" x14ac:dyDescent="0.25">
      <c r="A145" s="33" t="s">
        <v>244</v>
      </c>
      <c r="C145" s="86">
        <f>(C115+C128+C144)</f>
        <v>12358867.129999999</v>
      </c>
      <c r="D145" s="86">
        <f>(D115+D128+D144)</f>
        <v>91371.501389038778</v>
      </c>
      <c r="E145" s="86">
        <f>(E115+E128+E144)</f>
        <v>357090.24000000005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74" t="s">
        <v>736</v>
      </c>
      <c r="B1" s="374"/>
      <c r="C1" s="374"/>
      <c r="D1" s="374"/>
    </row>
    <row r="2" spans="1:4" x14ac:dyDescent="0.2">
      <c r="A2" s="187" t="s">
        <v>713</v>
      </c>
      <c r="B2" s="186" t="str">
        <f>'DOE25'!A2</f>
        <v>Sunapee</v>
      </c>
    </row>
    <row r="3" spans="1:4" x14ac:dyDescent="0.2">
      <c r="B3" s="188" t="s">
        <v>1666</v>
      </c>
    </row>
    <row r="4" spans="1:4" x14ac:dyDescent="0.2">
      <c r="B4" t="s">
        <v>61</v>
      </c>
      <c r="C4" s="179">
        <f>IF('DOE25'!F666+'DOE25'!F671=0,0,ROUND('DOE25'!F673,0))</f>
        <v>25992</v>
      </c>
    </row>
    <row r="5" spans="1:4" x14ac:dyDescent="0.2">
      <c r="B5" t="s">
        <v>700</v>
      </c>
      <c r="C5" s="179">
        <f>IF('DOE25'!G666+'DOE25'!G671=0,0,ROUND('DOE25'!G673,0))</f>
        <v>33026</v>
      </c>
    </row>
    <row r="6" spans="1:4" x14ac:dyDescent="0.2">
      <c r="B6" t="s">
        <v>62</v>
      </c>
      <c r="C6" s="179">
        <f>IF('DOE25'!H666+'DOE25'!H671=0,0,ROUND('DOE25'!H673,0))</f>
        <v>29446</v>
      </c>
    </row>
    <row r="7" spans="1:4" x14ac:dyDescent="0.2">
      <c r="B7" t="s">
        <v>701</v>
      </c>
      <c r="C7" s="179">
        <f>IF('DOE25'!I666+'DOE25'!I671=0,0,ROUND('DOE25'!I673,0))</f>
        <v>28953</v>
      </c>
    </row>
    <row r="9" spans="1:4" x14ac:dyDescent="0.2">
      <c r="A9" s="187" t="s">
        <v>94</v>
      </c>
      <c r="B9" s="188" t="s">
        <v>1671</v>
      </c>
      <c r="C9" s="181" t="s">
        <v>720</v>
      </c>
      <c r="D9" s="181" t="s">
        <v>721</v>
      </c>
    </row>
    <row r="10" spans="1:4" x14ac:dyDescent="0.2">
      <c r="A10">
        <v>1100</v>
      </c>
      <c r="B10" t="s">
        <v>702</v>
      </c>
      <c r="C10" s="179">
        <f>ROUND('DOE25'!L198+'DOE25'!L216+'DOE25'!L234+'DOE25'!L277+'DOE25'!L296+'DOE25'!L315,0)</f>
        <v>4766722</v>
      </c>
      <c r="D10" s="182">
        <f>ROUND((C10/$C$28)*100,1)</f>
        <v>37.9</v>
      </c>
    </row>
    <row r="11" spans="1:4" x14ac:dyDescent="0.2">
      <c r="A11">
        <v>1200</v>
      </c>
      <c r="B11" t="s">
        <v>703</v>
      </c>
      <c r="C11" s="179">
        <f>ROUND('DOE25'!L199+'DOE25'!L217+'DOE25'!L235+'DOE25'!L278+'DOE25'!L297+'DOE25'!L316,0)</f>
        <v>2149902</v>
      </c>
      <c r="D11" s="182">
        <f>ROUND((C11/$C$28)*100,1)</f>
        <v>17.100000000000001</v>
      </c>
    </row>
    <row r="12" spans="1:4" x14ac:dyDescent="0.2">
      <c r="A12">
        <v>1300</v>
      </c>
      <c r="B12" t="s">
        <v>704</v>
      </c>
      <c r="C12" s="179">
        <f>ROUND('DOE25'!L200+'DOE25'!L218+'DOE25'!L236+'DOE25'!L279+'DOE25'!L298+'DOE25'!L317,0)</f>
        <v>23422</v>
      </c>
      <c r="D12" s="182">
        <f>ROUND((C12/$C$28)*100,1)</f>
        <v>0.2</v>
      </c>
    </row>
    <row r="13" spans="1:4" x14ac:dyDescent="0.2">
      <c r="A13">
        <v>1400</v>
      </c>
      <c r="B13" t="s">
        <v>705</v>
      </c>
      <c r="C13" s="179">
        <f>ROUND('DOE25'!L201+'DOE25'!L219+'DOE25'!L237+'DOE25'!L280+'DOE25'!L299+'DOE25'!L318,0)</f>
        <v>276649</v>
      </c>
      <c r="D13" s="182">
        <f>ROUND((C13/$C$28)*100,1)</f>
        <v>2.2000000000000002</v>
      </c>
    </row>
    <row r="14" spans="1:4" x14ac:dyDescent="0.2">
      <c r="D14" s="182"/>
    </row>
    <row r="15" spans="1:4" x14ac:dyDescent="0.2">
      <c r="A15">
        <v>2100</v>
      </c>
      <c r="B15" t="s">
        <v>706</v>
      </c>
      <c r="C15" s="179">
        <f>ROUND('DOE25'!L203+'DOE25'!L221+'DOE25'!L239+'DOE25'!L282+'DOE25'!L301+'DOE25'!L320,0)</f>
        <v>1211074</v>
      </c>
      <c r="D15" s="182">
        <f t="shared" ref="D15:D27" si="0">ROUND((C15/$C$28)*100,1)</f>
        <v>9.6</v>
      </c>
    </row>
    <row r="16" spans="1:4" x14ac:dyDescent="0.2">
      <c r="A16">
        <v>2200</v>
      </c>
      <c r="B16" t="s">
        <v>707</v>
      </c>
      <c r="C16" s="179">
        <f>ROUND('DOE25'!L204+'DOE25'!L222+'DOE25'!L240+'DOE25'!L283+'DOE25'!L302+'DOE25'!L321,0)</f>
        <v>1069718</v>
      </c>
      <c r="D16" s="182">
        <f t="shared" si="0"/>
        <v>8.5</v>
      </c>
    </row>
    <row r="17" spans="1:4" x14ac:dyDescent="0.2">
      <c r="A17" s="183" t="s">
        <v>723</v>
      </c>
      <c r="B17" t="s">
        <v>738</v>
      </c>
      <c r="C17" s="179">
        <f>ROUND('DOE25'!L205+'DOE25'!L210+'DOE25'!L223+'DOE25'!L228+'DOE25'!L241+'DOE25'!L246+'DOE25'!L284+'DOE25'!L289+'DOE25'!L303+'DOE25'!L308+'DOE25'!L322+'DOE25'!L327,0)</f>
        <v>594766</v>
      </c>
      <c r="D17" s="182">
        <f t="shared" si="0"/>
        <v>4.7</v>
      </c>
    </row>
    <row r="18" spans="1:4" x14ac:dyDescent="0.2">
      <c r="A18">
        <v>2400</v>
      </c>
      <c r="B18" t="s">
        <v>711</v>
      </c>
      <c r="C18" s="179">
        <f>ROUND('DOE25'!L206+'DOE25'!L224+'DOE25'!L242+'DOE25'!L285+'DOE25'!L304+'DOE25'!L323,0)</f>
        <v>580557</v>
      </c>
      <c r="D18" s="182">
        <f t="shared" si="0"/>
        <v>4.5999999999999996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1310149</v>
      </c>
      <c r="D20" s="182">
        <f t="shared" si="0"/>
        <v>10.4</v>
      </c>
    </row>
    <row r="21" spans="1:4" x14ac:dyDescent="0.2">
      <c r="A21">
        <v>2700</v>
      </c>
      <c r="B21" t="s">
        <v>710</v>
      </c>
      <c r="C21" s="179">
        <f>ROUND('DOE25'!L209+'DOE25'!L227+'DOE25'!L245+'DOE25'!L288+'DOE25'!L307+'DOE25'!L326,0)</f>
        <v>539308</v>
      </c>
      <c r="D21" s="182">
        <f t="shared" si="0"/>
        <v>4.3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63266.25</v>
      </c>
      <c r="D27" s="182">
        <f t="shared" si="0"/>
        <v>0.5</v>
      </c>
    </row>
    <row r="28" spans="1:4" x14ac:dyDescent="0.2">
      <c r="B28" s="187" t="s">
        <v>719</v>
      </c>
      <c r="C28" s="180">
        <f>SUM(C10:C27)</f>
        <v>12585533.25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12585533.25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8856533</v>
      </c>
      <c r="D35" s="182">
        <f t="shared" ref="D35:D40" si="1">ROUND((C35/$C$41)*100,1)</f>
        <v>69.7</v>
      </c>
    </row>
    <row r="36" spans="1:4" x14ac:dyDescent="0.2">
      <c r="B36" s="185" t="s">
        <v>739</v>
      </c>
      <c r="C36" s="179">
        <f>SUM('DOE25'!F112:J112)-SUM('DOE25'!G97:G110)+('DOE25'!F175+'DOE25'!F176+'DOE25'!I175+'DOE25'!I176)-C35</f>
        <v>304064.73000000045</v>
      </c>
      <c r="D36" s="182">
        <f t="shared" si="1"/>
        <v>2.4</v>
      </c>
    </row>
    <row r="37" spans="1:4" x14ac:dyDescent="0.2">
      <c r="A37" s="183" t="s">
        <v>835</v>
      </c>
      <c r="B37" s="185" t="s">
        <v>728</v>
      </c>
      <c r="C37" s="179">
        <f>ROUND('DOE25'!F117+'DOE25'!F118,0)</f>
        <v>2703824</v>
      </c>
      <c r="D37" s="182">
        <f t="shared" si="1"/>
        <v>21.3</v>
      </c>
    </row>
    <row r="38" spans="1:4" x14ac:dyDescent="0.2">
      <c r="A38" s="183" t="s">
        <v>734</v>
      </c>
      <c r="B38" s="185" t="s">
        <v>729</v>
      </c>
      <c r="C38" s="179">
        <f>ROUND(SUM('DOE25'!F140:J140)-SUM('DOE25'!F117:F119),0)</f>
        <v>324142</v>
      </c>
      <c r="D38" s="182">
        <f t="shared" si="1"/>
        <v>2.6</v>
      </c>
    </row>
    <row r="39" spans="1:4" x14ac:dyDescent="0.2">
      <c r="A39">
        <v>4000</v>
      </c>
      <c r="B39" s="185" t="s">
        <v>730</v>
      </c>
      <c r="C39" s="179">
        <f>ROUND('DOE25'!F170+'DOE25'!G170+'DOE25'!H170+'DOE25'!I170,0)</f>
        <v>511070</v>
      </c>
      <c r="D39" s="182">
        <f t="shared" si="1"/>
        <v>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12699633.73</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ColWidth="8.6640625" defaultRowHeight="11.25" x14ac:dyDescent="0.2"/>
  <cols>
    <col min="1" max="1" width="10.16406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Sunapee</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2021-11-08T17:12:44Z</cp:lastPrinted>
  <dcterms:created xsi:type="dcterms:W3CDTF">1997-12-04T19:04:30Z</dcterms:created>
  <dcterms:modified xsi:type="dcterms:W3CDTF">2021-12-14T19:51:39Z</dcterms:modified>
</cp:coreProperties>
</file>