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225" yWindow="465" windowWidth="34635" windowHeight="1936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J466" i="1" l="1"/>
  <c r="J469" i="1"/>
  <c r="J96"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1" i="2"/>
  <c r="E124" i="2"/>
  <c r="C125" i="2"/>
  <c r="E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G653" i="1"/>
  <c r="H653" i="1"/>
  <c r="G654" i="1"/>
  <c r="H654" i="1"/>
  <c r="G655" i="1"/>
  <c r="H655" i="1"/>
  <c r="H656" i="1"/>
  <c r="J656" i="1" s="1"/>
  <c r="G62" i="2"/>
  <c r="I170" i="1"/>
  <c r="J652" i="1" l="1"/>
  <c r="D15" i="13"/>
  <c r="C15" i="13" s="1"/>
  <c r="H663" i="1"/>
  <c r="E13" i="13"/>
  <c r="C13" i="13" s="1"/>
  <c r="C121" i="2"/>
  <c r="C120" i="2"/>
  <c r="E123" i="2"/>
  <c r="E119" i="2"/>
  <c r="E110" i="2"/>
  <c r="G662" i="1"/>
  <c r="J258" i="1"/>
  <c r="H409" i="1"/>
  <c r="H645" i="1" s="1"/>
  <c r="J645" i="1" s="1"/>
  <c r="J572" i="1"/>
  <c r="D50" i="2"/>
  <c r="E131" i="2"/>
  <c r="G553" i="1"/>
  <c r="F258" i="1"/>
  <c r="C20" i="10"/>
  <c r="I370" i="1"/>
  <c r="H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E128" i="2" s="1"/>
  <c r="L291" i="1"/>
  <c r="H624" i="1"/>
  <c r="J624" i="1" s="1"/>
  <c r="B33" i="16"/>
  <c r="L615" i="1"/>
  <c r="K599" i="1"/>
  <c r="G648" i="1" s="1"/>
  <c r="K572" i="1"/>
  <c r="L571" i="1"/>
  <c r="H572" i="1"/>
  <c r="L566" i="1"/>
  <c r="I572" i="1"/>
  <c r="K546" i="1"/>
  <c r="H52" i="1"/>
  <c r="H620" i="1" s="1"/>
  <c r="C114" i="2"/>
  <c r="G112" i="1"/>
  <c r="B10" i="16" s="1"/>
  <c r="E118" i="2"/>
  <c r="L248" i="1"/>
  <c r="L212" i="1"/>
  <c r="F661" i="1" s="1"/>
  <c r="H648"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H649" i="1"/>
  <c r="J653" i="1"/>
  <c r="G572" i="1"/>
  <c r="I435" i="1"/>
  <c r="G435" i="1"/>
  <c r="I664" i="1"/>
  <c r="C141" i="2" l="1"/>
  <c r="L572" i="1"/>
  <c r="C81" i="2"/>
  <c r="F194" i="1"/>
  <c r="G628" i="1" s="1"/>
  <c r="J628" i="1" s="1"/>
  <c r="H661" i="1"/>
  <c r="H665" i="1" s="1"/>
  <c r="H668" i="1" s="1"/>
  <c r="H194" i="1"/>
  <c r="G630" i="1" s="1"/>
  <c r="J630" i="1" s="1"/>
  <c r="D51" i="2"/>
  <c r="F51" i="2"/>
  <c r="H36" i="14"/>
  <c r="I36" i="14" s="1"/>
  <c r="G36" i="14"/>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<sst xmlns="http://schemas.openxmlformats.org/spreadsheetml/2006/main" count="5575" uniqueCount="1673">
  <si>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</si>
  <si>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</si>
  <si>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</si>
  <si>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</si>
  <si>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</si>
  <si>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</si>
  <si>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</si>
  <si>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</si>
  <si>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</si>
  <si>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</si>
  <si>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</si>
  <si>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</si>
  <si>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</si>
  <si>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</si>
  <si>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</si>
  <si>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</si>
  <si>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</si>
  <si>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</si>
  <si>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</si>
  <si>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</si>
  <si>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</si>
  <si>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</si>
  <si>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</si>
  <si>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</si>
  <si>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</si>
  <si>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</si>
  <si>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</si>
  <si>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</si>
  <si>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</si>
  <si>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</si>
  <si>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</si>
  <si>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</si>
  <si>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</si>
  <si>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</si>
  <si>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</si>
  <si>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</si>
  <si>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</si>
  <si>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</si>
  <si>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</si>
  <si>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</si>
  <si>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</si>
  <si>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</si>
  <si>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</si>
  <si>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</si>
  <si>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</si>
  <si>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</si>
  <si>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</si>
  <si>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</si>
  <si>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</si>
  <si>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</si>
  <si>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</si>
  <si>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</si>
  <si>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</si>
  <si>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</si>
  <si>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</si>
  <si>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</si>
  <si>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</si>
  <si>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</si>
  <si>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</si>
  <si>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</si>
  <si>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</si>
  <si>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</si>
  <si>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</si>
  <si>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</si>
  <si>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</si>
  <si>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</si>
  <si>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</si>
  <si>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</si>
  <si>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</si>
  <si>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</si>
  <si>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</si>
  <si>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</si>
  <si>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</si>
  <si>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</si>
  <si>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</si>
  <si>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</si>
  <si>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</si>
  <si>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</si>
  <si>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</si>
  <si>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</si>
  <si>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</si>
  <si>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</si>
  <si>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</si>
  <si>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</si>
  <si>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</si>
  <si>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</si>
  <si>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</si>
  <si>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</si>
  <si>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</si>
  <si>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</si>
  <si>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</si>
  <si>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</si>
  <si>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</si>
  <si>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</si>
  <si>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</si>
  <si>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</si>
  <si>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</si>
  <si>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</si>
  <si>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</si>
  <si>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</si>
  <si>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</si>
  <si>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</si>
  <si>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</si>
  <si>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</si>
  <si>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</si>
  <si>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</si>
  <si>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</si>
  <si>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</si>
  <si>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</si>
  <si>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</si>
  <si>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</si>
  <si>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</si>
  <si>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</si>
  <si>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</si>
  <si>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</si>
  <si>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</si>
  <si>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</si>
  <si>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</si>
  <si>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</si>
  <si>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</si>
  <si>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</si>
  <si>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</si>
  <si>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</si>
  <si>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</si>
  <si>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</si>
  <si>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</si>
  <si>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</si>
  <si>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</si>
  <si>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</si>
  <si>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</si>
  <si>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</si>
  <si>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</si>
  <si>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</si>
  <si>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</si>
  <si>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</si>
  <si>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</si>
  <si>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</si>
  <si>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</si>
  <si>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</si>
  <si>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</si>
  <si>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</si>
  <si>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</si>
  <si>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</si>
  <si>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</si>
  <si>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</si>
  <si>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</si>
  <si>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</si>
  <si>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</si>
  <si>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</si>
  <si>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</si>
  <si>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</si>
  <si>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</si>
  <si>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</si>
  <si>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</si>
  <si>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</si>
  <si>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</si>
  <si>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</si>
  <si>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</si>
  <si>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</si>
  <si>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</si>
  <si>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</si>
  <si>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</si>
  <si>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</si>
  <si>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</si>
  <si>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</si>
  <si>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</si>
  <si>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</si>
  <si>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</si>
  <si>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</si>
  <si>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</si>
  <si>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</si>
  <si>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</si>
  <si>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</si>
  <si>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</si>
  <si>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</si>
  <si>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</si>
  <si>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</si>
  <si>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</si>
  <si>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</si>
  <si>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</si>
  <si>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</si>
  <si>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</si>
  <si>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</si>
  <si>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</si>
  <si>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</si>
  <si>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</si>
  <si>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</si>
  <si>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</si>
  <si>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</si>
  <si>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</si>
  <si>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</si>
  <si>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</si>
  <si>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</si>
  <si>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</si>
  <si>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</si>
  <si>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</si>
  <si>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</si>
  <si>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</si>
  <si>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</si>
  <si>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</si>
  <si>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</si>
  <si>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</si>
  <si>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</si>
  <si>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</si>
  <si>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</si>
  <si>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</si>
  <si>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</si>
  <si>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</si>
  <si>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</si>
  <si>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</si>
  <si>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</si>
  <si>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</si>
  <si>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</si>
  <si>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</si>
  <si>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</si>
  <si>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</si>
  <si>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</si>
  <si>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</si>
  <si>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</si>
  <si>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</si>
  <si>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</si>
  <si>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</si>
  <si>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</si>
  <si>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</si>
  <si>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</si>
  <si>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</si>
  <si>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</si>
  <si>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</si>
  <si>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</si>
  <si>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</si>
  <si>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</si>
  <si>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</si>
  <si>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</si>
  <si>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</si>
  <si>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</si>
  <si>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</si>
  <si>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</si>
  <si>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</si>
  <si>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</si>
  <si>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</si>
  <si>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</si>
  <si>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</si>
  <si>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</si>
  <si>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</si>
  <si>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</si>
  <si>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</si>
  <si>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</si>
  <si>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</si>
  <si>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</si>
  <si>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</si>
  <si>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</si>
  <si>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</si>
  <si>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</si>
  <si>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</si>
  <si>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</si>
  <si>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</si>
  <si>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</si>
  <si>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</si>
  <si>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</si>
  <si>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</si>
  <si>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</si>
  <si>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</si>
  <si>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</si>
  <si>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</si>
  <si>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</si>
  <si>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</si>
  <si>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</si>
  <si>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</si>
  <si>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</si>
  <si>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</si>
  <si>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</si>
  <si>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</si>
  <si>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</si>
  <si>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</si>
  <si>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</si>
  <si>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</si>
  <si>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</si>
  <si>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</si>
  <si>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</si>
  <si>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</si>
  <si>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</si>
  <si>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</si>
  <si>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</si>
  <si>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</si>
  <si>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</si>
  <si>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</si>
  <si>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</si>
  <si>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</si>
  <si>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</si>
  <si>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</si>
  <si>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</si>
  <si>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</si>
  <si>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</si>
  <si>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</si>
  <si>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</si>
  <si>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</si>
  <si>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</si>
  <si>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</si>
  <si>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</si>
  <si>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</si>
  <si>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</si>
  <si>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</si>
  <si>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</si>
  <si>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</si>
  <si>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</si>
  <si>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</si>
  <si>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</si>
  <si>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</si>
  <si>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</si>
  <si>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</si>
  <si>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</si>
  <si>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</si>
  <si>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</si>
  <si>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</si>
  <si>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</si>
  <si>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</si>
  <si>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</si>
  <si>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</si>
  <si>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</si>
  <si>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</si>
  <si>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</si>
  <si>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</si>
  <si>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</si>
  <si>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</si>
  <si>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</si>
  <si>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</si>
  <si>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</si>
  <si>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</si>
  <si>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</si>
  <si>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</si>
  <si>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</si>
  <si>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</si>
  <si>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</si>
  <si>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</si>
  <si>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</si>
  <si>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</si>
  <si>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</si>
  <si>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</si>
  <si>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</si>
  <si>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</si>
  <si>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</si>
  <si>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</si>
  <si>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</si>
  <si>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</si>
  <si>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</si>
  <si>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</si>
  <si>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</si>
  <si>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</si>
  <si>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</si>
  <si>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</si>
  <si>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</si>
  <si>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</si>
  <si>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</si>
  <si>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</si>
  <si>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</si>
  <si>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</si>
  <si>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</si>
  <si>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</si>
  <si>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</si>
  <si>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</si>
  <si>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</si>
  <si>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</si>
  <si>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</si>
  <si>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</si>
  <si>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</si>
  <si>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</si>
  <si>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</si>
  <si>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</si>
  <si>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</si>
  <si>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</si>
  <si>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</si>
  <si>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</si>
  <si>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</si>
  <si>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</si>
  <si>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</si>
  <si>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</si>
  <si>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</si>
  <si>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</si>
  <si>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</si>
  <si>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</si>
  <si>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</si>
  <si>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</si>
  <si>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</si>
  <si>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</si>
  <si>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</si>
  <si>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</si>
  <si>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</si>
  <si>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</si>
  <si>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</si>
  <si>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</si>
  <si>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</si>
  <si>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</si>
  <si>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</si>
  <si>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</si>
  <si>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</si>
  <si>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</si>
  <si>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</si>
  <si>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</si>
  <si>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</si>
  <si>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</si>
  <si>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</si>
  <si>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</si>
  <si>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</si>
  <si>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</si>
  <si>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</si>
  <si>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</si>
  <si>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</si>
  <si>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</si>
  <si>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</si>
  <si>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</si>
  <si>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</si>
  <si>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</si>
  <si>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</si>
  <si>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</si>
  <si>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</si>
  <si>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</si>
  <si>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</si>
  <si>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</si>
  <si>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</si>
  <si>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</si>
  <si>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</si>
  <si>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</si>
  <si>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</si>
  <si>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</si>
  <si>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</si>
  <si>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</si>
  <si>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</si>
  <si>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</si>
  <si>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</si>
  <si>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</si>
  <si>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</si>
  <si>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</si>
  <si>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</si>
  <si>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</si>
  <si>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</si>
  <si>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</si>
  <si>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</si>
  <si>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</si>
  <si>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</si>
  <si>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</si>
  <si>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</si>
  <si>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</si>
  <si>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</si>
  <si>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</si>
  <si>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</si>
  <si>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</si>
  <si>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</si>
  <si>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</si>
  <si>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</si>
  <si>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</si>
  <si>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</si>
  <si>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</si>
  <si>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</si>
  <si>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</si>
  <si>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</si>
  <si>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</si>
  <si>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</si>
  <si>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</si>
  <si>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</si>
  <si>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</si>
  <si>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</si>
  <si>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</si>
  <si>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</si>
  <si>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</si>
  <si>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</si>
  <si>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</si>
  <si>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</si>
  <si>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</si>
  <si>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</si>
  <si>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</si>
  <si>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</si>
  <si>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</si>
  <si>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</si>
  <si>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</si>
  <si>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</si>
  <si>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</si>
  <si>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</si>
  <si>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</si>
  <si>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</si>
  <si>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</si>
  <si>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</si>
  <si>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</si>
  <si>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</si>
  <si>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</si>
  <si>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</si>
  <si>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</si>
  <si>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</si>
  <si>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</si>
  <si>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</si>
  <si>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</si>
  <si>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</si>
  <si>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</si>
  <si>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</si>
  <si>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</si>
  <si>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</si>
  <si>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</si>
  <si>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</si>
  <si>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</si>
  <si>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</si>
  <si>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</si>
  <si>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</si>
  <si>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</si>
  <si>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</si>
  <si>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</si>
  <si>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</si>
  <si>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</si>
  <si>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</si>
  <si>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</si>
  <si>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</si>
  <si>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</si>
  <si>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</si>
  <si>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</si>
  <si>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</si>
  <si>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</si>
  <si>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</si>
  <si>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</si>
  <si>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</si>
  <si>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</si>
  <si>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</si>
  <si>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</si>
  <si>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</si>
  <si>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</si>
  <si>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</si>
  <si>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</si>
  <si>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</si>
  <si>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</si>
  <si>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</si>
  <si>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</si>
  <si>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</si>
  <si>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</si>
  <si>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</si>
  <si>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</si>
  <si>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</si>
  <si>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</si>
  <si>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</si>
  <si>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</si>
  <si>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</si>
  <si>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</si>
  <si>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</si>
  <si>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</si>
  <si>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</si>
  <si>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</si>
  <si>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</si>
  <si>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</si>
  <si>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</si>
  <si>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</si>
  <si>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</si>
  <si>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</si>
  <si>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</si>
  <si>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</si>
  <si>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</si>
  <si>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</si>
  <si>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</si>
  <si>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</si>
  <si>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</si>
  <si>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</si>
  <si>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</si>
  <si>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</si>
  <si>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</si>
  <si>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</si>
  <si>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</si>
  <si>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</si>
  <si>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</si>
  <si>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</si>
  <si>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</si>
  <si>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</si>
  <si>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</si>
  <si>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</si>
  <si>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</si>
  <si>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</si>
  <si>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</si>
  <si>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</si>
  <si>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</si>
  <si>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</si>
  <si>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</si>
  <si>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</si>
  <si>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</si>
  <si>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</si>
  <si>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</si>
  <si>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</si>
  <si>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</si>
  <si>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</si>
  <si>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</si>
  <si>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</si>
  <si>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</si>
  <si>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</si>
  <si>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</si>
  <si>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</si>
  <si>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</si>
  <si>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</si>
  <si>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</si>
  <si>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</si>
  <si>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</si>
  <si>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</si>
  <si>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</si>
  <si>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</si>
  <si>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</si>
  <si>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</si>
  <si>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</si>
  <si>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</si>
  <si>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</si>
  <si>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</si>
  <si>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</si>
  <si>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</si>
  <si>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</si>
  <si>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</si>
  <si>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</si>
  <si>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</si>
  <si>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</si>
  <si>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</si>
  <si>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</si>
  <si>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</si>
  <si>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</si>
  <si>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</si>
  <si>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</si>
  <si>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</si>
  <si>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</si>
  <si>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</si>
  <si>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</si>
  <si>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</si>
  <si>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</si>
  <si>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</si>
  <si>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</si>
  <si>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</si>
  <si>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</si>
  <si>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</si>
  <si>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</si>
  <si>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</si>
  <si>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</si>
  <si>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</si>
  <si>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</si>
  <si>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</si>
  <si>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</si>
  <si>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</si>
  <si>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</si>
  <si>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</si>
  <si>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</si>
  <si>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</si>
  <si>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</si>
  <si>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</si>
  <si>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</si>
  <si>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</si>
  <si>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</si>
  <si>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</si>
  <si>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</si>
  <si>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</si>
  <si>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</si>
  <si>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</si>
  <si>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</si>
  <si>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</si>
  <si>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</si>
  <si>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</si>
  <si>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</si>
  <si>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</si>
  <si>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</si>
  <si>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</si>
  <si>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</si>
  <si>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</si>
  <si>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</si>
  <si>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</si>
  <si>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</si>
  <si>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</si>
  <si>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</si>
  <si>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</si>
  <si>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</si>
  <si>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</si>
  <si>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</si>
  <si>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</si>
  <si>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</si>
  <si>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</si>
  <si>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</si>
  <si>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</si>
  <si>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</si>
  <si>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</si>
  <si>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</si>
  <si>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</si>
  <si>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</si>
  <si>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</si>
  <si>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</si>
  <si>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</si>
  <si>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</si>
  <si>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</si>
  <si>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</si>
  <si>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</si>
  <si>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</si>
  <si>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</si>
  <si>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</si>
  <si>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</si>
  <si>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</si>
  <si>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</si>
  <si>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</si>
  <si>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</si>
  <si>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</si>
  <si>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</si>
  <si>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</si>
  <si>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</si>
  <si>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</si>
  <si>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</si>
  <si>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</si>
  <si>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</si>
  <si>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</si>
  <si>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</si>
  <si>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</si>
  <si>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</si>
  <si>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</si>
  <si>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</si>
  <si>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</si>
  <si>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</si>
  <si>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</si>
  <si>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</si>
  <si>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</si>
  <si>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</si>
  <si>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</si>
  <si>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</si>
  <si>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</si>
  <si>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</si>
  <si>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</si>
  <si>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</si>
  <si>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</si>
  <si>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</si>
  <si>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</si>
  <si>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</si>
  <si>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</si>
  <si>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</si>
  <si>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</si>
  <si>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</si>
  <si>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</si>
  <si>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</si>
  <si>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</si>
  <si>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</si>
  <si>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</si>
  <si>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</si>
  <si>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</si>
  <si>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</si>
  <si>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</si>
  <si>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</si>
  <si>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</si>
  <si>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</si>
  <si>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</si>
  <si>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</si>
  <si>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</si>
  <si>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</si>
  <si>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</si>
  <si>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</si>
  <si>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</si>
  <si>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</si>
  <si>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</si>
  <si>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</si>
  <si>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</si>
  <si>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</si>
  <si>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</si>
  <si>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</si>
  <si>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</si>
  <si>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</si>
  <si>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</si>
  <si>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</si>
  <si>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</si>
  <si>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</si>
  <si>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</si>
  <si>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</si>
  <si>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</si>
  <si>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</si>
  <si>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</si>
  <si>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</si>
  <si>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</si>
  <si>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</si>
  <si>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</si>
  <si>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</si>
  <si>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</si>
  <si>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</si>
  <si>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</si>
  <si>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</si>
  <si>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</si>
  <si>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</si>
  <si>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</si>
  <si>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</si>
  <si>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</si>
  <si>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</si>
  <si>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</si>
  <si>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</si>
  <si>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</si>
  <si>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</si>
  <si>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</si>
  <si>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</si>
  <si>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</si>
  <si>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</si>
  <si>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</si>
  <si>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</si>
  <si>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</si>
  <si>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</si>
  <si>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</si>
  <si>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</si>
  <si>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</si>
  <si>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</si>
  <si>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</si>
  <si>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</si>
  <si>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</si>
  <si>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</si>
  <si>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</si>
  <si>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</si>
  <si>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</si>
  <si>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</si>
  <si>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</si>
  <si>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</si>
  <si>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</si>
  <si>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</si>
  <si>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</si>
  <si>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</si>
  <si>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</si>
  <si>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</si>
  <si>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</si>
  <si>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</si>
  <si>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</si>
  <si>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</si>
  <si>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</si>
  <si>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</si>
  <si>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</si>
  <si>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</si>
  <si>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</si>
  <si>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</si>
  <si>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</si>
  <si>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</si>
  <si>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</si>
  <si>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</si>
  <si>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</si>
  <si>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</si>
  <si>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</si>
  <si>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</si>
  <si>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</si>
  <si>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</si>
  <si>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</si>
  <si>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</si>
  <si>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</si>
  <si>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</si>
  <si>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</si>
  <si>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</si>
  <si>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</si>
  <si>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</si>
  <si>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</si>
  <si>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</si>
  <si>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</si>
  <si>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</si>
  <si>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</si>
  <si>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</si>
  <si>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</si>
  <si>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</si>
  <si>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</si>
  <si>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</si>
  <si>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</si>
  <si>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</si>
  <si>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</si>
  <si>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</si>
  <si>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</si>
  <si>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</si>
  <si>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</si>
  <si>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</si>
  <si>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</si>
  <si>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</si>
  <si>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</si>
  <si>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</si>
  <si>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</si>
  <si>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</si>
  <si>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</si>
  <si>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</si>
  <si>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</si>
  <si>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</si>
  <si>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</si>
  <si>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</si>
  <si>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</si>
  <si>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</si>
  <si>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</si>
  <si>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</si>
  <si>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</si>
  <si>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</si>
  <si>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</si>
  <si>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</si>
  <si>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</si>
  <si>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</si>
  <si>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</si>
  <si>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</si>
  <si>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</si>
  <si>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</si>
  <si>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</si>
  <si>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</si>
  <si>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</si>
  <si>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</si>
  <si>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</si>
  <si>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</si>
  <si>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</si>
  <si>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</si>
  <si>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</si>
  <si>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</si>
  <si>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</si>
  <si>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</si>
  <si>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</si>
  <si>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</si>
  <si>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</si>
  <si>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</si>
  <si>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</si>
  <si>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</si>
  <si>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</si>
  <si>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</si>
  <si>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</si>
  <si>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</si>
  <si>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</si>
  <si>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</si>
  <si>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</si>
  <si>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</si>
  <si>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</si>
  <si>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</si>
  <si>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</si>
  <si>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</si>
  <si>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</si>
  <si>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</si>
  <si>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</si>
  <si>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</si>
  <si>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</si>
  <si>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</si>
  <si>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</si>
  <si>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</si>
  <si>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</si>
  <si>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</si>
  <si>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</si>
  <si>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</si>
  <si>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</si>
  <si>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</si>
  <si>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</si>
  <si>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</si>
  <si>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</si>
  <si>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</si>
  <si>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</si>
  <si>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</si>
  <si>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</si>
  <si>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</si>
  <si>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</si>
  <si>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</si>
  <si>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</si>
  <si>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</si>
  <si>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</si>
  <si>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</si>
  <si>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</si>
  <si>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</si>
  <si>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</si>
  <si>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</si>
  <si>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</si>
  <si>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</si>
  <si>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</si>
  <si>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</si>
  <si>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</si>
  <si>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</si>
  <si>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</si>
  <si>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</si>
  <si>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</si>
  <si>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</si>
  <si>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</si>
  <si>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</si>
  <si>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</si>
  <si>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</si>
  <si>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</si>
  <si>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</si>
  <si>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</si>
  <si>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</si>
  <si>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</si>
  <si>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</si>
  <si>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</si>
  <si>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</si>
  <si>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</si>
  <si>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</si>
  <si>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</si>
  <si>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</si>
  <si>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</si>
  <si>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</si>
  <si>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</si>
  <si>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</si>
  <si>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</si>
  <si>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</si>
  <si>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</si>
  <si>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</si>
  <si>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</si>
  <si>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</si>
  <si>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</si>
  <si>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</si>
  <si>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</si>
  <si>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</si>
  <si>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</si>
  <si>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</si>
  <si>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</si>
  <si>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</si>
  <si>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</si>
  <si>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</si>
  <si>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</si>
  <si>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</si>
  <si>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</si>
  <si>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</si>
  <si>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</si>
  <si>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</si>
  <si>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</si>
  <si>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</si>
  <si>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</si>
  <si>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</si>
  <si>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</si>
  <si>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</si>
  <si>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</si>
  <si>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</si>
  <si>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</si>
  <si>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</si>
  <si>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</si>
  <si>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</si>
  <si>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</si>
  <si>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</si>
  <si>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</si>
  <si>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</si>
  <si>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</si>
  <si>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</si>
  <si>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</si>
  <si>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</si>
  <si>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</si>
  <si>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</si>
  <si>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</si>
  <si>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</si>
  <si>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</si>
  <si>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</si>
  <si>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</si>
  <si>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</si>
  <si>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</si>
  <si>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</si>
  <si>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</si>
  <si>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</si>
  <si>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</si>
  <si>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</si>
  <si>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</si>
  <si>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</si>
  <si>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</si>
  <si>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</si>
  <si>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</si>
  <si>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</si>
  <si>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</si>
  <si>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</si>
  <si>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</si>
  <si>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</si>
  <si>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</si>
  <si>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</si>
  <si>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</si>
  <si>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</si>
  <si>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</si>
  <si>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</si>
  <si>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</si>
  <si>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</si>
  <si>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</si>
  <si>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</si>
  <si>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</si>
  <si>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</si>
  <si>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</si>
  <si>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</si>
  <si>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</si>
  <si>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</si>
  <si>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</si>
  <si>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</si>
  <si>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</si>
  <si>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</si>
  <si>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</si>
  <si>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</si>
  <si>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</si>
  <si>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</si>
  <si>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</si>
  <si>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</si>
  <si>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</si>
  <si>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</si>
  <si>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</si>
  <si>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</si>
  <si>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</si>
  <si>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</si>
  <si>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</si>
  <si>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</si>
  <si>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</si>
  <si>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</si>
  <si>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</si>
  <si>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</si>
  <si>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</si>
  <si>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</si>
  <si>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</si>
  <si>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</si>
  <si>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</si>
  <si>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</si>
  <si>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</si>
  <si>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</si>
  <si>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</si>
  <si>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</si>
  <si>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</si>
  <si>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</si>
  <si>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</si>
  <si>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</si>
  <si>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</si>
  <si>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</si>
  <si>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</si>
  <si>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</si>
  <si>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</si>
  <si>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</si>
  <si>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</si>
  <si>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</si>
  <si>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</si>
  <si>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</si>
  <si>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</si>
  <si>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</si>
  <si>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</si>
  <si>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</si>
  <si>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</si>
  <si>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</si>
  <si>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</si>
  <si>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</si>
  <si>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</si>
  <si>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</si>
  <si>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</si>
  <si>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</si>
  <si>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</si>
  <si>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</si>
  <si>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</si>
  <si>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</si>
  <si>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</si>
  <si>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</si>
  <si>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</si>
  <si>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</si>
  <si>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</si>
  <si>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</si>
  <si>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</si>
  <si>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</si>
  <si>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</si>
  <si>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</si>
  <si>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</si>
  <si>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</si>
  <si>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</si>
  <si>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</si>
  <si>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</si>
  <si>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</si>
  <si>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</si>
  <si>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</si>
  <si>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</si>
  <si>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</si>
  <si>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</si>
  <si>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</si>
  <si>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</si>
  <si>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</si>
  <si>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</si>
  <si>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</si>
  <si>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</si>
  <si>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</si>
  <si>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</si>
  <si>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</si>
  <si>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</si>
  <si>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</si>
  <si>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</si>
  <si>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</si>
  <si>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</si>
  <si>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</si>
  <si>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</si>
  <si>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</si>
  <si>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</si>
  <si>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</si>
  <si>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</si>
  <si>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</si>
  <si>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</si>
  <si>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</si>
  <si>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</si>
  <si>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</si>
  <si>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</si>
  <si>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</si>
  <si>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</si>
  <si>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</si>
  <si>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</si>
  <si>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</si>
  <si>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</si>
  <si>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</si>
  <si>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</si>
  <si>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</si>
  <si>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</si>
  <si>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</si>
  <si>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</si>
  <si>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</si>
  <si>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</si>
  <si>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</si>
  <si>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</si>
  <si>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</si>
  <si>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</si>
  <si>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</si>
  <si>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</si>
  <si>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</si>
  <si>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</si>
  <si>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</si>
  <si>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</si>
  <si>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</si>
  <si>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</si>
  <si>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</si>
  <si>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</si>
  <si>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</si>
  <si>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</si>
  <si>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</si>
  <si>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</si>
  <si>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</si>
  <si>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</si>
  <si>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</si>
  <si>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</si>
  <si>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</si>
  <si>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</si>
  <si>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</si>
  <si>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</si>
  <si>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</si>
  <si>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</si>
  <si>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</si>
  <si>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</si>
  <si>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</si>
  <si>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</si>
  <si>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</si>
  <si>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</si>
  <si>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</si>
  <si>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</si>
  <si>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</si>
  <si>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</si>
  <si>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</si>
  <si>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</si>
  <si>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</si>
  <si>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</si>
  <si>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</si>
  <si>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</si>
  <si>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</si>
  <si>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</si>
  <si>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</si>
  <si>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</si>
  <si>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</si>
  <si>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</si>
  <si>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</si>
  <si>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</si>
  <si>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</si>
  <si>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</si>
  <si>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</si>
  <si>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</si>
  <si>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</si>
  <si>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</si>
  <si>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</si>
  <si>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</si>
  <si>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</si>
  <si>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</si>
  <si>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</si>
  <si>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</si>
  <si>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</si>
  <si>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</si>
  <si>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</si>
  <si>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</si>
  <si>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</si>
  <si>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</si>
  <si>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</si>
  <si>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</si>
  <si>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</si>
  <si>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</si>
  <si>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</si>
  <si>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</si>
  <si>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</si>
  <si>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</si>
  <si>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</si>
  <si>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</si>
  <si>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</si>
  <si>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</si>
  <si>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</si>
  <si>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</si>
  <si>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</si>
  <si>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</si>
  <si>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</si>
  <si>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</si>
  <si>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</si>
  <si>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</si>
  <si>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</si>
  <si>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</si>
  <si>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</si>
  <si>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</si>
  <si>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</si>
  <si>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</si>
  <si>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</si>
  <si>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</si>
  <si>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</si>
  <si>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</si>
  <si>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</si>
  <si>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</si>
  <si>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</si>
  <si>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</si>
  <si>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</si>
  <si>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</si>
  <si>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</si>
  <si>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</si>
  <si>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</si>
  <si>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</si>
  <si>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</si>
  <si>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</si>
  <si>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</si>
  <si>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</si>
  <si>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</si>
  <si>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</si>
  <si>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</si>
  <si>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</si>
  <si>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</si>
  <si>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</si>
  <si>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</si>
  <si>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</si>
  <si>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</si>
  <si>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</si>
  <si>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</si>
  <si>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</si>
  <si>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</si>
  <si>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</si>
  <si>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</si>
  <si>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</si>
  <si>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</si>
  <si>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</si>
  <si>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</si>
  <si>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</si>
  <si>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</si>
  <si>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</si>
  <si>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</si>
  <si>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</si>
  <si>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</si>
  <si>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</si>
  <si>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</si>
  <si>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</si>
  <si>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</si>
  <si>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</si>
  <si>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</si>
  <si>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</si>
  <si>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</si>
  <si>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</si>
  <si>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</si>
  <si>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</si>
  <si>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</si>
  <si>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</si>
  <si>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</si>
  <si>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</si>
  <si>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</si>
  <si>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</si>
  <si>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</si>
  <si>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</si>
  <si>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</si>
  <si>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</si>
  <si>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</si>
  <si>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</si>
  <si>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</si>
  <si>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</si>
  <si>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</si>
  <si>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</si>
  <si>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</si>
  <si>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</si>
  <si>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</si>
  <si>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</si>
  <si>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</si>
  <si>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</si>
  <si>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</si>
  <si>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</si>
  <si>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</si>
  <si>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</si>
  <si>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</si>
  <si>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</si>
  <si>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</si>
  <si>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</si>
  <si>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</si>
  <si>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</si>
  <si>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</si>
  <si>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</si>
  <si>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</si>
  <si>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</si>
  <si>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</si>
  <si>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</si>
  <si>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</si>
  <si>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</si>
  <si>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</si>
  <si>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</si>
  <si>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</si>
  <si>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</si>
  <si>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</si>
  <si>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</si>
  <si>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</si>
  <si>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</si>
  <si>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</si>
  <si>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</si>
  <si>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</si>
  <si>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</si>
  <si>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</si>
  <si>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</si>
  <si>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</si>
  <si>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</si>
  <si>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</si>
  <si>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</si>
  <si>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</si>
  <si>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</si>
  <si>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</si>
  <si>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</si>
  <si>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</si>
  <si>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</si>
  <si>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</si>
  <si>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</si>
  <si>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</si>
  <si>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</si>
  <si>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</si>
  <si>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</si>
  <si>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</si>
  <si>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</si>
  <si>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</si>
  <si>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</si>
  <si>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</si>
  <si>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</si>
  <si>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</si>
  <si>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</si>
  <si>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</si>
  <si>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</si>
  <si>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</si>
  <si>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</si>
  <si>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</si>
  <si>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</si>
  <si>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</si>
  <si>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</si>
  <si>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</si>
  <si>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</si>
  <si>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</si>
  <si>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</si>
  <si>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</si>
  <si>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</si>
  <si>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</si>
  <si>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</si>
  <si>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</si>
  <si>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</si>
  <si>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</si>
  <si>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</si>
  <si>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</si>
  <si>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</si>
  <si>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</si>
  <si>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</si>
  <si>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</si>
  <si>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</si>
  <si>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</si>
  <si>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</si>
  <si>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</si>
  <si>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</si>
  <si>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</si>
  <si>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</si>
  <si>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</si>
  <si>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</si>
  <si>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</si>
  <si>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</si>
  <si>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</si>
  <si>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</si>
  <si>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</si>
  <si>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</si>
  <si>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</si>
  <si>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</si>
  <si>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</si>
  <si>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</si>
  <si>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</si>
  <si>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</si>
  <si>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</si>
  <si>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</si>
  <si>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</si>
  <si>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</si>
  <si>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</si>
  <si>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</si>
  <si>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</si>
  <si>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</si>
  <si>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</si>
  <si>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</si>
  <si>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</si>
  <si>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</si>
  <si>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</si>
  <si>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</si>
  <si>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</si>
  <si>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</si>
  <si>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</si>
  <si>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</si>
  <si>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</si>
  <si>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</si>
  <si>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</si>
  <si>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</si>
  <si>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</si>
  <si>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</si>
  <si>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</si>
  <si>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</si>
  <si>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</si>
  <si>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</si>
  <si>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</si>
  <si>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</si>
  <si>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</si>
  <si>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</si>
  <si>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</si>
  <si>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</si>
  <si>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</si>
  <si>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</si>
  <si>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</si>
  <si>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</si>
  <si>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</si>
  <si>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</si>
  <si>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</si>
  <si>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</si>
  <si>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</si>
  <si>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</si>
  <si>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</si>
  <si>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</si>
  <si>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</si>
  <si>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</si>
  <si>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</si>
  <si>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</si>
  <si>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</si>
  <si>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</si>
  <si>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</si>
  <si>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</si>
  <si>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</si>
  <si>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</si>
  <si>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</si>
  <si>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</si>
  <si>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</si>
  <si>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</si>
  <si>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</si>
  <si>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</si>
  <si>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</si>
  <si>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</si>
  <si>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</si>
  <si>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</si>
  <si>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</si>
  <si>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</si>
  <si>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</si>
  <si>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</si>
  <si>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</si>
  <si>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</si>
  <si>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</si>
  <si>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</si>
  <si>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</si>
  <si>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</si>
  <si>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</si>
  <si>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</si>
  <si>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</si>
  <si>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</si>
  <si>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</si>
  <si>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</si>
  <si>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</si>
  <si>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</si>
  <si>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</si>
  <si>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</si>
  <si>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</si>
  <si>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</si>
  <si>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</si>
  <si>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</si>
  <si>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</si>
  <si>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</si>
  <si>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</si>
  <si>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</si>
  <si>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</si>
  <si>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</si>
  <si>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</si>
  <si>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</si>
  <si>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</si>
  <si>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</si>
  <si>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</si>
  <si>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</si>
  <si>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</si>
  <si>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</si>
  <si>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</si>
  <si>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</si>
  <si>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</si>
  <si>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</si>
  <si>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</si>
  <si>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</si>
  <si>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</si>
  <si>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</si>
  <si>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</si>
  <si>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</si>
  <si>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</si>
  <si>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</si>
  <si>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</si>
  <si>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</si>
  <si>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</si>
  <si>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</si>
  <si>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</si>
  <si>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</si>
  <si>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</si>
  <si>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</si>
  <si>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</si>
  <si>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</si>
  <si>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</si>
  <si>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</si>
  <si>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</si>
  <si>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</si>
  <si>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</si>
  <si>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</si>
  <si>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</si>
  <si>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</si>
  <si>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</si>
  <si>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</si>
  <si>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</si>
  <si>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</si>
  <si>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</si>
  <si>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</si>
  <si>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</si>
  <si>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</si>
  <si>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</si>
  <si>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</si>
  <si>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</si>
  <si>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</si>
  <si>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</si>
  <si>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</si>
  <si>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</si>
  <si>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</si>
  <si>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</si>
  <si>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</si>
  <si>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</si>
  <si>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</si>
  <si>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</si>
  <si>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</si>
  <si>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</si>
  <si>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</si>
  <si>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</si>
  <si>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</si>
  <si>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</si>
  <si>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</si>
  <si>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</si>
  <si>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</si>
  <si>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</si>
  <si>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</si>
  <si>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</si>
  <si>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</si>
  <si>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</si>
  <si>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</si>
  <si>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</si>
  <si>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</si>
  <si>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</si>
  <si>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</si>
  <si>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</si>
  <si>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</si>
  <si>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</si>
  <si>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</si>
  <si>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</si>
  <si>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</si>
  <si>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</si>
  <si>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</si>
  <si>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</si>
  <si>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</si>
  <si>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</si>
  <si>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</si>
  <si>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</si>
  <si>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</si>
  <si>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</si>
  <si>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</si>
  <si>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</si>
  <si>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</si>
  <si>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</si>
  <si>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</si>
  <si>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</si>
  <si>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</si>
  <si>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</si>
  <si>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</si>
  <si>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</si>
  <si>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</si>
  <si>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</si>
  <si>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</si>
  <si>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</si>
  <si>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</si>
  <si>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</si>
  <si>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</si>
  <si>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</si>
  <si>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</si>
  <si>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</si>
  <si>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</si>
  <si>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</si>
  <si>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</si>
  <si>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</si>
  <si>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</si>
  <si>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</si>
  <si>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</si>
  <si>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</si>
  <si>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</si>
  <si>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</si>
  <si>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SURRY SCHOOL DISTRICT SAU 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</si>
</sst>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8"/>
      <color rgb="FF000000"/>
      <name val="Tahoma"/>
      <family val="2"/>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5" zoomScaleNormal="125" workbookViewId="0">
      <pane xSplit="5" ySplit="3" topLeftCell="F645" activePane="bottomRight" state="frozen"/>
      <selection pane="topRight" activeCell="F1" sqref="F1"/>
      <selection pane="bottomLeft" activeCell="A4" sqref="A4"/>
      <selection pane="bottomRight" activeCell="I670" sqref="I670"/>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519</v>
      </c>
      <c r="C2" s="21">
        <v>519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740626</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20439</v>
      </c>
      <c r="G13" s="18"/>
      <c r="H13" s="18"/>
      <c r="I13" s="18"/>
      <c r="J13" s="67">
        <f>SUM(I443)</f>
        <v>608841</v>
      </c>
      <c r="K13" s="24" t="s">
        <v>288</v>
      </c>
      <c r="L13" s="24" t="s">
        <v>288</v>
      </c>
      <c r="M13" s="8"/>
      <c r="N13" s="266"/>
    </row>
    <row r="14" spans="1:14" s="3" customFormat="1" ht="12.2" customHeight="1" x14ac:dyDescent="0.15">
      <c r="A14" s="1" t="s">
        <v>565</v>
      </c>
      <c r="B14" s="2" t="s">
        <v>289</v>
      </c>
      <c r="C14" s="6">
        <v>6</v>
      </c>
      <c r="D14" s="2" t="s">
        <v>428</v>
      </c>
      <c r="E14" s="6">
        <v>150</v>
      </c>
      <c r="F14" s="18">
        <v>33379</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v>5078</v>
      </c>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799522</v>
      </c>
      <c r="G19" s="41">
        <f>SUM(G9:G18)</f>
        <v>0</v>
      </c>
      <c r="H19" s="41">
        <f>SUM(H9:H18)</f>
        <v>0</v>
      </c>
      <c r="I19" s="41">
        <f>SUM(I9:I18)</f>
        <v>0</v>
      </c>
      <c r="J19" s="41">
        <f>SUM(J9:J18)</f>
        <v>608841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5000</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5000</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608841</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794522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794522</v>
      </c>
      <c r="G51" s="41">
        <f>SUM(G35:G50)</f>
        <v>0</v>
      </c>
      <c r="H51" s="41">
        <f>SUM(H35:H50)</f>
        <v>0</v>
      </c>
      <c r="I51" s="41">
        <f>SUM(I35:I50)</f>
        <v>0</v>
      </c>
      <c r="J51" s="41">
        <f>SUM(J35:J50)</f>
        <v>608841</v>
      </c>
      <c r="K51" s="45" t="s">
        <v>288</v>
      </c>
      <c r="L51" s="45" t="s">
        <v>288</v>
      </c>
      <c r="N51" s="264"/>
    </row>
    <row r="52" spans="1:14" s="3" customFormat="1" ht="12.2" customHeight="1" thickTop="1" x14ac:dyDescent="0.15">
      <c r="A52" s="38" t="s">
        <v>455</v>
      </c>
      <c r="B52" s="39" t="s">
        <v>289</v>
      </c>
      <c r="C52" s="6">
        <v>37</v>
      </c>
      <c r="D52" s="39" t="s">
        <v>653</v>
      </c>
      <c r="E52" s="39"/>
      <c r="F52" s="41">
        <f>F51+F32</f>
        <v>799522</v>
      </c>
      <c r="G52" s="41">
        <f>G51+G32</f>
        <v>0</v>
      </c>
      <c r="H52" s="41">
        <f>H51+H32</f>
        <v>0</v>
      </c>
      <c r="I52" s="41">
        <f>I51+I32</f>
        <v>0</v>
      </c>
      <c r="J52" s="41">
        <f>J51+J32</f>
        <v>608841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1745619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1745619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v>
      </c>
      <c r="G96" s="18"/>
      <c r="H96" s="18"/>
      <c r="I96" s="18"/>
      <c r="J96" s="18">
        <f>74705+14842</f>
        <v>89547</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v>
      </c>
      <c r="G111" s="41">
        <f>SUM(G96:G110)</f>
        <v>0</v>
      </c>
      <c r="H111" s="41">
        <f>SUM(H96:H110)</f>
        <v>0</v>
      </c>
      <c r="I111" s="41">
        <f>SUM(I96:I110)</f>
        <v>0</v>
      </c>
      <c r="J111" s="41">
        <f>SUM(J96:J110)</f>
        <v>89547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1745622</v>
      </c>
      <c r="G112" s="41">
        <f>G60+G111</f>
        <v>0</v>
      </c>
      <c r="H112" s="41">
        <f>H60+H79+H94+H111</f>
        <v>0</v>
      </c>
      <c r="I112" s="41">
        <f>I60+I111</f>
        <v>0</v>
      </c>
      <c r="J112" s="41">
        <f>J60+J111</f>
        <v>89547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505933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161811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5986</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673730</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673730</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v>44159</v>
      </c>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v>22400</v>
      </c>
      <c r="G162" s="24" t="s">
        <v>288</v>
      </c>
      <c r="H162" s="18"/>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66559</v>
      </c>
      <c r="G163" s="41">
        <f>SUM(G150:G162)</f>
        <v>0</v>
      </c>
      <c r="H163" s="41">
        <f>SUM(H150:H162)</f>
        <v>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66559</v>
      </c>
      <c r="G170" s="41">
        <f>G147+G163+SUM(G164:G169)</f>
        <v>0</v>
      </c>
      <c r="H170" s="41">
        <f>H147+H163+SUM(H164:H169)</f>
        <v>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2485911</v>
      </c>
      <c r="G194" s="47">
        <f>G112+G140+G170+G193</f>
        <v>0</v>
      </c>
      <c r="H194" s="47">
        <f>H112+H140+H170+H193</f>
        <v>0</v>
      </c>
      <c r="I194" s="47">
        <f>I112+I140+I170+I193</f>
        <v>0</v>
      </c>
      <c r="J194" s="47">
        <f>J112+J140+J193</f>
        <v>89547</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c r="G198" s="18"/>
      <c r="H198" s="18">
        <v>659947</v>
      </c>
      <c r="I198" s="18"/>
      <c r="J198" s="18"/>
      <c r="K198" s="18"/>
      <c r="L198" s="19">
        <f>SUM(F198:K198)</f>
        <v>659947</v>
      </c>
      <c r="M198" s="8"/>
      <c r="N198" s="266"/>
    </row>
    <row r="199" spans="1:14" s="3" customFormat="1" ht="12.2" customHeight="1" x14ac:dyDescent="0.15">
      <c r="A199" s="1" t="s">
        <v>439</v>
      </c>
      <c r="B199" s="2" t="s">
        <v>341</v>
      </c>
      <c r="C199" s="2" t="s">
        <v>291</v>
      </c>
      <c r="D199" s="2" t="s">
        <v>431</v>
      </c>
      <c r="E199" s="6">
        <v>1200</v>
      </c>
      <c r="F199" s="18"/>
      <c r="G199" s="18"/>
      <c r="H199" s="18">
        <v>205340</v>
      </c>
      <c r="I199" s="18"/>
      <c r="J199" s="18"/>
      <c r="K199" s="18"/>
      <c r="L199" s="19">
        <f>SUM(F199:K199)</f>
        <v>205340</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6"/>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6"/>
    </row>
    <row r="205" spans="1:14" s="3" customFormat="1" ht="12.2" customHeight="1" x14ac:dyDescent="0.15">
      <c r="A205" s="1" t="s">
        <v>444</v>
      </c>
      <c r="B205" s="2" t="s">
        <v>341</v>
      </c>
      <c r="C205" s="2" t="s">
        <v>296</v>
      </c>
      <c r="D205" s="2" t="s">
        <v>431</v>
      </c>
      <c r="E205" s="6">
        <v>2300</v>
      </c>
      <c r="F205" s="18"/>
      <c r="G205" s="18"/>
      <c r="H205" s="18">
        <v>20718</v>
      </c>
      <c r="I205" s="18"/>
      <c r="J205" s="18"/>
      <c r="K205" s="18"/>
      <c r="L205" s="19">
        <f t="shared" si="0"/>
        <v>20718</v>
      </c>
      <c r="M205" s="8"/>
      <c r="N205" s="266"/>
    </row>
    <row r="206" spans="1:14" s="3" customFormat="1" ht="12.2" customHeight="1" x14ac:dyDescent="0.15">
      <c r="A206" s="1" t="s">
        <v>445</v>
      </c>
      <c r="B206" s="2" t="s">
        <v>341</v>
      </c>
      <c r="C206" s="2" t="s">
        <v>297</v>
      </c>
      <c r="D206" s="2" t="s">
        <v>431</v>
      </c>
      <c r="E206" s="6">
        <v>2400</v>
      </c>
      <c r="F206" s="18"/>
      <c r="G206" s="18"/>
      <c r="H206" s="18">
        <v>3008</v>
      </c>
      <c r="I206" s="18"/>
      <c r="J206" s="18"/>
      <c r="K206" s="18"/>
      <c r="L206" s="19">
        <f t="shared" si="0"/>
        <v>3008</v>
      </c>
      <c r="M206" s="8"/>
      <c r="N206" s="266"/>
    </row>
    <row r="207" spans="1:14" s="3" customFormat="1" ht="12.2" customHeight="1" x14ac:dyDescent="0.15">
      <c r="A207" s="1" t="s">
        <v>446</v>
      </c>
      <c r="B207" s="2" t="s">
        <v>341</v>
      </c>
      <c r="C207" s="2" t="s">
        <v>298</v>
      </c>
      <c r="D207" s="2" t="s">
        <v>431</v>
      </c>
      <c r="E207" s="6">
        <v>2500</v>
      </c>
      <c r="F207" s="18"/>
      <c r="G207" s="18"/>
      <c r="H207" s="18">
        <v>1911</v>
      </c>
      <c r="I207" s="18"/>
      <c r="J207" s="18"/>
      <c r="K207" s="18"/>
      <c r="L207" s="19">
        <f t="shared" si="0"/>
        <v>1911</v>
      </c>
      <c r="M207" s="8"/>
      <c r="N207" s="266"/>
    </row>
    <row r="208" spans="1:14" s="3" customFormat="1" ht="12.2" customHeight="1" x14ac:dyDescent="0.15">
      <c r="A208" s="1" t="s">
        <v>447</v>
      </c>
      <c r="B208" s="2" t="s">
        <v>341</v>
      </c>
      <c r="C208" s="2" t="s">
        <v>299</v>
      </c>
      <c r="D208" s="2" t="s">
        <v>431</v>
      </c>
      <c r="E208" s="6">
        <v>2600</v>
      </c>
      <c r="F208" s="18"/>
      <c r="G208" s="18"/>
      <c r="H208" s="18">
        <v>14405</v>
      </c>
      <c r="I208" s="18"/>
      <c r="J208" s="18"/>
      <c r="K208" s="18"/>
      <c r="L208" s="19">
        <f t="shared" si="0"/>
        <v>14405</v>
      </c>
      <c r="M208" s="8"/>
      <c r="N208" s="266"/>
    </row>
    <row r="209" spans="1:14" s="3" customFormat="1" ht="12.2" customHeight="1" x14ac:dyDescent="0.15">
      <c r="A209" s="1" t="s">
        <v>448</v>
      </c>
      <c r="B209" s="2" t="s">
        <v>341</v>
      </c>
      <c r="C209" s="2" t="s">
        <v>300</v>
      </c>
      <c r="D209" s="2" t="s">
        <v>431</v>
      </c>
      <c r="E209" s="6">
        <v>2700</v>
      </c>
      <c r="F209" s="18"/>
      <c r="G209" s="18"/>
      <c r="H209" s="18">
        <v>39722</v>
      </c>
      <c r="I209" s="18"/>
      <c r="J209" s="18"/>
      <c r="K209" s="18"/>
      <c r="L209" s="19">
        <f t="shared" si="0"/>
        <v>39722</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945051</v>
      </c>
      <c r="I212" s="41">
        <f t="shared" si="1"/>
        <v>0</v>
      </c>
      <c r="J212" s="41">
        <f t="shared" si="1"/>
        <v>0</v>
      </c>
      <c r="K212" s="41">
        <f t="shared" si="1"/>
        <v>0</v>
      </c>
      <c r="L212" s="41">
        <f t="shared" si="1"/>
        <v>945051</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250780</v>
      </c>
      <c r="I216" s="18"/>
      <c r="J216" s="18"/>
      <c r="K216" s="18"/>
      <c r="L216" s="19">
        <f>SUM(F216:K216)</f>
        <v>250780</v>
      </c>
      <c r="M216" s="8"/>
      <c r="N216" s="266"/>
    </row>
    <row r="217" spans="1:14" s="3" customFormat="1" ht="12.2" customHeight="1" x14ac:dyDescent="0.15">
      <c r="A217" s="1" t="s">
        <v>439</v>
      </c>
      <c r="B217" s="2" t="s">
        <v>346</v>
      </c>
      <c r="C217" s="2" t="s">
        <v>291</v>
      </c>
      <c r="D217" s="2" t="s">
        <v>431</v>
      </c>
      <c r="E217" s="6">
        <v>1200</v>
      </c>
      <c r="F217" s="18"/>
      <c r="G217" s="18"/>
      <c r="H217" s="18">
        <v>78029</v>
      </c>
      <c r="I217" s="18"/>
      <c r="J217" s="18"/>
      <c r="K217" s="18"/>
      <c r="L217" s="19">
        <f>SUM(F217:K217)</f>
        <v>78029</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v>7873</v>
      </c>
      <c r="I223" s="18"/>
      <c r="J223" s="18"/>
      <c r="K223" s="18"/>
      <c r="L223" s="19">
        <f t="shared" si="2"/>
        <v>7873</v>
      </c>
      <c r="M223" s="8"/>
      <c r="N223" s="266"/>
    </row>
    <row r="224" spans="1:14" s="3" customFormat="1" ht="12.2" customHeight="1" x14ac:dyDescent="0.15">
      <c r="A224" s="1" t="s">
        <v>445</v>
      </c>
      <c r="B224" s="2" t="s">
        <v>346</v>
      </c>
      <c r="C224" s="2" t="s">
        <v>297</v>
      </c>
      <c r="D224" s="2" t="s">
        <v>431</v>
      </c>
      <c r="E224" s="6">
        <v>2400</v>
      </c>
      <c r="F224" s="18"/>
      <c r="G224" s="18"/>
      <c r="H224" s="18">
        <v>1143</v>
      </c>
      <c r="I224" s="18"/>
      <c r="J224" s="18"/>
      <c r="K224" s="18"/>
      <c r="L224" s="19">
        <f t="shared" si="2"/>
        <v>1143</v>
      </c>
      <c r="M224" s="8"/>
      <c r="N224" s="266"/>
    </row>
    <row r="225" spans="1:14" s="3" customFormat="1" ht="12.2" customHeight="1" x14ac:dyDescent="0.15">
      <c r="A225" s="1" t="s">
        <v>446</v>
      </c>
      <c r="B225" s="2" t="s">
        <v>346</v>
      </c>
      <c r="C225" s="2" t="s">
        <v>298</v>
      </c>
      <c r="D225" s="2" t="s">
        <v>431</v>
      </c>
      <c r="E225" s="6">
        <v>2500</v>
      </c>
      <c r="F225" s="18"/>
      <c r="G225" s="18"/>
      <c r="H225" s="18">
        <v>726</v>
      </c>
      <c r="I225" s="18"/>
      <c r="J225" s="18"/>
      <c r="K225" s="18"/>
      <c r="L225" s="19">
        <f t="shared" si="2"/>
        <v>726</v>
      </c>
      <c r="M225" s="8"/>
      <c r="N225" s="266"/>
    </row>
    <row r="226" spans="1:14" s="3" customFormat="1" ht="12.2" customHeight="1" x14ac:dyDescent="0.15">
      <c r="A226" s="1" t="s">
        <v>447</v>
      </c>
      <c r="B226" s="2" t="s">
        <v>346</v>
      </c>
      <c r="C226" s="2" t="s">
        <v>299</v>
      </c>
      <c r="D226" s="2" t="s">
        <v>431</v>
      </c>
      <c r="E226" s="6">
        <v>2600</v>
      </c>
      <c r="F226" s="18"/>
      <c r="G226" s="18"/>
      <c r="H226" s="18">
        <v>5474</v>
      </c>
      <c r="I226" s="18"/>
      <c r="J226" s="18"/>
      <c r="K226" s="18"/>
      <c r="L226" s="19">
        <f t="shared" si="2"/>
        <v>5474</v>
      </c>
      <c r="M226" s="8"/>
      <c r="N226" s="266"/>
    </row>
    <row r="227" spans="1:14" s="3" customFormat="1" ht="12.2" customHeight="1" x14ac:dyDescent="0.15">
      <c r="A227" s="1" t="s">
        <v>448</v>
      </c>
      <c r="B227" s="2" t="s">
        <v>346</v>
      </c>
      <c r="C227" s="2" t="s">
        <v>300</v>
      </c>
      <c r="D227" s="2" t="s">
        <v>431</v>
      </c>
      <c r="E227" s="6">
        <v>2700</v>
      </c>
      <c r="F227" s="18"/>
      <c r="G227" s="18"/>
      <c r="H227" s="18">
        <v>15094</v>
      </c>
      <c r="I227" s="18"/>
      <c r="J227" s="18"/>
      <c r="K227" s="18"/>
      <c r="L227" s="19">
        <f t="shared" si="2"/>
        <v>15094</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359119</v>
      </c>
      <c r="I230" s="41">
        <f>SUM(I216:I229)</f>
        <v>0</v>
      </c>
      <c r="J230" s="41">
        <f>SUM(J216:J229)</f>
        <v>0</v>
      </c>
      <c r="K230" s="41">
        <f t="shared" si="3"/>
        <v>0</v>
      </c>
      <c r="L230" s="41">
        <f t="shared" si="3"/>
        <v>359119</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409166</v>
      </c>
      <c r="I234" s="18"/>
      <c r="J234" s="18"/>
      <c r="K234" s="18"/>
      <c r="L234" s="19">
        <f>SUM(F234:K234)</f>
        <v>409166</v>
      </c>
      <c r="M234" s="8"/>
      <c r="N234" s="266"/>
    </row>
    <row r="235" spans="1:14" s="3" customFormat="1" ht="12.2" customHeight="1" x14ac:dyDescent="0.15">
      <c r="A235" s="1" t="s">
        <v>439</v>
      </c>
      <c r="B235" s="2" t="s">
        <v>350</v>
      </c>
      <c r="C235" s="2" t="s">
        <v>291</v>
      </c>
      <c r="D235" s="2" t="s">
        <v>431</v>
      </c>
      <c r="E235" s="6">
        <v>1200</v>
      </c>
      <c r="F235" s="18"/>
      <c r="G235" s="18"/>
      <c r="H235" s="18">
        <v>127310</v>
      </c>
      <c r="I235" s="18"/>
      <c r="J235" s="18"/>
      <c r="K235" s="18"/>
      <c r="L235" s="19">
        <f>SUM(F235:K235)</f>
        <v>127310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v>12845</v>
      </c>
      <c r="I241" s="18"/>
      <c r="J241" s="18"/>
      <c r="K241" s="18"/>
      <c r="L241" s="19">
        <f t="shared" si="4"/>
        <v>12845</v>
      </c>
      <c r="M241" s="8"/>
      <c r="N241" s="266"/>
    </row>
    <row r="242" spans="1:14" s="3" customFormat="1" ht="12.2" customHeight="1" x14ac:dyDescent="0.15">
      <c r="A242" s="1" t="s">
        <v>445</v>
      </c>
      <c r="B242" s="2" t="s">
        <v>350</v>
      </c>
      <c r="C242" s="2" t="s">
        <v>297</v>
      </c>
      <c r="D242" s="2" t="s">
        <v>431</v>
      </c>
      <c r="E242" s="6">
        <v>2400</v>
      </c>
      <c r="F242" s="18"/>
      <c r="G242" s="18"/>
      <c r="H242" s="18">
        <v>1865</v>
      </c>
      <c r="I242" s="18"/>
      <c r="J242" s="18"/>
      <c r="K242" s="18"/>
      <c r="L242" s="19">
        <f t="shared" si="4"/>
        <v>1865</v>
      </c>
      <c r="M242" s="8"/>
      <c r="N242" s="266"/>
    </row>
    <row r="243" spans="1:14" s="3" customFormat="1" ht="12.2" customHeight="1" x14ac:dyDescent="0.15">
      <c r="A243" s="1" t="s">
        <v>446</v>
      </c>
      <c r="B243" s="2" t="s">
        <v>350</v>
      </c>
      <c r="C243" s="2" t="s">
        <v>298</v>
      </c>
      <c r="D243" s="2" t="s">
        <v>431</v>
      </c>
      <c r="E243" s="6">
        <v>2500</v>
      </c>
      <c r="F243" s="18"/>
      <c r="G243" s="18"/>
      <c r="H243" s="18">
        <v>1185</v>
      </c>
      <c r="I243" s="18"/>
      <c r="J243" s="18"/>
      <c r="K243" s="18"/>
      <c r="L243" s="19">
        <f t="shared" si="4"/>
        <v>1185</v>
      </c>
      <c r="M243" s="8"/>
      <c r="N243" s="266"/>
    </row>
    <row r="244" spans="1:14" s="3" customFormat="1" ht="12.2" customHeight="1" x14ac:dyDescent="0.15">
      <c r="A244" s="1" t="s">
        <v>447</v>
      </c>
      <c r="B244" s="2" t="s">
        <v>350</v>
      </c>
      <c r="C244" s="2" t="s">
        <v>299</v>
      </c>
      <c r="D244" s="2" t="s">
        <v>431</v>
      </c>
      <c r="E244" s="6">
        <v>2600</v>
      </c>
      <c r="F244" s="18"/>
      <c r="G244" s="18"/>
      <c r="H244" s="18">
        <v>8930</v>
      </c>
      <c r="I244" s="18"/>
      <c r="J244" s="18"/>
      <c r="K244" s="18"/>
      <c r="L244" s="19">
        <f t="shared" si="4"/>
        <v>8930</v>
      </c>
      <c r="M244" s="8"/>
      <c r="N244" s="266"/>
    </row>
    <row r="245" spans="1:14" s="3" customFormat="1" ht="12.2" customHeight="1" x14ac:dyDescent="0.15">
      <c r="A245" s="1" t="s">
        <v>448</v>
      </c>
      <c r="B245" s="2" t="s">
        <v>350</v>
      </c>
      <c r="C245" s="2" t="s">
        <v>300</v>
      </c>
      <c r="D245" s="2" t="s">
        <v>431</v>
      </c>
      <c r="E245" s="6">
        <v>2700</v>
      </c>
      <c r="F245" s="18"/>
      <c r="G245" s="18"/>
      <c r="H245" s="18">
        <v>24628</v>
      </c>
      <c r="I245" s="18"/>
      <c r="J245" s="18"/>
      <c r="K245" s="18"/>
      <c r="L245" s="19">
        <f t="shared" si="4"/>
        <v>24628</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585929</v>
      </c>
      <c r="I248" s="41">
        <f t="shared" si="5"/>
        <v>0</v>
      </c>
      <c r="J248" s="41">
        <f t="shared" si="5"/>
        <v>0</v>
      </c>
      <c r="K248" s="41">
        <f t="shared" si="5"/>
        <v>0</v>
      </c>
      <c r="L248" s="41">
        <f t="shared" si="5"/>
        <v>585929</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0</v>
      </c>
      <c r="G258" s="41">
        <f t="shared" si="8"/>
        <v>0</v>
      </c>
      <c r="H258" s="41">
        <f t="shared" si="8"/>
        <v>1890099</v>
      </c>
      <c r="I258" s="41">
        <f t="shared" si="8"/>
        <v>0</v>
      </c>
      <c r="J258" s="41">
        <f t="shared" si="8"/>
        <v>0</v>
      </c>
      <c r="K258" s="41">
        <f t="shared" si="8"/>
        <v>0</v>
      </c>
      <c r="L258" s="41">
        <f t="shared" si="8"/>
        <v>1890099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0</v>
      </c>
      <c r="L271" s="41">
        <f t="shared" si="9"/>
        <v>0</v>
      </c>
      <c r="M271" s="8"/>
      <c r="N271" s="266"/>
    </row>
    <row r="272" spans="1:14" s="34" customFormat="1" ht="12.2" customHeight="1" thickTop="1" x14ac:dyDescent="0.2">
      <c r="A272" s="43" t="s">
        <v>464</v>
      </c>
      <c r="B272" s="40">
        <v>10</v>
      </c>
      <c r="C272" s="40">
        <v>18</v>
      </c>
      <c r="D272" s="39" t="s">
        <v>431</v>
      </c>
      <c r="E272" s="40"/>
      <c r="F272" s="42">
        <f t="shared" ref="F272:L272" si="11">F258+F271</f>
        <v>0</v>
      </c>
      <c r="G272" s="42">
        <f t="shared" si="11"/>
        <v>0</v>
      </c>
      <c r="H272" s="42">
        <f t="shared" si="11"/>
        <v>1890099</v>
      </c>
      <c r="I272" s="42">
        <f t="shared" si="11"/>
        <v>0</v>
      </c>
      <c r="J272" s="42">
        <f t="shared" si="11"/>
        <v>0</v>
      </c>
      <c r="K272" s="42">
        <f t="shared" si="11"/>
        <v>0</v>
      </c>
      <c r="L272" s="42">
        <f t="shared" si="11"/>
        <v>1890099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14842</v>
      </c>
      <c r="I397" s="18"/>
      <c r="J397" s="24" t="s">
        <v>288</v>
      </c>
      <c r="K397" s="24" t="s">
        <v>288</v>
      </c>
      <c r="L397" s="56">
        <f t="shared" si="26"/>
        <v>14842</v>
      </c>
      <c r="M397" s="8"/>
      <c r="N397" s="266"/>
    </row>
    <row r="398" spans="1:14" s="3" customFormat="1" ht="12.2" customHeight="1" x14ac:dyDescent="0.15">
      <c r="A398" s="79" t="s">
        <v>515</v>
      </c>
      <c r="B398" s="2" t="s">
        <v>381</v>
      </c>
      <c r="C398" s="6">
        <v>10</v>
      </c>
      <c r="D398" s="2" t="s">
        <v>432</v>
      </c>
      <c r="E398" s="6"/>
      <c r="F398" s="18"/>
      <c r="G398" s="18"/>
      <c r="H398" s="18">
        <v>74705</v>
      </c>
      <c r="I398" s="18"/>
      <c r="J398" s="24" t="s">
        <v>288</v>
      </c>
      <c r="K398" s="24" t="s">
        <v>288</v>
      </c>
      <c r="L398" s="56">
        <f t="shared" si="26"/>
        <v>74705</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89547</v>
      </c>
      <c r="I402" s="47">
        <f>SUM(I396:I401)</f>
        <v>0</v>
      </c>
      <c r="J402" s="45" t="s">
        <v>288</v>
      </c>
      <c r="K402" s="45" t="s">
        <v>288</v>
      </c>
      <c r="L402" s="47">
        <f>SUM(L396:L401)</f>
        <v>89547</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89547</v>
      </c>
      <c r="I409" s="47">
        <f>I394+I402+I408</f>
        <v>0</v>
      </c>
      <c r="J409" s="24" t="s">
        <v>288</v>
      </c>
      <c r="K409" s="24" t="s">
        <v>288</v>
      </c>
      <c r="L409" s="47">
        <f>L394+L402+L408</f>
        <v>89547</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504473.23</v>
      </c>
      <c r="G443" s="18">
        <v>104367.77</v>
      </c>
      <c r="H443" s="18"/>
      <c r="I443" s="56">
        <f t="shared" si="33"/>
        <v>608841</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504473.23</v>
      </c>
      <c r="G447" s="13">
        <f>SUM(G440:G446)</f>
        <v>104367.77</v>
      </c>
      <c r="H447" s="13">
        <f>SUM(H440:H446)</f>
        <v>0</v>
      </c>
      <c r="I447" s="13">
        <f>SUM(I440:I446)</f>
        <v>608841</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v>504473.23</v>
      </c>
      <c r="G457" s="18">
        <v>104367.77</v>
      </c>
      <c r="H457" s="18"/>
      <c r="I457" s="56">
        <f t="shared" si="34"/>
        <v>608841</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504473.23</v>
      </c>
      <c r="G461" s="83">
        <f>SUM(G455:G460)</f>
        <v>104367.77</v>
      </c>
      <c r="H461" s="83">
        <f>SUM(H455:H460)</f>
        <v>0</v>
      </c>
      <c r="I461" s="83">
        <f>SUM(I455:I460)</f>
        <v>608841</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504473.23</v>
      </c>
      <c r="G462" s="42">
        <f>G453+G461</f>
        <v>104367.77</v>
      </c>
      <c r="H462" s="42">
        <f>H453+H461</f>
        <v>0</v>
      </c>
      <c r="I462" s="42">
        <f>I453+I461</f>
        <v>608841</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198710</v>
      </c>
      <c r="G466" s="18"/>
      <c r="H466" s="18"/>
      <c r="I466" s="18"/>
      <c r="J466" s="18">
        <f>530926.19-11632.19</f>
        <v>519293.99999999994</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2485911</v>
      </c>
      <c r="G469" s="18"/>
      <c r="H469" s="18"/>
      <c r="I469" s="18"/>
      <c r="J469" s="18">
        <f>74705+14842</f>
        <v>89547</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2485911</v>
      </c>
      <c r="G471" s="53">
        <f>SUM(G469:G470)</f>
        <v>0</v>
      </c>
      <c r="H471" s="53">
        <f>SUM(H469:H470)</f>
        <v>0</v>
      </c>
      <c r="I471" s="53">
        <f>SUM(I469:I470)</f>
        <v>0</v>
      </c>
      <c r="J471" s="53">
        <f>SUM(J469:J470)</f>
        <v>89547</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1890099</v>
      </c>
      <c r="G473" s="18"/>
      <c r="H473" s="18"/>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1890099</v>
      </c>
      <c r="G475" s="53">
        <f>SUM(G473:G474)</f>
        <v>0</v>
      </c>
      <c r="H475" s="53">
        <f>SUM(H473:H474)</f>
        <v>0</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794522</v>
      </c>
      <c r="G477" s="53">
        <f>(G466+G471)- G475</f>
        <v>0</v>
      </c>
      <c r="H477" s="53">
        <f>(H466+H471)- H475</f>
        <v>0</v>
      </c>
      <c r="I477" s="53">
        <f>(I466+I471)- I475</f>
        <v>0</v>
      </c>
      <c r="J477" s="53">
        <f>(J466+J471)- J475</f>
        <v>608841</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c r="G522" s="18"/>
      <c r="H522" s="18">
        <v>205340</v>
      </c>
      <c r="I522" s="18"/>
      <c r="J522" s="18"/>
      <c r="K522" s="18"/>
      <c r="L522" s="88">
        <f>SUM(F522:K522)</f>
        <v>205340</v>
      </c>
      <c r="N522" s="265"/>
    </row>
    <row r="523" spans="1:14" s="52" customFormat="1" ht="12.2" customHeight="1" x14ac:dyDescent="0.2">
      <c r="A523" s="22" t="s">
        <v>634</v>
      </c>
      <c r="B523" s="105">
        <v>21</v>
      </c>
      <c r="C523" s="115">
        <v>2</v>
      </c>
      <c r="D523" s="2" t="s">
        <v>432</v>
      </c>
      <c r="E523" s="115"/>
      <c r="F523" s="18"/>
      <c r="G523" s="18"/>
      <c r="H523" s="18">
        <v>78029</v>
      </c>
      <c r="I523" s="18"/>
      <c r="J523" s="18"/>
      <c r="K523" s="18"/>
      <c r="L523" s="88">
        <f>SUM(F523:K523)</f>
        <v>78029</v>
      </c>
      <c r="N523" s="265"/>
    </row>
    <row r="524" spans="1:14" s="52" customFormat="1" ht="12.2" customHeight="1" thickBot="1" x14ac:dyDescent="0.25">
      <c r="A524" s="22" t="s">
        <v>635</v>
      </c>
      <c r="B524" s="105">
        <v>21</v>
      </c>
      <c r="C524" s="115">
        <v>3</v>
      </c>
      <c r="D524" s="2" t="s">
        <v>432</v>
      </c>
      <c r="E524" s="115"/>
      <c r="F524" s="18"/>
      <c r="G524" s="18"/>
      <c r="H524" s="18">
        <v>410679</v>
      </c>
      <c r="I524" s="18"/>
      <c r="J524" s="18"/>
      <c r="K524" s="18"/>
      <c r="L524" s="88">
        <f>SUM(F524:K524)</f>
        <v>410679</v>
      </c>
      <c r="N524" s="265"/>
    </row>
    <row r="525" spans="1:14" s="52" customFormat="1" ht="12.2" customHeight="1" thickTop="1" x14ac:dyDescent="0.2">
      <c r="A525" s="139" t="s">
        <v>63</v>
      </c>
      <c r="B525" s="107">
        <v>21</v>
      </c>
      <c r="C525" s="195">
        <v>4</v>
      </c>
      <c r="D525" s="196" t="s">
        <v>432</v>
      </c>
      <c r="E525" s="195"/>
      <c r="F525" s="108">
        <f>SUM(F522:F524)</f>
        <v>0</v>
      </c>
      <c r="G525" s="108">
        <f t="shared" ref="G525:L525" si="36">SUM(G522:G524)</f>
        <v>0</v>
      </c>
      <c r="H525" s="108">
        <f t="shared" si="36"/>
        <v>694048</v>
      </c>
      <c r="I525" s="108">
        <f t="shared" si="36"/>
        <v>0</v>
      </c>
      <c r="J525" s="108">
        <f t="shared" si="36"/>
        <v>0</v>
      </c>
      <c r="K525" s="108">
        <f t="shared" si="36"/>
        <v>0</v>
      </c>
      <c r="L525" s="89">
        <f t="shared" si="36"/>
        <v>694048</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694048</v>
      </c>
      <c r="I546" s="89">
        <f t="shared" si="41"/>
        <v>0</v>
      </c>
      <c r="J546" s="89">
        <f t="shared" si="41"/>
        <v>0</v>
      </c>
      <c r="K546" s="89">
        <f t="shared" si="41"/>
        <v>0</v>
      </c>
      <c r="L546" s="89">
        <f t="shared" si="41"/>
        <v>694048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205340</v>
      </c>
      <c r="G550" s="87">
        <f>L527</f>
        <v>0</v>
      </c>
      <c r="H550" s="87">
        <f>L532</f>
        <v>0</v>
      </c>
      <c r="I550" s="87">
        <f>L537</f>
        <v>0</v>
      </c>
      <c r="J550" s="87">
        <f>L542</f>
        <v>0</v>
      </c>
      <c r="K550" s="87">
        <f>SUM(F550:J550)</f>
        <v>205340</v>
      </c>
      <c r="L550" s="24" t="s">
        <v>288</v>
      </c>
      <c r="M550" s="8"/>
      <c r="N550" s="266"/>
    </row>
    <row r="551" spans="1:14" s="3" customFormat="1" ht="12.2" customHeight="1" x14ac:dyDescent="0.15">
      <c r="A551" s="22" t="s">
        <v>634</v>
      </c>
      <c r="B551" s="75">
        <v>21</v>
      </c>
      <c r="C551" s="75">
        <v>23</v>
      </c>
      <c r="D551" s="2" t="s">
        <v>432</v>
      </c>
      <c r="E551" s="75"/>
      <c r="F551" s="87">
        <f>L523</f>
        <v>78029</v>
      </c>
      <c r="G551" s="87">
        <f>L528</f>
        <v>0</v>
      </c>
      <c r="H551" s="87">
        <f>L533</f>
        <v>0</v>
      </c>
      <c r="I551" s="87">
        <f>L538</f>
        <v>0</v>
      </c>
      <c r="J551" s="87">
        <f>L543</f>
        <v>0</v>
      </c>
      <c r="K551" s="87">
        <f>SUM(F551:J551)</f>
        <v>78029</v>
      </c>
      <c r="L551" s="24" t="s">
        <v>288</v>
      </c>
      <c r="M551" s="8"/>
      <c r="N551" s="266"/>
    </row>
    <row r="552" spans="1:14" s="3" customFormat="1" ht="12.2" customHeight="1" thickBot="1" x14ac:dyDescent="0.2">
      <c r="A552" s="22" t="s">
        <v>635</v>
      </c>
      <c r="B552" s="75">
        <v>21</v>
      </c>
      <c r="C552" s="75">
        <v>24</v>
      </c>
      <c r="D552" s="2" t="s">
        <v>432</v>
      </c>
      <c r="E552" s="75"/>
      <c r="F552" s="87">
        <f>L524</f>
        <v>410679</v>
      </c>
      <c r="G552" s="87">
        <f>L529</f>
        <v>0</v>
      </c>
      <c r="H552" s="87">
        <f>L534</f>
        <v>0</v>
      </c>
      <c r="I552" s="87">
        <f>L539</f>
        <v>0</v>
      </c>
      <c r="J552" s="87">
        <f>L544</f>
        <v>0</v>
      </c>
      <c r="K552" s="87">
        <f>SUM(F552:J552)</f>
        <v>410679</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694048</v>
      </c>
      <c r="G553" s="89">
        <f t="shared" si="42"/>
        <v>0</v>
      </c>
      <c r="H553" s="89">
        <f t="shared" si="42"/>
        <v>0</v>
      </c>
      <c r="I553" s="89">
        <f t="shared" si="42"/>
        <v>0</v>
      </c>
      <c r="J553" s="89">
        <f t="shared" si="42"/>
        <v>0</v>
      </c>
      <c r="K553" s="89">
        <f t="shared" si="42"/>
        <v>694048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t="s">
        <v>286</v>
      </c>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t="s">
        <v>286</v>
      </c>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t="s">
        <v>286</v>
      </c>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659947</v>
      </c>
      <c r="G576" s="18">
        <v>250780</v>
      </c>
      <c r="H576" s="18">
        <v>409166</v>
      </c>
      <c r="I576" s="87">
        <f>SUM(F576:H576)</f>
        <v>1319893</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205340</v>
      </c>
      <c r="G580" s="18">
        <v>78029</v>
      </c>
      <c r="H580" s="18">
        <v>127310</v>
      </c>
      <c r="I580" s="87">
        <f t="shared" si="47"/>
        <v>410679</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39722</v>
      </c>
      <c r="I592" s="18">
        <v>15094</v>
      </c>
      <c r="J592" s="18">
        <v>24628</v>
      </c>
      <c r="K592" s="104">
        <f t="shared" ref="K592:K598" si="48">SUM(H592:J592)</f>
        <v>79444</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39722</v>
      </c>
      <c r="I599" s="108">
        <f>SUM(I592:I598)</f>
        <v>15094</v>
      </c>
      <c r="J599" s="108">
        <f>SUM(J592:J598)</f>
        <v>24628</v>
      </c>
      <c r="K599" s="108">
        <f>SUM(K592:K598)</f>
        <v>79444</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799522</v>
      </c>
      <c r="H618" s="109">
        <f>SUM(F52)</f>
        <v>799522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608841</v>
      </c>
      <c r="H622" s="109">
        <f>SUM(J52)</f>
        <v>608841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794522</v>
      </c>
      <c r="H623" s="109">
        <f>F477</f>
        <v>794522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608841</v>
      </c>
      <c r="H627" s="109">
        <f>J477</f>
        <v>608841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2485911</v>
      </c>
      <c r="H628" s="104">
        <f>SUM(F469)</f>
        <v>2485911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89547</v>
      </c>
      <c r="H632" s="104">
        <f>SUM(J469)</f>
        <v>89547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1890099</v>
      </c>
      <c r="H633" s="104">
        <f>SUM(F473)</f>
        <v>1890099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89547</v>
      </c>
      <c r="H638" s="164">
        <f>SUM(J469)</f>
        <v>89547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504473.23</v>
      </c>
      <c r="H640" s="104">
        <f>SUM(F462)</f>
        <v>504473.23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104367.77</v>
      </c>
      <c r="H641" s="104">
        <f>SUM(G462)</f>
        <v>104367.77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608841</v>
      </c>
      <c r="H643" s="104">
        <f>SUM(I462)</f>
        <v>608841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89547</v>
      </c>
      <c r="H645" s="104">
        <f>H409</f>
        <v>89547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89547</v>
      </c>
      <c r="H647" s="104">
        <f>L409</f>
        <v>89547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79444</v>
      </c>
      <c r="H648" s="104">
        <f>L209+L227+L245</f>
        <v>79444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39722</v>
      </c>
      <c r="H650" s="104">
        <f>H599</f>
        <v>39722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15094</v>
      </c>
      <c r="H651" s="104">
        <f>I599</f>
        <v>15094</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24628</v>
      </c>
      <c r="H652" s="104">
        <f>J599</f>
        <v>24628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945051</v>
      </c>
      <c r="G661" s="19">
        <f>(L230+L310+L360)</f>
        <v>359119</v>
      </c>
      <c r="H661" s="19">
        <f>(L248+L329+L361)</f>
        <v>585929</v>
      </c>
      <c r="I661" s="19">
        <f>SUM(F661:H661)</f>
        <v>1890099</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39722</v>
      </c>
      <c r="G663" s="19">
        <f>(L227+L307)-(J227+J307)</f>
        <v>15094</v>
      </c>
      <c r="H663" s="19">
        <f>(L245+L326)-(J245+J326)</f>
        <v>24628</v>
      </c>
      <c r="I663" s="19">
        <f>SUM(F663:H663)</f>
        <v>79444</v>
      </c>
      <c r="J663"/>
      <c r="K663" s="13"/>
      <c r="L663" s="13"/>
      <c r="M663" s="9"/>
    </row>
    <row r="664" spans="1:13" s="3" customFormat="1" ht="12.2" customHeight="1" x14ac:dyDescent="0.15">
      <c r="A664" s="198" t="s">
        <v>129</v>
      </c>
      <c r="B664" s="169"/>
      <c r="C664" s="169"/>
      <c r="D664" s="169"/>
      <c r="E664" s="169"/>
      <c r="F664" s="199">
        <f>SUM(F576:F588)+SUM(H603:H605)+SUM(L612)</f>
        <v>865287</v>
      </c>
      <c r="G664" s="199">
        <f>SUM(G576:G588)+SUM(I603:I605)+L613</f>
        <v>328809</v>
      </c>
      <c r="H664" s="199">
        <f>SUM(H576:H588)+SUM(J603:J605)+L614</f>
        <v>536476</v>
      </c>
      <c r="I664" s="19">
        <f>SUM(F664:H664)</f>
        <v>1730572</v>
      </c>
      <c r="J664" s="13"/>
      <c r="K664" s="13"/>
      <c r="L664" s="13"/>
      <c r="M664" s="9"/>
    </row>
    <row r="665" spans="1:13" s="3" customFormat="1" ht="12.2" customHeight="1" x14ac:dyDescent="0.15">
      <c r="A665" s="1" t="s">
        <v>130</v>
      </c>
      <c r="F665" s="19">
        <f>F661-SUM(F662:F664)</f>
        <v>40042</v>
      </c>
      <c r="G665" s="19">
        <f>G661-SUM(G662:G664)</f>
        <v>15216</v>
      </c>
      <c r="H665" s="19">
        <f>H661-SUM(H662:H664)</f>
        <v>24825</v>
      </c>
      <c r="I665" s="19">
        <f>I661-SUM(I662:I664)</f>
        <v>80083</v>
      </c>
      <c r="J665" s="13"/>
      <c r="K665" s="13"/>
      <c r="L665" s="13"/>
      <c r="M665" s="8"/>
    </row>
    <row r="666" spans="1:13" s="3" customFormat="1" ht="12.2" customHeight="1" x14ac:dyDescent="0.2">
      <c r="A666" s="1" t="s">
        <v>131</v>
      </c>
      <c r="F666" s="246"/>
      <c r="G666" s="247"/>
      <c r="H666" s="247"/>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-40042</v>
      </c>
      <c r="G670" s="18">
        <v>-15216</v>
      </c>
      <c r="H670" s="18">
        <v>-24825</v>
      </c>
      <c r="I670" s="19">
        <f>SUM(F670:H670)</f>
        <v>-80083</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27" sqref="E27"/>
    </sheetView>
  </sheetViews>
  <sheetFormatPr defaultColWidth="9.1640625" defaultRowHeight="15" x14ac:dyDescent="0.25"/>
  <cols>
    <col min="1" max="2" width="9.1640625" style="342"/>
    <col min="3" max="3" width="154.5" style="342" customWidth="1"/>
    <col min="4" max="4" width="9.1640625" style="342"/>
    <col min="5" max="5" width="14.1640625" style="342" customWidth="1"/>
    <col min="6" max="7" width="9.1640625" style="342"/>
    <col min="8" max="8" width="23.1640625" style="342" customWidth="1"/>
    <col min="9" max="9" width="14.1640625" style="342" customWidth="1"/>
    <col min="10" max="16384" width="9.16406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22400</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11200</v>
      </c>
      <c r="F22" s="348"/>
    </row>
    <row r="23" spans="2:8" x14ac:dyDescent="0.25">
      <c r="B23" s="348"/>
      <c r="C23" s="348"/>
      <c r="D23" s="348"/>
      <c r="E23" s="348"/>
      <c r="F23" s="348"/>
    </row>
    <row r="24" spans="2:8" ht="26.25" customHeight="1" x14ac:dyDescent="0.25">
      <c r="B24" s="348"/>
      <c r="C24" s="350" t="s">
        <v>1661</v>
      </c>
      <c r="D24" s="348"/>
      <c r="E24" s="343">
        <v>4256</v>
      </c>
      <c r="F24" s="348"/>
    </row>
    <row r="25" spans="2:8" ht="18" x14ac:dyDescent="0.25">
      <c r="B25" s="348"/>
      <c r="C25" s="351"/>
      <c r="D25" s="348"/>
      <c r="E25" s="348"/>
      <c r="F25" s="348"/>
    </row>
    <row r="26" spans="2:8" ht="27.75" customHeight="1" x14ac:dyDescent="0.25">
      <c r="B26" s="348"/>
      <c r="C26" s="350" t="s">
        <v>1662</v>
      </c>
      <c r="D26" s="348"/>
      <c r="E26" s="343">
        <v>6944</v>
      </c>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c r="F30" s="348"/>
    </row>
    <row r="31" spans="2:8" x14ac:dyDescent="0.25">
      <c r="B31" s="348"/>
      <c r="C31" s="348"/>
      <c r="D31" s="348"/>
      <c r="E31" s="348"/>
      <c r="F31" s="348"/>
      <c r="H31" s="360" t="str">
        <f>IF(SUM(E7:E17)=(SUM(E22:E30)),"","Revenues and Expenditures do not match!!. Please correct.")</f>
        <v/>
      </c>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c r="C3" s="322"/>
      <c r="D3" s="322"/>
      <c r="E3" s="322"/>
      <c r="F3" s="322"/>
      <c r="G3" s="322"/>
      <c r="H3" s="322"/>
      <c r="I3" t="s">
        <v>1621</v>
      </c>
    </row>
    <row r="4" spans="1:9" x14ac:dyDescent="0.2">
      <c r="I4" t="s">
        <v>1622</v>
      </c>
    </row>
    <row r="5" spans="1:9" ht="15.75" x14ac:dyDescent="0.25">
      <c r="A5" s="318" t="s">
        <v>908</v>
      </c>
      <c r="B5" s="363" t="str">
        <f>'DOE25'!A2</f>
        <v>SURRY SCHOOL DISTRICT SAU 91</v>
      </c>
      <c r="C5" s="364"/>
      <c r="D5" s="364"/>
      <c r="E5" s="364"/>
      <c r="F5" s="364"/>
    </row>
    <row r="8" spans="1:9" ht="18" x14ac:dyDescent="0.25">
      <c r="A8" s="319" t="s">
        <v>1576</v>
      </c>
      <c r="F8" s="326" t="s">
        <v>1594</v>
      </c>
    </row>
    <row r="9" spans="1:9" ht="15" x14ac:dyDescent="0.2">
      <c r="A9" s="317" t="s">
        <v>1577</v>
      </c>
      <c r="B9" s="320">
        <f>'DOE25'!G97</f>
        <v>0</v>
      </c>
      <c r="F9" s="317" t="s">
        <v>1590</v>
      </c>
    </row>
    <row r="10" spans="1:9" ht="15" x14ac:dyDescent="0.2">
      <c r="A10" s="317" t="s">
        <v>1578</v>
      </c>
      <c r="B10" s="320">
        <f>'DOE25'!G112-'DOE25'!G97</f>
        <v>0</v>
      </c>
      <c r="F10" s="317" t="s">
        <v>1591</v>
      </c>
    </row>
    <row r="11" spans="1:9" ht="15" x14ac:dyDescent="0.2">
      <c r="A11" s="317" t="s">
        <v>1579</v>
      </c>
      <c r="B11" s="320">
        <f>'DOE25'!G140</f>
        <v>0</v>
      </c>
      <c r="F11" s="317" t="s">
        <v>1592</v>
      </c>
    </row>
    <row r="12" spans="1:9" ht="15" x14ac:dyDescent="0.2">
      <c r="A12" s="317" t="s">
        <v>1580</v>
      </c>
      <c r="B12" s="320">
        <f>'DOE25'!G170</f>
        <v>0</v>
      </c>
      <c r="F12" s="317" t="s">
        <v>1593</v>
      </c>
    </row>
    <row r="13" spans="1:9" ht="15" x14ac:dyDescent="0.2">
      <c r="A13" s="317" t="s">
        <v>1581</v>
      </c>
      <c r="B13" s="320">
        <f>'DOE25'!G193-'DOE25'!G180</f>
        <v>0</v>
      </c>
      <c r="F13" s="317" t="s">
        <v>1603</v>
      </c>
    </row>
    <row r="14" spans="1:9" ht="18" x14ac:dyDescent="0.25">
      <c r="A14" s="319" t="s">
        <v>732</v>
      </c>
      <c r="B14" s="321">
        <f>SUM(B9:B13)</f>
        <v>0</v>
      </c>
    </row>
    <row r="16" spans="1:9" ht="18" x14ac:dyDescent="0.25">
      <c r="A16" s="319" t="s">
        <v>786</v>
      </c>
      <c r="F16" s="326" t="s">
        <v>1595</v>
      </c>
    </row>
    <row r="17" spans="1:6" ht="15" x14ac:dyDescent="0.2">
      <c r="A17" s="317" t="s">
        <v>1582</v>
      </c>
      <c r="B17" s="320">
        <f>'DOE25'!L363-'DOE25'!L362</f>
        <v>0</v>
      </c>
      <c r="F17" s="317" t="s">
        <v>1596</v>
      </c>
    </row>
    <row r="18" spans="1:6" ht="15" x14ac:dyDescent="0.2">
      <c r="A18" s="317" t="s">
        <v>1583</v>
      </c>
      <c r="B18" s="330"/>
      <c r="F18" s="326" t="s">
        <v>1620</v>
      </c>
    </row>
    <row r="19" spans="1:6" ht="18" x14ac:dyDescent="0.25">
      <c r="A19" s="319" t="s">
        <v>725</v>
      </c>
      <c r="B19" s="321">
        <f>SUM(B17:B18)</f>
        <v>0</v>
      </c>
    </row>
    <row r="21" spans="1:6" ht="18.75" thickBot="1" x14ac:dyDescent="0.3">
      <c r="A21" s="319" t="s">
        <v>1584</v>
      </c>
    </row>
    <row r="22" spans="1:6" ht="18.75" thickTop="1" x14ac:dyDescent="0.25">
      <c r="A22" s="319" t="s">
        <v>1585</v>
      </c>
      <c r="B22" s="325">
        <f>B14-B19</f>
        <v>0</v>
      </c>
      <c r="F22" s="317" t="s">
        <v>1597</v>
      </c>
    </row>
    <row r="26" spans="1:6" ht="18" x14ac:dyDescent="0.25">
      <c r="A26" s="319" t="s">
        <v>186</v>
      </c>
    </row>
    <row r="27" spans="1:6" ht="15" x14ac:dyDescent="0.2">
      <c r="A27" s="317" t="s">
        <v>1586</v>
      </c>
      <c r="B27" s="320">
        <f>'DOE25'!G180</f>
        <v>0</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G17" sqref="G17"/>
    </sheetView>
  </sheetViews>
  <sheetFormatPr defaultColWidth="8.6640625" defaultRowHeight="11.25" x14ac:dyDescent="0.2"/>
  <cols>
    <col min="1" max="1" width="26.6640625" customWidth="1"/>
    <col min="2" max="2" width="33.6640625" customWidth="1"/>
    <col min="3" max="3" width="29.5" customWidth="1"/>
  </cols>
  <sheetData>
    <row r="1" spans="1:3" x14ac:dyDescent="0.2">
      <c r="A1" s="233" t="s">
        <v>781</v>
      </c>
      <c r="B1" s="232" t="str">
        <f>'DOE25'!A2</f>
        <v>SURRY SCHOOL DISTRICT SAU 91</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0</v>
      </c>
      <c r="C9" s="229">
        <f>'DOE25'!G198+'DOE25'!G216+'DOE25'!G234+'DOE25'!G277+'DOE25'!G296+'DOE25'!G315</f>
        <v>0</v>
      </c>
    </row>
    <row r="10" spans="1:3" x14ac:dyDescent="0.2">
      <c r="A10" t="s">
        <v>775</v>
      </c>
      <c r="B10" s="240"/>
      <c r="C10" s="240"/>
    </row>
    <row r="11" spans="1:3" x14ac:dyDescent="0.2">
      <c r="A11" t="s">
        <v>776</v>
      </c>
      <c r="B11" s="240"/>
      <c r="C11" s="240"/>
    </row>
    <row r="12" spans="1:3" x14ac:dyDescent="0.2">
      <c r="A12" t="s">
        <v>777</v>
      </c>
      <c r="B12" s="240"/>
      <c r="C12" s="240"/>
    </row>
    <row r="13" spans="1:3" x14ac:dyDescent="0.2">
      <c r="A13" t="str">
        <f>IF(B9=B13,IF(C9=C13,"Check Total OK","Check Total Error"),"Check Total Error")</f>
        <v>Check Total OK</v>
      </c>
      <c r="B13" s="231">
        <f>SUM(B10:B12)</f>
        <v>0</v>
      </c>
      <c r="C13" s="231">
        <f>SUM(C10:C12)</f>
        <v>0</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0</v>
      </c>
      <c r="C18" s="229">
        <f>'DOE25'!G199+'DOE25'!G217+'DOE25'!G235+'DOE25'!G278+'DOE25'!G297+'DOE25'!G316</f>
        <v>0</v>
      </c>
    </row>
    <row r="19" spans="1:3" x14ac:dyDescent="0.2">
      <c r="A19" t="s">
        <v>775</v>
      </c>
      <c r="B19" s="240"/>
      <c r="C19" s="240"/>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0</v>
      </c>
      <c r="C22" s="231">
        <f>SUM(C19:C21)</f>
        <v>0</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M22" sqref="M22"/>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67" t="s">
        <v>892</v>
      </c>
      <c r="B1" s="370"/>
      <c r="C1" s="370"/>
      <c r="D1" s="370"/>
      <c r="E1" s="370"/>
      <c r="F1" s="370"/>
      <c r="G1" s="370"/>
      <c r="H1" s="370"/>
      <c r="I1" s="181"/>
    </row>
    <row r="2" spans="1:9" x14ac:dyDescent="0.2">
      <c r="A2" s="33" t="s">
        <v>713</v>
      </c>
      <c r="B2" s="260" t="str">
        <f>'DOE25'!A2</f>
        <v>SURRY SCHOOL DISTRICT SAU 91</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1730572</v>
      </c>
      <c r="D5" s="20">
        <f>SUM('DOE25'!L198:L201)+SUM('DOE25'!L216:L219)+SUM('DOE25'!L234:L237)-F5-G5-H5</f>
        <v>1730572</v>
      </c>
      <c r="E5" s="243"/>
      <c r="F5" s="244"/>
      <c r="G5" s="53">
        <f>SUM('DOE25'!J198:J201)+SUM('DOE25'!J216:J219)+SUM('DOE25'!J234:J237)</f>
        <v>0</v>
      </c>
      <c r="H5" s="53">
        <f>SUM('DOE25'!K198:K201)+SUM('DOE25'!K216:K219)+SUM('DOE25'!K234:K237)</f>
        <v>0</v>
      </c>
      <c r="I5" s="256"/>
    </row>
    <row r="6" spans="1:9" x14ac:dyDescent="0.2">
      <c r="A6" s="32">
        <v>2100</v>
      </c>
      <c r="B6" t="s">
        <v>796</v>
      </c>
      <c r="C6" s="275">
        <f t="shared" si="0"/>
        <v>0</v>
      </c>
      <c r="D6" s="20">
        <f>'DOE25'!L203+'DOE25'!L221+'DOE25'!L239-F6-G6-H6</f>
        <v>0</v>
      </c>
      <c r="E6" s="243"/>
      <c r="F6" s="244"/>
      <c r="G6" s="53">
        <f>'DOE25'!J203+'DOE25'!J221+'DOE25'!J239</f>
        <v>0</v>
      </c>
      <c r="H6" s="53">
        <f>'DOE25'!K203+'DOE25'!K221+'DOE25'!K239</f>
        <v>0</v>
      </c>
      <c r="I6" s="256"/>
    </row>
    <row r="7" spans="1:9" x14ac:dyDescent="0.2">
      <c r="A7" s="32">
        <v>2200</v>
      </c>
      <c r="B7" t="s">
        <v>821</v>
      </c>
      <c r="C7" s="275">
        <f t="shared" si="0"/>
        <v>0</v>
      </c>
      <c r="D7" s="20">
        <f>'DOE25'!L204+'DOE25'!L222+'DOE25'!L240-F7-G7-H7</f>
        <v>0</v>
      </c>
      <c r="E7" s="243"/>
      <c r="F7" s="244"/>
      <c r="G7" s="53">
        <f>'DOE25'!J204+'DOE25'!J222+'DOE25'!J240</f>
        <v>0</v>
      </c>
      <c r="H7" s="53">
        <f>'DOE25'!K204+'DOE25'!K222+'DOE25'!K240</f>
        <v>0</v>
      </c>
      <c r="I7" s="256"/>
    </row>
    <row r="8" spans="1:9" x14ac:dyDescent="0.2">
      <c r="A8" s="32">
        <v>2300</v>
      </c>
      <c r="B8" t="s">
        <v>797</v>
      </c>
      <c r="C8" s="275">
        <f t="shared" si="0"/>
        <v>41436</v>
      </c>
      <c r="D8" s="243"/>
      <c r="E8" s="20">
        <f>'DOE25'!L205+'DOE25'!L223+'DOE25'!L241-F8-G8-H8-D9-D11</f>
        <v>41436</v>
      </c>
      <c r="F8" s="244"/>
      <c r="G8" s="53">
        <f>'DOE25'!J205+'DOE25'!J223+'DOE25'!J241</f>
        <v>0</v>
      </c>
      <c r="H8" s="53">
        <f>'DOE25'!K205+'DOE25'!K223+'DOE25'!K241</f>
        <v>0</v>
      </c>
      <c r="I8" s="256"/>
    </row>
    <row r="9" spans="1:9" ht="14.25" x14ac:dyDescent="0.2">
      <c r="A9" s="32">
        <v>2310</v>
      </c>
      <c r="B9" s="185" t="s">
        <v>888</v>
      </c>
      <c r="C9" s="275">
        <f t="shared" si="0"/>
        <v>0</v>
      </c>
      <c r="D9" s="244"/>
      <c r="E9" s="243"/>
      <c r="F9" s="253"/>
      <c r="G9" s="253"/>
      <c r="H9" s="253"/>
      <c r="I9" s="256"/>
    </row>
    <row r="10" spans="1:9" ht="14.25" x14ac:dyDescent="0.2">
      <c r="A10" s="32">
        <v>2317</v>
      </c>
      <c r="B10" s="185" t="s">
        <v>889</v>
      </c>
      <c r="C10" s="275">
        <f t="shared" si="0"/>
        <v>0</v>
      </c>
      <c r="D10" s="243"/>
      <c r="E10" s="244"/>
      <c r="F10" s="253"/>
      <c r="G10" s="253"/>
      <c r="H10" s="253"/>
      <c r="I10" s="256"/>
    </row>
    <row r="11" spans="1:9" ht="14.25" x14ac:dyDescent="0.2">
      <c r="A11" s="32">
        <v>2321</v>
      </c>
      <c r="B11" s="185" t="s">
        <v>890</v>
      </c>
      <c r="C11" s="275">
        <f t="shared" si="0"/>
        <v>0</v>
      </c>
      <c r="D11" s="244"/>
      <c r="E11" s="243"/>
      <c r="F11" s="253"/>
      <c r="G11" s="253"/>
      <c r="H11" s="253"/>
      <c r="I11" s="256"/>
    </row>
    <row r="12" spans="1:9" x14ac:dyDescent="0.2">
      <c r="A12" s="32">
        <v>2400</v>
      </c>
      <c r="B12" t="s">
        <v>711</v>
      </c>
      <c r="C12" s="275">
        <f t="shared" si="0"/>
        <v>6016</v>
      </c>
      <c r="D12" s="20">
        <f>'DOE25'!L206+'DOE25'!L224+'DOE25'!L242-F12-G12-H12</f>
        <v>6016</v>
      </c>
      <c r="E12" s="243"/>
      <c r="F12" s="244"/>
      <c r="G12" s="53">
        <f>'DOE25'!J206+'DOE25'!J224+'DOE25'!J242</f>
        <v>0</v>
      </c>
      <c r="H12" s="53">
        <f>'DOE25'!K206+'DOE25'!K224+'DOE25'!K242</f>
        <v>0</v>
      </c>
      <c r="I12" s="256"/>
    </row>
    <row r="13" spans="1:9" x14ac:dyDescent="0.2">
      <c r="A13" s="32">
        <v>2500</v>
      </c>
      <c r="B13" t="s">
        <v>798</v>
      </c>
      <c r="C13" s="275">
        <f t="shared" si="0"/>
        <v>3822</v>
      </c>
      <c r="D13" s="243"/>
      <c r="E13" s="20">
        <f>'DOE25'!L207+'DOE25'!L225+'DOE25'!L243-F13-G13-H13</f>
        <v>3822</v>
      </c>
      <c r="F13" s="244"/>
      <c r="G13" s="53">
        <f>'DOE25'!J207+'DOE25'!J225+'DOE25'!J243</f>
        <v>0</v>
      </c>
      <c r="H13" s="53">
        <f>'DOE25'!K207+'DOE25'!K225+'DOE25'!K243</f>
        <v>0</v>
      </c>
      <c r="I13" s="256"/>
    </row>
    <row r="14" spans="1:9" x14ac:dyDescent="0.2">
      <c r="A14" s="32">
        <v>2600</v>
      </c>
      <c r="B14" t="s">
        <v>819</v>
      </c>
      <c r="C14" s="275">
        <f t="shared" si="0"/>
        <v>28809</v>
      </c>
      <c r="D14" s="20">
        <f>'DOE25'!L208+'DOE25'!L226+'DOE25'!L244-F14-G14-H14</f>
        <v>28809</v>
      </c>
      <c r="E14" s="243"/>
      <c r="F14" s="244"/>
      <c r="G14" s="53">
        <f>'DOE25'!J208+'DOE25'!J226+'DOE25'!J244</f>
        <v>0</v>
      </c>
      <c r="H14" s="53">
        <f>'DOE25'!K208+'DOE25'!K226+'DOE25'!K244</f>
        <v>0</v>
      </c>
      <c r="I14" s="256"/>
    </row>
    <row r="15" spans="1:9" x14ac:dyDescent="0.2">
      <c r="A15" s="32">
        <v>2700</v>
      </c>
      <c r="B15" t="s">
        <v>799</v>
      </c>
      <c r="C15" s="275">
        <f t="shared" si="0"/>
        <v>79444</v>
      </c>
      <c r="D15" s="20">
        <f>'DOE25'!L209+'DOE25'!L227+'DOE25'!L245-F15-G15-H15</f>
        <v>79444</v>
      </c>
      <c r="E15" s="243"/>
      <c r="F15" s="244"/>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0</v>
      </c>
      <c r="D29" s="283">
        <f>'DOE25'!L359+'DOE25'!L360+'DOE25'!L361-'DOE25'!I368-F29-G29-H29</f>
        <v>0</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0</v>
      </c>
      <c r="D31" s="20">
        <f>'DOE25'!L291+'DOE25'!L310+'DOE25'!L329+'DOE25'!L334+'DOE25'!L335+'DOE25'!L336-F31-G31-H31</f>
        <v>0</v>
      </c>
      <c r="E31" s="243"/>
      <c r="F31" s="244"/>
      <c r="G31" s="53">
        <f>'DOE25'!J291+'DOE25'!J310+'DOE25'!J329+'DOE25'!J334+'DOE25'!J335+'DOE25'!J336</f>
        <v>0</v>
      </c>
      <c r="H31" s="53">
        <f>'DOE25'!K291+'DOE25'!K310+'DOE25'!K329+'DOE25'!K334+'DOE25'!K335+'DOE25'!K336</f>
        <v>0</v>
      </c>
      <c r="I31" s="256"/>
    </row>
    <row r="32" spans="1:9" ht="12" thickBot="1" x14ac:dyDescent="0.25">
      <c r="C32" s="276"/>
      <c r="G32" s="251"/>
      <c r="H32" s="251"/>
      <c r="I32" s="258"/>
    </row>
    <row r="33" spans="1:9" ht="12" thickTop="1" x14ac:dyDescent="0.2">
      <c r="B33" t="s">
        <v>809</v>
      </c>
      <c r="D33" s="245">
        <f t="shared" ref="D33:I33" si="1">SUM(D5:D31)</f>
        <v>1844841</v>
      </c>
      <c r="E33" s="245">
        <f t="shared" si="1"/>
        <v>45258</v>
      </c>
      <c r="F33" s="245">
        <f t="shared" si="1"/>
        <v>0</v>
      </c>
      <c r="G33" s="245">
        <f t="shared" si="1"/>
        <v>0</v>
      </c>
      <c r="H33" s="245">
        <f t="shared" si="1"/>
        <v>0</v>
      </c>
      <c r="I33" s="245">
        <f t="shared" si="1"/>
        <v>0</v>
      </c>
    </row>
    <row r="35" spans="1:9" ht="12" thickBot="1" x14ac:dyDescent="0.25">
      <c r="B35" s="251" t="s">
        <v>831</v>
      </c>
      <c r="D35" s="252">
        <f>E33</f>
        <v>45258</v>
      </c>
      <c r="E35" s="248"/>
      <c r="F35" s="335" t="s">
        <v>1632</v>
      </c>
      <c r="G35" s="336"/>
      <c r="H35" s="336"/>
      <c r="I35" s="336"/>
    </row>
    <row r="36" spans="1:9" ht="12" thickTop="1" x14ac:dyDescent="0.2">
      <c r="B36" t="s">
        <v>810</v>
      </c>
      <c r="D36" s="20">
        <f>D33</f>
        <v>1844841</v>
      </c>
      <c r="F36" s="338"/>
      <c r="G36" s="337" t="str">
        <f>IF(F36=0,"&lt;&lt;&lt;&lt;&lt; YOU HAVE NOT CHOSEN IF YOU WANT AN INDIRECT COST RATE!!","")</f>
        <v>&lt;&lt;&lt;&lt;&lt; YOU HAVE NOT CHOSEN IF YOU WANT AN INDIRECT COST RATE!!</v>
      </c>
      <c r="H36" s="337"/>
    </row>
    <row r="38" spans="1:9" x14ac:dyDescent="0.2">
      <c r="B38" s="187" t="s">
        <v>899</v>
      </c>
      <c r="C38" s="261"/>
      <c r="D38" s="284"/>
    </row>
    <row r="39" spans="1:9" x14ac:dyDescent="0.2">
      <c r="B39" s="187" t="s">
        <v>815</v>
      </c>
      <c r="D39" s="285" t="str">
        <f>IF(E10&gt;0,"Y","N")</f>
        <v>N</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7" zoomScaleNormal="100" workbookViewId="0">
      <selection activeCell="A37" sqref="A37"/>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42.16406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SURRY SCHOOL DISTRICT SAU 91</v>
      </c>
      <c r="B2" s="126">
        <f>'DOE25'!B2</f>
        <v>519</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945051</v>
      </c>
      <c r="G4" s="302">
        <f>'DOE25'!L212+'DOE25'!L291</f>
        <v>945051</v>
      </c>
      <c r="H4" s="355">
        <f>F4-G4</f>
        <v>0</v>
      </c>
      <c r="I4" s="372" t="str">
        <f>IF(H4=0,"","ISSUES!! Please review page 7 and 11 totals in comparison with total on this page")</f>
        <v/>
      </c>
      <c r="N4"/>
    </row>
    <row r="5" spans="1:18" x14ac:dyDescent="0.2">
      <c r="A5" s="21" t="s">
        <v>1555</v>
      </c>
      <c r="B5" s="303">
        <f>IFERROR(VLOOKUP(A5,'School Tables'!$C$3:$D$365,2,FALSE),"")</f>
        <v>99999</v>
      </c>
      <c r="C5" s="296" t="str">
        <f>IFERROR(INDEX('School Tables'!$B$3:$B$365,MATCH('School Level Expenditures'!B5,'School Tables'!$D$3:$D$365,0)),"")</f>
        <v>Other District Expenditures</v>
      </c>
      <c r="D5" s="293">
        <v>945051</v>
      </c>
      <c r="E5" s="293"/>
      <c r="F5" s="306">
        <f>D5+E5</f>
        <v>945051</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945051</v>
      </c>
      <c r="E21" s="353">
        <f>SUM(E5:E20)</f>
        <v>0</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359119</v>
      </c>
      <c r="G24" s="302">
        <f>'DOE25'!L230+'DOE25'!L310</f>
        <v>359119</v>
      </c>
      <c r="H24" s="355">
        <f>F24-G24</f>
        <v>0</v>
      </c>
      <c r="I24" s="372" t="str">
        <f>IF(H24=0,"","ISSUES!! Please review page 8 and 12 totals in comparison with total on this page")</f>
        <v/>
      </c>
      <c r="N24"/>
    </row>
    <row r="25" spans="1:14" x14ac:dyDescent="0.2">
      <c r="A25" s="21" t="s">
        <v>1555</v>
      </c>
      <c r="B25" s="303">
        <f>IFERROR(VLOOKUP(A25,'School Tables'!$I$3:$J$80,2,FALSE),"")</f>
        <v>99999</v>
      </c>
      <c r="C25" s="296" t="str">
        <f t="array" ref="C25">IFERROR(INDEX('School Tables'!$H$3:$H$80,MATCH('School Level Expenditures'!B25,'School Tables'!$J$3:$J$80,0)),"")</f>
        <v>Other District Expenditures</v>
      </c>
      <c r="D25" s="293">
        <v>359119</v>
      </c>
      <c r="E25" s="293"/>
      <c r="F25" s="306">
        <f>D25+E25</f>
        <v>359119</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359119</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585929</v>
      </c>
      <c r="G36" s="302">
        <f>'DOE25'!L248+'DOE25'!L329</f>
        <v>585929</v>
      </c>
      <c r="H36" s="355">
        <f>IF(AND(D43='DOE25'!L248,'School Level Expenditures'!E43='DOE25'!L329),'School Level Expenditures'!F36-'School Level Expenditures'!G36,"Does not match page 7 or 11 totals!!")</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585929</v>
      </c>
      <c r="E37" s="293"/>
      <c r="F37" s="306">
        <f t="shared" ref="F37:F42" si="2">D37+E37</f>
        <v>585929</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585929</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7" operator="equal">
      <formula>0</formula>
    </cfRule>
    <cfRule type="cellIs" dxfId="8" priority="18" operator="notEqual">
      <formula>0</formula>
    </cfRule>
  </conditionalFormatting>
  <conditionalFormatting sqref="H36">
    <cfRule type="cellIs" dxfId="7" priority="9" operator="equal">
      <formula>0</formula>
    </cfRule>
    <cfRule type="cellIs" dxfId="6" priority="10" operator="notEqual">
      <formula>0</formula>
    </cfRule>
  </conditionalFormatting>
  <conditionalFormatting sqref="H24">
    <cfRule type="cellIs" dxfId="5" priority="3" operator="equal">
      <formula>0</formula>
    </cfRule>
    <cfRule type="cellIs" dxfId="4" priority="4"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25" zoomScaleNormal="125" workbookViewId="0">
      <pane ySplit="2" topLeftCell="A40" activePane="bottomLeft" state="frozen"/>
      <selection activeCell="F46" sqref="F46"/>
      <selection pane="bottomLeft" activeCell="A2" sqref="A2"/>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SURRY SCHOOL DISTRICT SAU 91</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740626</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20439</v>
      </c>
      <c r="D12" s="95">
        <f>'DOE25'!G13</f>
        <v>0</v>
      </c>
      <c r="E12" s="95">
        <f>'DOE25'!H13</f>
        <v>0</v>
      </c>
      <c r="F12" s="95">
        <f>'DOE25'!I13</f>
        <v>0</v>
      </c>
      <c r="G12" s="95">
        <f>'DOE25'!J13</f>
        <v>608841</v>
      </c>
      <c r="H12" s="124"/>
      <c r="I12" s="124"/>
    </row>
    <row r="13" spans="1:9" x14ac:dyDescent="0.2">
      <c r="A13" s="1" t="s">
        <v>144</v>
      </c>
      <c r="B13" s="6">
        <v>150</v>
      </c>
      <c r="C13" s="95">
        <f>'DOE25'!F14</f>
        <v>33379</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5078</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799522</v>
      </c>
      <c r="D18" s="41">
        <f>SUM(D8:D17)</f>
        <v>0</v>
      </c>
      <c r="E18" s="41">
        <f>SUM(E8:E17)</f>
        <v>0</v>
      </c>
      <c r="F18" s="41">
        <f>SUM(F8:F17)</f>
        <v>0</v>
      </c>
      <c r="G18" s="41">
        <f>SUM(G8:G17)</f>
        <v>608841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5000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5000</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608841</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794522</v>
      </c>
      <c r="D49" s="24" t="s">
        <v>288</v>
      </c>
      <c r="E49" s="24" t="s">
        <v>288</v>
      </c>
      <c r="F49" s="24" t="s">
        <v>288</v>
      </c>
      <c r="G49" s="24" t="s">
        <v>288</v>
      </c>
      <c r="H49" s="124"/>
      <c r="I49" s="124"/>
    </row>
    <row r="50" spans="1:9" ht="12.75" thickTop="1" thickBot="1" x14ac:dyDescent="0.25">
      <c r="A50" s="38" t="s">
        <v>884</v>
      </c>
      <c r="B50" s="48"/>
      <c r="C50" s="41">
        <f>SUM(C34:C49)</f>
        <v>794522</v>
      </c>
      <c r="D50" s="41">
        <f>SUM(D34:D49)</f>
        <v>0</v>
      </c>
      <c r="E50" s="41">
        <f>SUM(E34:E49)</f>
        <v>0</v>
      </c>
      <c r="F50" s="41">
        <f>SUM(F34:F49)</f>
        <v>0</v>
      </c>
      <c r="G50" s="41">
        <f>SUM(G34:G49)</f>
        <v>608841</v>
      </c>
      <c r="H50" s="124"/>
      <c r="I50" s="124"/>
    </row>
    <row r="51" spans="1:9" ht="12" thickTop="1" x14ac:dyDescent="0.2">
      <c r="A51" s="38" t="s">
        <v>885</v>
      </c>
      <c r="B51" s="2"/>
      <c r="C51" s="41">
        <f>C50+C31</f>
        <v>799522</v>
      </c>
      <c r="D51" s="41">
        <f>D50+D31</f>
        <v>0</v>
      </c>
      <c r="E51" s="41">
        <f>E50+E31</f>
        <v>0</v>
      </c>
      <c r="F51" s="41">
        <f>F50+F31</f>
        <v>0</v>
      </c>
      <c r="G51" s="41">
        <f>G50+G31</f>
        <v>608841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1745619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v>
      </c>
      <c r="D59" s="95">
        <f>'DOE25'!G96</f>
        <v>0</v>
      </c>
      <c r="E59" s="95">
        <f>'DOE25'!H96</f>
        <v>0</v>
      </c>
      <c r="F59" s="95">
        <f>'DOE25'!I96</f>
        <v>0</v>
      </c>
      <c r="G59" s="95">
        <f>'DOE25'!J96</f>
        <v>89547</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3</v>
      </c>
      <c r="D62" s="130">
        <f>SUM(D57:D61)</f>
        <v>0</v>
      </c>
      <c r="E62" s="130">
        <f>SUM(E57:E61)</f>
        <v>0</v>
      </c>
      <c r="F62" s="130">
        <f>SUM(F57:F61)</f>
        <v>0</v>
      </c>
      <c r="G62" s="130">
        <f>SUM(G57:G61)</f>
        <v>89547</v>
      </c>
      <c r="H62"/>
      <c r="I62"/>
    </row>
    <row r="63" spans="1:9" ht="12" thickTop="1" x14ac:dyDescent="0.2">
      <c r="A63" s="29" t="s">
        <v>175</v>
      </c>
      <c r="B63" s="6"/>
      <c r="C63" s="22">
        <f>C56+C62</f>
        <v>1745622</v>
      </c>
      <c r="D63" s="22">
        <f>D56+D62</f>
        <v>0</v>
      </c>
      <c r="E63" s="22">
        <f>E56+E62</f>
        <v>0</v>
      </c>
      <c r="F63" s="22">
        <f>F56+F62</f>
        <v>0</v>
      </c>
      <c r="G63" s="22">
        <f>G56+G62</f>
        <v>89547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505933</v>
      </c>
      <c r="D66" s="24" t="s">
        <v>288</v>
      </c>
      <c r="E66" s="24" t="s">
        <v>288</v>
      </c>
      <c r="F66" s="24" t="s">
        <v>288</v>
      </c>
      <c r="G66" s="24" t="s">
        <v>288</v>
      </c>
      <c r="H66"/>
      <c r="I66"/>
    </row>
    <row r="67" spans="1:9" x14ac:dyDescent="0.2">
      <c r="A67" s="1" t="s">
        <v>770</v>
      </c>
      <c r="B67" s="6">
        <v>3112</v>
      </c>
      <c r="C67" s="95">
        <f>'DOE25'!F118</f>
        <v>161811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5986</v>
      </c>
      <c r="D69" s="95">
        <f>'DOE25'!G120</f>
        <v>0</v>
      </c>
      <c r="E69" s="95">
        <f>'DOE25'!H120</f>
        <v>0</v>
      </c>
      <c r="F69" s="95">
        <f>'DOE25'!I120</f>
        <v>0</v>
      </c>
      <c r="G69" s="95">
        <f>'DOE25'!J120</f>
        <v>0</v>
      </c>
      <c r="H69"/>
      <c r="I69"/>
    </row>
    <row r="70" spans="1:9" ht="12" thickTop="1" x14ac:dyDescent="0.2">
      <c r="A70" s="29" t="s">
        <v>252</v>
      </c>
      <c r="B70" s="2"/>
      <c r="C70" s="139">
        <f>SUM(C66:C69)</f>
        <v>673730</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673730</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44159</v>
      </c>
      <c r="D87" s="24" t="s">
        <v>288</v>
      </c>
      <c r="E87" s="95">
        <f>SUM('DOE25'!H149:H152)</f>
        <v>0</v>
      </c>
      <c r="F87" s="95">
        <f>SUM('DOE25'!I149:I152)</f>
        <v>0</v>
      </c>
      <c r="G87" s="24" t="s">
        <v>288</v>
      </c>
    </row>
    <row r="88" spans="1:9" x14ac:dyDescent="0.2">
      <c r="A88" s="290" t="s">
        <v>747</v>
      </c>
      <c r="B88" s="332" t="s">
        <v>184</v>
      </c>
      <c r="C88" s="333">
        <f>SUM('DOE25'!F153:F162)</f>
        <v>22400</v>
      </c>
      <c r="D88" s="333">
        <f>SUM('DOE25'!G153:G162)</f>
        <v>0</v>
      </c>
      <c r="E88" s="333">
        <f>SUM('DOE25'!H153:H162)</f>
        <v>0</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66559</v>
      </c>
      <c r="D91" s="131">
        <f>SUM(D85:D90)</f>
        <v>0</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2485911</v>
      </c>
      <c r="D104" s="86">
        <f>D63+D81+D91+D103</f>
        <v>0</v>
      </c>
      <c r="E104" s="86">
        <f>E63+E81+E91+E103</f>
        <v>0</v>
      </c>
      <c r="F104" s="86">
        <f>F63+F81+F91+F103</f>
        <v>0</v>
      </c>
      <c r="G104" s="86">
        <f>G63+G81+G103</f>
        <v>89547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1319893</v>
      </c>
      <c r="D109" s="24" t="s">
        <v>288</v>
      </c>
      <c r="E109" s="95">
        <f>('DOE25'!L277)+('DOE25'!L296)+('DOE25'!L315)</f>
        <v>0</v>
      </c>
      <c r="F109" s="24" t="s">
        <v>288</v>
      </c>
      <c r="G109" s="24" t="s">
        <v>288</v>
      </c>
    </row>
    <row r="110" spans="1:7" x14ac:dyDescent="0.2">
      <c r="A110" t="s">
        <v>198</v>
      </c>
      <c r="B110" s="32" t="s">
        <v>199</v>
      </c>
      <c r="C110" s="95">
        <f>('DOE25'!L199)+('DOE25'!L217)+('DOE25'!L235)</f>
        <v>410679</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1730572</v>
      </c>
      <c r="D115" s="86">
        <f>SUM(D109:D114)</f>
        <v>0</v>
      </c>
      <c r="E115" s="86">
        <f>SUM(E109:E114)</f>
        <v>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0</v>
      </c>
      <c r="D118" s="24" t="s">
        <v>288</v>
      </c>
      <c r="E118" s="95">
        <f>+('DOE25'!L282)+('DOE25'!L301)+('DOE25'!L320)</f>
        <v>0</v>
      </c>
      <c r="F118" s="24" t="s">
        <v>288</v>
      </c>
      <c r="G118" s="24" t="s">
        <v>288</v>
      </c>
    </row>
    <row r="119" spans="1:7" x14ac:dyDescent="0.2">
      <c r="A119" t="s">
        <v>208</v>
      </c>
      <c r="B119" s="32" t="s">
        <v>209</v>
      </c>
      <c r="C119" s="95">
        <f>('DOE25'!L204)+('DOE25'!L222)+('DOE25'!L240)</f>
        <v>0</v>
      </c>
      <c r="D119" s="24" t="s">
        <v>288</v>
      </c>
      <c r="E119" s="95">
        <f>+('DOE25'!L283)+('DOE25'!L302)+('DOE25'!L321)</f>
        <v>0</v>
      </c>
      <c r="F119" s="24" t="s">
        <v>288</v>
      </c>
      <c r="G119" s="24" t="s">
        <v>288</v>
      </c>
    </row>
    <row r="120" spans="1:7" x14ac:dyDescent="0.2">
      <c r="A120" t="s">
        <v>210</v>
      </c>
      <c r="B120" s="32" t="s">
        <v>211</v>
      </c>
      <c r="C120" s="95">
        <f>('DOE25'!L205)+('DOE25'!L223)+('DOE25'!L241)</f>
        <v>41436</v>
      </c>
      <c r="D120" s="24" t="s">
        <v>288</v>
      </c>
      <c r="E120" s="95">
        <f>+('DOE25'!L284)+('DOE25'!L303)+('DOE25'!L322)</f>
        <v>0</v>
      </c>
      <c r="F120" s="24" t="s">
        <v>288</v>
      </c>
      <c r="G120" s="24" t="s">
        <v>288</v>
      </c>
    </row>
    <row r="121" spans="1:7" x14ac:dyDescent="0.2">
      <c r="A121" t="s">
        <v>212</v>
      </c>
      <c r="B121" s="32" t="s">
        <v>213</v>
      </c>
      <c r="C121" s="95">
        <f>('DOE25'!L206)+('DOE25'!L224)+('DOE25'!L242)</f>
        <v>6016</v>
      </c>
      <c r="D121" s="24" t="s">
        <v>288</v>
      </c>
      <c r="E121" s="95">
        <f>+('DOE25'!L285)+('DOE25'!L304)+('DOE25'!L323)</f>
        <v>0</v>
      </c>
      <c r="F121" s="24" t="s">
        <v>288</v>
      </c>
      <c r="G121" s="24" t="s">
        <v>288</v>
      </c>
    </row>
    <row r="122" spans="1:7" x14ac:dyDescent="0.2">
      <c r="A122" t="s">
        <v>214</v>
      </c>
      <c r="B122" s="32" t="s">
        <v>215</v>
      </c>
      <c r="C122" s="95">
        <f>('DOE25'!L207)+('DOE25'!L225)+('DOE25'!L243)</f>
        <v>3822</v>
      </c>
      <c r="D122" s="24" t="s">
        <v>288</v>
      </c>
      <c r="E122" s="95">
        <f>+('DOE25'!L286)+('DOE25'!L305)+('DOE25'!L324)</f>
        <v>0</v>
      </c>
      <c r="F122" s="24" t="s">
        <v>288</v>
      </c>
      <c r="G122" s="24" t="s">
        <v>288</v>
      </c>
    </row>
    <row r="123" spans="1:7" x14ac:dyDescent="0.2">
      <c r="A123" t="s">
        <v>216</v>
      </c>
      <c r="B123" s="32" t="s">
        <v>217</v>
      </c>
      <c r="C123" s="95">
        <f>('DOE25'!L208)+('DOE25'!L226)+('DOE25'!L244)</f>
        <v>28809</v>
      </c>
      <c r="D123" s="24" t="s">
        <v>288</v>
      </c>
      <c r="E123" s="95">
        <f>+('DOE25'!L287)+('DOE25'!L306)+('DOE25'!L325)</f>
        <v>0</v>
      </c>
      <c r="F123" s="24" t="s">
        <v>288</v>
      </c>
      <c r="G123" s="24" t="s">
        <v>288</v>
      </c>
    </row>
    <row r="124" spans="1:7" x14ac:dyDescent="0.2">
      <c r="A124" t="s">
        <v>218</v>
      </c>
      <c r="B124" s="32" t="s">
        <v>219</v>
      </c>
      <c r="C124" s="95">
        <f>('DOE25'!L209)+('DOE25'!L227)+('DOE25'!L245+'DOE25'!L255)</f>
        <v>79444</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159527</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89547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-89547</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0</v>
      </c>
      <c r="D144" s="141">
        <f>SUM(D130:D143)</f>
        <v>0</v>
      </c>
      <c r="E144" s="141">
        <f>SUM(E130:E143)</f>
        <v>0</v>
      </c>
      <c r="F144" s="141">
        <f>SUM(F130:F143)</f>
        <v>0</v>
      </c>
      <c r="G144" s="141">
        <f>SUM(G130:G143)</f>
        <v>0</v>
      </c>
    </row>
    <row r="145" spans="1:9" ht="12.75" thickTop="1" thickBot="1" x14ac:dyDescent="0.25">
      <c r="A145" s="33" t="s">
        <v>244</v>
      </c>
      <c r="C145" s="86">
        <f>(C115+C128+C144)</f>
        <v>1890099</v>
      </c>
      <c r="D145" s="86">
        <f>(D115+D128+D144)</f>
        <v>0</v>
      </c>
      <c r="E145" s="86">
        <f>(E115+E128+E144)</f>
        <v>0</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74" t="s">
        <v>736</v>
      </c>
      <c r="B1" s="374"/>
      <c r="C1" s="374"/>
      <c r="D1" s="374"/>
    </row>
    <row r="2" spans="1:4" x14ac:dyDescent="0.2">
      <c r="A2" s="187" t="s">
        <v>713</v>
      </c>
      <c r="B2" s="186" t="str">
        <f>'DOE25'!A2</f>
        <v>SURRY SCHOOL DISTRICT SAU 91</v>
      </c>
    </row>
    <row r="3" spans="1:4" x14ac:dyDescent="0.2">
      <c r="B3" s="188" t="s">
        <v>1666</v>
      </c>
    </row>
    <row r="4" spans="1:4" x14ac:dyDescent="0.2">
      <c r="B4" t="s">
        <v>61</v>
      </c>
      <c r="C4" s="179">
        <f>IF('DOE25'!F666+'DOE25'!F671=0,0,ROUND('DOE25'!F673,0))</f>
        <v>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0</v>
      </c>
    </row>
    <row r="9" spans="1:4" x14ac:dyDescent="0.2">
      <c r="A9" s="187" t="s">
        <v>94</v>
      </c>
      <c r="B9" s="188" t="s">
        <v>1671</v>
      </c>
      <c r="C9" s="181" t="s">
        <v>720</v>
      </c>
      <c r="D9" s="181" t="s">
        <v>721</v>
      </c>
    </row>
    <row r="10" spans="1:4" x14ac:dyDescent="0.2">
      <c r="A10">
        <v>1100</v>
      </c>
      <c r="B10" t="s">
        <v>702</v>
      </c>
      <c r="C10" s="179">
        <f>ROUND('DOE25'!L198+'DOE25'!L216+'DOE25'!L234+'DOE25'!L277+'DOE25'!L296+'DOE25'!L315,0)</f>
        <v>1319893</v>
      </c>
      <c r="D10" s="182">
        <f>ROUND((C10/$C$28)*100,1)</f>
        <v>69.8</v>
      </c>
    </row>
    <row r="11" spans="1:4" x14ac:dyDescent="0.2">
      <c r="A11">
        <v>1200</v>
      </c>
      <c r="B11" t="s">
        <v>703</v>
      </c>
      <c r="C11" s="179">
        <f>ROUND('DOE25'!L199+'DOE25'!L217+'DOE25'!L235+'DOE25'!L278+'DOE25'!L297+'DOE25'!L316,0)</f>
        <v>410679</v>
      </c>
      <c r="D11" s="182">
        <f>ROUND((C11/$C$28)*100,1)</f>
        <v>21.7</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0</v>
      </c>
      <c r="D15" s="182">
        <f t="shared" ref="D15:D27" si="0">ROUND((C15/$C$28)*100,1)</f>
        <v>0</v>
      </c>
    </row>
    <row r="16" spans="1:4" x14ac:dyDescent="0.2">
      <c r="A16">
        <v>2200</v>
      </c>
      <c r="B16" t="s">
        <v>707</v>
      </c>
      <c r="C16" s="179">
        <f>ROUND('DOE25'!L204+'DOE25'!L222+'DOE25'!L240+'DOE25'!L283+'DOE25'!L302+'DOE25'!L321,0)</f>
        <v>0</v>
      </c>
      <c r="D16" s="182">
        <f t="shared" si="0"/>
        <v>0</v>
      </c>
    </row>
    <row r="17" spans="1:4" x14ac:dyDescent="0.2">
      <c r="A17" s="183" t="s">
        <v>723</v>
      </c>
      <c r="B17" t="s">
        <v>738</v>
      </c>
      <c r="C17" s="179">
        <f>ROUND('DOE25'!L205+'DOE25'!L210+'DOE25'!L223+'DOE25'!L228+'DOE25'!L241+'DOE25'!L246+'DOE25'!L284+'DOE25'!L289+'DOE25'!L303+'DOE25'!L308+'DOE25'!L322+'DOE25'!L327,0)</f>
        <v>41436</v>
      </c>
      <c r="D17" s="182">
        <f t="shared" si="0"/>
        <v>2.2000000000000002</v>
      </c>
    </row>
    <row r="18" spans="1:4" x14ac:dyDescent="0.2">
      <c r="A18">
        <v>2400</v>
      </c>
      <c r="B18" t="s">
        <v>711</v>
      </c>
      <c r="C18" s="179">
        <f>ROUND('DOE25'!L206+'DOE25'!L224+'DOE25'!L242+'DOE25'!L285+'DOE25'!L304+'DOE25'!L323,0)</f>
        <v>6016</v>
      </c>
      <c r="D18" s="182">
        <f t="shared" si="0"/>
        <v>0.3</v>
      </c>
    </row>
    <row r="19" spans="1:4" x14ac:dyDescent="0.2">
      <c r="A19">
        <v>2500</v>
      </c>
      <c r="B19" t="s">
        <v>708</v>
      </c>
      <c r="C19" s="179">
        <f>ROUND('DOE25'!L207+'DOE25'!L225+'DOE25'!L243+'DOE25'!L286+'DOE25'!L305+'DOE25'!L324,0)</f>
        <v>3822</v>
      </c>
      <c r="D19" s="182">
        <f t="shared" si="0"/>
        <v>0.2</v>
      </c>
    </row>
    <row r="20" spans="1:4" x14ac:dyDescent="0.2">
      <c r="A20">
        <v>2600</v>
      </c>
      <c r="B20" t="s">
        <v>709</v>
      </c>
      <c r="C20" s="179">
        <f>ROUND('DOE25'!L208+'DOE25'!L226+'DOE25'!L244+'DOE25'!L287+'DOE25'!L306+'DOE25'!L325,0)</f>
        <v>28809</v>
      </c>
      <c r="D20" s="182">
        <f t="shared" si="0"/>
        <v>1.5</v>
      </c>
    </row>
    <row r="21" spans="1:4" x14ac:dyDescent="0.2">
      <c r="A21">
        <v>2700</v>
      </c>
      <c r="B21" t="s">
        <v>710</v>
      </c>
      <c r="C21" s="179">
        <f>ROUND('DOE25'!L209+'DOE25'!L227+'DOE25'!L245+'DOE25'!L288+'DOE25'!L307+'DOE25'!L326,0)</f>
        <v>79444</v>
      </c>
      <c r="D21" s="182">
        <f t="shared" si="0"/>
        <v>4.2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1890099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1890099</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1745619</v>
      </c>
      <c r="D35" s="182">
        <f t="shared" ref="D35:D40" si="1">ROUND((C35/$C$41)*100,1)</f>
        <v>67.8</v>
      </c>
    </row>
    <row r="36" spans="1:4" x14ac:dyDescent="0.2">
      <c r="B36" s="185" t="s">
        <v>739</v>
      </c>
      <c r="C36" s="179">
        <f>SUM('DOE25'!F112:J112)-SUM('DOE25'!G97:G110)+('DOE25'!F175+'DOE25'!F176+'DOE25'!I175+'DOE25'!I176)-C35</f>
        <v>89550</v>
      </c>
      <c r="D36" s="182">
        <f t="shared" si="1"/>
        <v>3.5</v>
      </c>
    </row>
    <row r="37" spans="1:4" x14ac:dyDescent="0.2">
      <c r="A37" s="183" t="s">
        <v>835</v>
      </c>
      <c r="B37" s="185" t="s">
        <v>728</v>
      </c>
      <c r="C37" s="179">
        <f>ROUND('DOE25'!F117+'DOE25'!F118,0)</f>
        <v>667744</v>
      </c>
      <c r="D37" s="182">
        <f t="shared" si="1"/>
        <v>25.9</v>
      </c>
    </row>
    <row r="38" spans="1:4" x14ac:dyDescent="0.2">
      <c r="A38" s="183" t="s">
        <v>734</v>
      </c>
      <c r="B38" s="185" t="s">
        <v>729</v>
      </c>
      <c r="C38" s="179">
        <f>ROUND(SUM('DOE25'!F140:J140)-SUM('DOE25'!F117:F119),0)</f>
        <v>5986</v>
      </c>
      <c r="D38" s="182">
        <f t="shared" si="1"/>
        <v>0.2</v>
      </c>
    </row>
    <row r="39" spans="1:4" x14ac:dyDescent="0.2">
      <c r="A39">
        <v>4000</v>
      </c>
      <c r="B39" s="185" t="s">
        <v>730</v>
      </c>
      <c r="C39" s="179">
        <f>ROUND('DOE25'!F170+'DOE25'!G170+'DOE25'!H170+'DOE25'!I170,0)</f>
        <v>66559</v>
      </c>
      <c r="D39" s="182">
        <f t="shared" si="1"/>
        <v>2.6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2575458</v>
      </c>
      <c r="D41" s="184">
        <f>SUM(D35:D40)</f>
        <v>99.999999999999986</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ColWidth="8.6640625" defaultRowHeight="11.25" x14ac:dyDescent="0.2"/>
  <cols>
    <col min="1" max="1" width="10.16406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SURRY SCHOOL DISTRICT SAU 91</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ColWidth="8.6640625" defaultRowHeight="11.25" x14ac:dyDescent="0.2"/>
  <cols>
    <col min="2" max="2" width="54.1640625" bestFit="1" customWidth="1"/>
    <col min="3" max="3" width="53.6640625" bestFit="1" customWidth="1"/>
    <col min="4" max="4" width="10.1640625" customWidth="1"/>
    <col min="5" max="5" width="13.1640625" customWidth="1"/>
    <col min="8" max="8" width="41.6640625" bestFit="1" customWidth="1"/>
    <col min="9" max="9" width="43.1640625" bestFit="1" customWidth="1"/>
    <col min="11" max="11" width="13.6640625" customWidth="1"/>
    <col min="14" max="14" width="41.6640625" bestFit="1" customWidth="1"/>
    <col min="15" max="15" width="51.16406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Leclerc, Ronald</cp:lastModifiedBy>
  <cp:lastPrinted>2021-08-23T11:01:07Z</cp:lastPrinted>
  <dcterms:created xsi:type="dcterms:W3CDTF">1997-12-04T19:04:30Z</dcterms:created>
  <dcterms:modified xsi:type="dcterms:W3CDTF">2021-09-21T12:56:00Z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