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activeTab="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670" i="1" l="1"/>
  <c r="I198" i="1" l="1"/>
  <c r="H605" i="1" l="1"/>
  <c r="F15" i="13" l="1"/>
  <c r="D9" i="13"/>
  <c r="C10" i="12"/>
  <c r="C19" i="12"/>
  <c r="B19" i="12"/>
  <c r="B10" i="12"/>
  <c r="H592" i="1"/>
  <c r="J592" i="1"/>
  <c r="H576" i="1"/>
  <c r="H522" i="1" l="1"/>
  <c r="H524" i="1"/>
  <c r="H508" i="1"/>
  <c r="I508" i="1" l="1"/>
  <c r="G441" i="1" l="1"/>
  <c r="F500" i="1"/>
  <c r="F499" i="1"/>
  <c r="F369" i="1"/>
  <c r="F368" i="1"/>
  <c r="H198" i="1" l="1"/>
  <c r="H234" i="1"/>
  <c r="G161" i="1"/>
  <c r="G97" i="1"/>
  <c r="H155" i="1"/>
  <c r="H154"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1"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G653" i="1"/>
  <c r="H653" i="1"/>
  <c r="G654" i="1"/>
  <c r="H654" i="1"/>
  <c r="G655" i="1"/>
  <c r="H655" i="1"/>
  <c r="H656" i="1"/>
  <c r="G62" i="2"/>
  <c r="I170" i="1"/>
  <c r="J140" i="1" l="1"/>
  <c r="E123" i="2"/>
  <c r="E110" i="2"/>
  <c r="D18" i="13"/>
  <c r="C18" i="13" s="1"/>
  <c r="D15" i="13"/>
  <c r="C15" i="13" s="1"/>
  <c r="H477" i="1"/>
  <c r="H625" i="1" s="1"/>
  <c r="E119" i="2"/>
  <c r="E13" i="13"/>
  <c r="C13" i="13" s="1"/>
  <c r="H409" i="1"/>
  <c r="H645" i="1" s="1"/>
  <c r="E125" i="2"/>
  <c r="J572" i="1"/>
  <c r="E124" i="2"/>
  <c r="C119" i="2"/>
  <c r="K353" i="1"/>
  <c r="J656" i="1"/>
  <c r="J652" i="1"/>
  <c r="G553" i="1"/>
  <c r="C110" i="2"/>
  <c r="G662" i="1"/>
  <c r="H663" i="1"/>
  <c r="J258" i="1"/>
  <c r="C121" i="2"/>
  <c r="C120" i="2"/>
  <c r="A40" i="12"/>
  <c r="F258" i="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C141" i="2"/>
  <c r="C144" i="2" s="1"/>
  <c r="E128" i="2"/>
  <c r="H649" i="1"/>
  <c r="F661" i="1"/>
  <c r="F665" i="1" s="1"/>
  <c r="F668" i="1" s="1"/>
  <c r="I663" i="1"/>
  <c r="H661" i="1"/>
  <c r="H665" i="1" s="1"/>
  <c r="H668" i="1" s="1"/>
  <c r="F194" i="1"/>
  <c r="G628" i="1" s="1"/>
  <c r="J628" i="1" s="1"/>
  <c r="C81" i="2"/>
  <c r="E51" i="2"/>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<sst xmlns="http://schemas.openxmlformats.org/spreadsheetml/2006/main" count="5579" uniqueCount="1679">
  <si>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</si>
  <si>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</si>
  <si>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</si>
  <si>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</si>
  <si>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</si>
  <si>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</si>
  <si>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</si>
  <si>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</si>
  <si>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</si>
  <si>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</si>
  <si>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</si>
  <si>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</si>
  <si>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</si>
  <si>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</si>
  <si>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</si>
  <si>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</si>
  <si>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</si>
  <si>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</si>
  <si>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</si>
  <si>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</si>
  <si>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</si>
  <si>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</si>
  <si>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</si>
  <si>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</si>
  <si>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</si>
  <si>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</si>
  <si>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</si>
  <si>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</si>
  <si>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</si>
  <si>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</si>
  <si>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</si>
  <si>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</si>
  <si>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</si>
  <si>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</si>
  <si>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</si>
  <si>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</si>
  <si>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</si>
  <si>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</si>
  <si>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</si>
  <si>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</si>
  <si>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</si>
  <si>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</si>
  <si>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</si>
  <si>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</si>
  <si>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</si>
  <si>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</si>
  <si>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</si>
  <si>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</si>
  <si>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</si>
  <si>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</si>
  <si>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</si>
  <si>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</si>
  <si>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</si>
  <si>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</si>
  <si>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</si>
  <si>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</si>
  <si>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</si>
  <si>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</si>
  <si>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</si>
  <si>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</si>
  <si>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</si>
  <si>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</si>
  <si>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</si>
  <si>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</si>
  <si>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</si>
  <si>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</si>
  <si>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</si>
  <si>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</si>
  <si>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</si>
  <si>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</si>
  <si>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</si>
  <si>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</si>
  <si>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</si>
  <si>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</si>
  <si>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</si>
  <si>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</si>
  <si>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</si>
  <si>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</si>
  <si>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</si>
  <si>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</si>
  <si>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</si>
  <si>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</si>
  <si>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</si>
  <si>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</si>
  <si>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</si>
  <si>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</si>
  <si>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</si>
  <si>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</si>
  <si>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</si>
  <si>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</si>
  <si>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</si>
  <si>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</si>
  <si>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</si>
  <si>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</si>
  <si>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</si>
  <si>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</si>
  <si>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</si>
  <si>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</si>
  <si>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</si>
  <si>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</si>
  <si>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</si>
  <si>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</si>
  <si>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</si>
  <si>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</si>
  <si>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</si>
  <si>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</si>
  <si>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</si>
  <si>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</si>
  <si>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</si>
  <si>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</si>
  <si>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</si>
  <si>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</si>
  <si>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</si>
  <si>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</si>
  <si>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</si>
  <si>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</si>
  <si>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</si>
  <si>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</si>
  <si>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</si>
  <si>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</si>
  <si>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</si>
  <si>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</si>
  <si>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</si>
  <si>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</si>
  <si>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</si>
  <si>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</si>
  <si>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</si>
  <si>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</si>
  <si>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</si>
  <si>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</si>
  <si>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</si>
  <si>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</si>
  <si>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</si>
  <si>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</si>
  <si>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</si>
  <si>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</si>
  <si>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</si>
  <si>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</si>
  <si>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</si>
  <si>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</si>
  <si>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</si>
  <si>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</si>
  <si>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</si>
  <si>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</si>
  <si>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</si>
  <si>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</si>
  <si>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</si>
  <si>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</si>
  <si>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</si>
  <si>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</si>
  <si>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</si>
  <si>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</si>
  <si>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</si>
  <si>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</si>
  <si>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</si>
  <si>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</si>
  <si>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</si>
  <si>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</si>
  <si>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</si>
  <si>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</si>
  <si>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</si>
  <si>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</si>
  <si>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</si>
  <si>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</si>
  <si>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</si>
  <si>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</si>
  <si>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</si>
  <si>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</si>
  <si>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</si>
  <si>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</si>
  <si>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</si>
  <si>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</si>
  <si>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</si>
  <si>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</si>
  <si>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</si>
  <si>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</si>
  <si>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</si>
  <si>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</si>
  <si>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</si>
  <si>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</si>
  <si>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</si>
  <si>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</si>
  <si>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</si>
  <si>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</si>
  <si>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</si>
  <si>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</si>
  <si>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</si>
  <si>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</si>
  <si>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</si>
  <si>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</si>
  <si>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</si>
  <si>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</si>
  <si>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</si>
  <si>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</si>
  <si>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</si>
  <si>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</si>
  <si>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</si>
  <si>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</si>
  <si>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</si>
  <si>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</si>
  <si>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</si>
  <si>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</si>
  <si>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</si>
  <si>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</si>
  <si>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</si>
  <si>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</si>
  <si>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</si>
  <si>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</si>
  <si>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</si>
  <si>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</si>
  <si>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</si>
  <si>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</si>
  <si>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</si>
  <si>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</si>
  <si>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</si>
  <si>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</si>
  <si>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</si>
  <si>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</si>
  <si>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</si>
  <si>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</si>
  <si>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</si>
  <si>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</si>
  <si>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</si>
  <si>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</si>
  <si>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</si>
  <si>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</si>
  <si>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</si>
  <si>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</si>
  <si>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</si>
  <si>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</si>
  <si>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</si>
  <si>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</si>
  <si>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</si>
  <si>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</si>
  <si>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</si>
  <si>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</si>
  <si>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</si>
  <si>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</si>
  <si>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</si>
  <si>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</si>
  <si>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</si>
  <si>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</si>
  <si>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</si>
  <si>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</si>
  <si>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</si>
  <si>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</si>
  <si>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</si>
  <si>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</si>
  <si>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</si>
  <si>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</si>
  <si>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</si>
  <si>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</si>
  <si>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</si>
  <si>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</si>
  <si>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</si>
  <si>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</si>
  <si>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</si>
  <si>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</si>
  <si>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</si>
  <si>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</si>
  <si>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</si>
  <si>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</si>
  <si>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</si>
  <si>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</si>
  <si>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</si>
  <si>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</si>
  <si>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</si>
  <si>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</si>
  <si>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</si>
  <si>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</si>
  <si>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</si>
  <si>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</si>
  <si>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</si>
  <si>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</si>
  <si>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</si>
  <si>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</si>
  <si>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</si>
  <si>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</si>
  <si>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</si>
  <si>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</si>
  <si>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</si>
  <si>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</si>
  <si>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</si>
  <si>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</si>
  <si>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</si>
  <si>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</si>
  <si>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</si>
  <si>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</si>
  <si>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</si>
  <si>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</si>
  <si>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</si>
  <si>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</si>
  <si>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</si>
  <si>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</si>
  <si>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</si>
  <si>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</si>
  <si>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</si>
  <si>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</si>
  <si>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</si>
  <si>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</si>
  <si>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</si>
  <si>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</si>
  <si>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</si>
  <si>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</si>
  <si>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</si>
  <si>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</si>
  <si>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</si>
  <si>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</si>
  <si>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</si>
  <si>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</si>
  <si>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</si>
  <si>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</si>
  <si>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</si>
  <si>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</si>
  <si>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</si>
  <si>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</si>
  <si>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</si>
  <si>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</si>
  <si>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</si>
  <si>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</si>
  <si>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</si>
  <si>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</si>
  <si>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</si>
  <si>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</si>
  <si>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</si>
  <si>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</si>
  <si>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</si>
  <si>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</si>
  <si>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</si>
  <si>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</si>
  <si>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</si>
  <si>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</si>
  <si>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</si>
  <si>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</si>
  <si>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</si>
  <si>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</si>
  <si>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</si>
  <si>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</si>
  <si>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</si>
  <si>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</si>
  <si>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</si>
  <si>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</si>
  <si>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</si>
  <si>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</si>
  <si>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</si>
  <si>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</si>
  <si>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</si>
  <si>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</si>
  <si>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</si>
  <si>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</si>
  <si>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</si>
  <si>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</si>
  <si>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</si>
  <si>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</si>
  <si>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</si>
  <si>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</si>
  <si>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</si>
  <si>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</si>
  <si>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</si>
  <si>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</si>
  <si>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</si>
  <si>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</si>
  <si>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</si>
  <si>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</si>
  <si>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</si>
  <si>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</si>
  <si>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</si>
  <si>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</si>
  <si>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</si>
  <si>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</si>
  <si>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</si>
  <si>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</si>
  <si>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</si>
  <si>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</si>
  <si>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</si>
  <si>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</si>
  <si>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</si>
  <si>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</si>
  <si>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</si>
  <si>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</si>
  <si>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</si>
  <si>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</si>
  <si>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</si>
  <si>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</si>
  <si>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</si>
  <si>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</si>
  <si>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</si>
  <si>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</si>
  <si>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</si>
  <si>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</si>
  <si>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</si>
  <si>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</si>
  <si>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</si>
  <si>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</si>
  <si>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</si>
  <si>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</si>
  <si>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</si>
  <si>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</si>
  <si>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</si>
  <si>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</si>
  <si>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</si>
  <si>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</si>
  <si>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</si>
  <si>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</si>
  <si>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</si>
  <si>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</si>
  <si>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</si>
  <si>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</si>
  <si>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</si>
  <si>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</si>
  <si>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</si>
  <si>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</si>
  <si>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</si>
  <si>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</si>
  <si>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</si>
  <si>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</si>
  <si>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</si>
  <si>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</si>
  <si>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</si>
  <si>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</si>
  <si>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</si>
  <si>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</si>
  <si>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</si>
  <si>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</si>
  <si>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</si>
  <si>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</si>
  <si>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</si>
  <si>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</si>
  <si>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</si>
  <si>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</si>
  <si>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</si>
  <si>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</si>
  <si>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</si>
  <si>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</si>
  <si>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</si>
  <si>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</si>
  <si>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</si>
  <si>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</si>
  <si>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</si>
  <si>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</si>
  <si>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</si>
  <si>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</si>
  <si>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</si>
  <si>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</si>
  <si>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</si>
  <si>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</si>
  <si>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</si>
  <si>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</si>
  <si>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</si>
  <si>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</si>
  <si>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</si>
  <si>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</si>
  <si>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</si>
  <si>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</si>
  <si>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</si>
  <si>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</si>
  <si>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</si>
  <si>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</si>
  <si>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</si>
  <si>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</si>
  <si>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</si>
  <si>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</si>
  <si>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</si>
  <si>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</si>
  <si>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</si>
  <si>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</si>
  <si>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</si>
  <si>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</si>
  <si>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</si>
  <si>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</si>
  <si>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</si>
  <si>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</si>
  <si>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</si>
  <si>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</si>
  <si>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</si>
  <si>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</si>
  <si>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</si>
  <si>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</si>
  <si>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</si>
  <si>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</si>
  <si>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</si>
  <si>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</si>
  <si>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</si>
  <si>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</si>
  <si>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</si>
  <si>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</si>
  <si>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</si>
  <si>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</si>
  <si>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</si>
  <si>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</si>
  <si>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</si>
  <si>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</si>
  <si>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</si>
  <si>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</si>
  <si>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</si>
  <si>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</si>
  <si>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</si>
  <si>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</si>
  <si>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</si>
  <si>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</si>
  <si>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</si>
  <si>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</si>
  <si>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</si>
  <si>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</si>
  <si>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</si>
  <si>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</si>
  <si>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</si>
  <si>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</si>
  <si>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</si>
  <si>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</si>
  <si>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</si>
  <si>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</si>
  <si>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</si>
  <si>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</si>
  <si>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</si>
  <si>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</si>
  <si>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</si>
  <si>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</si>
  <si>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</si>
  <si>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</si>
  <si>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</si>
  <si>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</si>
  <si>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</si>
  <si>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</si>
  <si>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</si>
  <si>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</si>
  <si>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</si>
  <si>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</si>
  <si>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</si>
  <si>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</si>
  <si>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</si>
  <si>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</si>
  <si>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</si>
  <si>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</si>
  <si>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</si>
  <si>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</si>
  <si>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</si>
  <si>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</si>
  <si>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</si>
  <si>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</si>
  <si>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</si>
  <si>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</si>
  <si>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</si>
  <si>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</si>
  <si>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</si>
  <si>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</si>
  <si>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</si>
  <si>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</si>
  <si>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</si>
  <si>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</si>
  <si>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</si>
  <si>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</si>
  <si>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</si>
  <si>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</si>
  <si>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</si>
  <si>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</si>
  <si>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</si>
  <si>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</si>
  <si>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</si>
  <si>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</si>
  <si>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</si>
  <si>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</si>
  <si>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</si>
  <si>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</si>
  <si>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</si>
  <si>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</si>
  <si>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</si>
  <si>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</si>
  <si>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</si>
  <si>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</si>
  <si>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</si>
  <si>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</si>
  <si>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</si>
  <si>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</si>
  <si>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</si>
  <si>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</si>
  <si>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</si>
  <si>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</si>
  <si>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</si>
  <si>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</si>
  <si>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</si>
  <si>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</si>
  <si>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</si>
  <si>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</si>
  <si>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</si>
  <si>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</si>
  <si>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</si>
  <si>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</si>
  <si>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</si>
  <si>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</si>
  <si>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</si>
  <si>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</si>
  <si>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</si>
  <si>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</si>
  <si>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</si>
  <si>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</si>
  <si>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</si>
  <si>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</si>
  <si>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</si>
  <si>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</si>
  <si>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</si>
  <si>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</si>
  <si>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</si>
  <si>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</si>
  <si>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</si>
  <si>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</si>
  <si>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</si>
  <si>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</si>
  <si>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</si>
  <si>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</si>
  <si>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</si>
  <si>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</si>
  <si>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</si>
  <si>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</si>
  <si>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</si>
  <si>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</si>
  <si>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</si>
  <si>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</si>
  <si>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</si>
  <si>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</si>
  <si>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</si>
  <si>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</si>
  <si>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</si>
  <si>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</si>
  <si>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</si>
  <si>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</si>
  <si>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</si>
  <si>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</si>
  <si>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</si>
  <si>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</si>
  <si>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</si>
  <si>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</si>
  <si>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</si>
  <si>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</si>
  <si>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</si>
  <si>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</si>
  <si>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</si>
  <si>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</si>
  <si>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</si>
  <si>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</si>
  <si>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</si>
  <si>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</si>
  <si>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</si>
  <si>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</si>
  <si>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</si>
  <si>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</si>
  <si>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</si>
  <si>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</si>
  <si>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</si>
  <si>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</si>
  <si>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</si>
  <si>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</si>
  <si>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</si>
  <si>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</si>
  <si>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</si>
  <si>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</si>
  <si>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</si>
  <si>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</si>
  <si>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</si>
  <si>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</si>
  <si>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</si>
  <si>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</si>
  <si>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</si>
  <si>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</si>
  <si>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</si>
  <si>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</si>
  <si>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</si>
  <si>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</si>
  <si>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</si>
  <si>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</si>
  <si>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</si>
  <si>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</si>
  <si>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</si>
  <si>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</si>
  <si>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</si>
  <si>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</si>
  <si>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</si>
  <si>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</si>
  <si>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</si>
  <si>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</si>
  <si>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</si>
  <si>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</si>
  <si>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</si>
  <si>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</si>
  <si>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</si>
  <si>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</si>
  <si>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</si>
  <si>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</si>
  <si>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</si>
  <si>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</si>
  <si>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</si>
  <si>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</si>
  <si>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</si>
  <si>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</si>
  <si>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</si>
  <si>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</si>
  <si>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</si>
  <si>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</si>
  <si>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</si>
  <si>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</si>
  <si>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</si>
  <si>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</si>
  <si>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</si>
  <si>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</si>
  <si>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</si>
  <si>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</si>
  <si>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</si>
  <si>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</si>
  <si>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</si>
  <si>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</si>
  <si>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</si>
  <si>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</si>
  <si>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</si>
  <si>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</si>
  <si>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</si>
  <si>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</si>
  <si>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</si>
  <si>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</si>
  <si>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</si>
  <si>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</si>
  <si>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</si>
  <si>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</si>
  <si>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</si>
  <si>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</si>
  <si>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</si>
  <si>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</si>
  <si>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</si>
  <si>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</si>
  <si>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</si>
  <si>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</si>
  <si>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</si>
  <si>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</si>
  <si>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</si>
  <si>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</si>
  <si>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</si>
  <si>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</si>
  <si>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</si>
  <si>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</si>
  <si>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</si>
  <si>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</si>
  <si>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</si>
  <si>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</si>
  <si>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</si>
  <si>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</si>
  <si>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</si>
  <si>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</si>
  <si>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</si>
  <si>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</si>
  <si>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</si>
  <si>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</si>
  <si>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</si>
  <si>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</si>
  <si>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</si>
  <si>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</si>
  <si>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</si>
  <si>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</si>
  <si>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</si>
  <si>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</si>
  <si>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</si>
  <si>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</si>
  <si>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</si>
  <si>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</si>
  <si>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</si>
  <si>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</si>
  <si>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</si>
  <si>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</si>
  <si>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</si>
  <si>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</si>
  <si>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</si>
  <si>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</si>
  <si>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</si>
  <si>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</si>
  <si>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</si>
  <si>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</si>
  <si>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</si>
  <si>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</si>
  <si>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</si>
  <si>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</si>
  <si>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</si>
  <si>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</si>
  <si>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</si>
  <si>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</si>
  <si>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</si>
  <si>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</si>
  <si>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</si>
  <si>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</si>
  <si>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</si>
  <si>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</si>
  <si>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</si>
  <si>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</si>
  <si>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</si>
  <si>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</si>
  <si>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</si>
  <si>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</si>
  <si>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</si>
  <si>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</si>
  <si>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</si>
  <si>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</si>
  <si>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</si>
  <si>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</si>
  <si>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</si>
  <si>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</si>
  <si>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</si>
  <si>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</si>
  <si>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</si>
  <si>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</si>
  <si>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</si>
  <si>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</si>
  <si>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</si>
  <si>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</si>
  <si>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</si>
  <si>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</si>
  <si>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</si>
  <si>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</si>
  <si>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</si>
  <si>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</si>
  <si>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</si>
  <si>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</si>
  <si>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</si>
  <si>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</si>
  <si>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</si>
  <si>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</si>
  <si>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</si>
  <si>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</si>
  <si>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</si>
  <si>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</si>
  <si>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</si>
  <si>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</si>
  <si>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</si>
  <si>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</si>
  <si>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</si>
  <si>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</si>
  <si>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</si>
  <si>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</si>
  <si>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</si>
  <si>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</si>
  <si>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</si>
  <si>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</si>
  <si>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</si>
  <si>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</si>
  <si>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</si>
  <si>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</si>
  <si>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</si>
  <si>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</si>
  <si>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</si>
  <si>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</si>
  <si>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</si>
  <si>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</si>
  <si>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</si>
  <si>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</si>
  <si>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</si>
  <si>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</si>
  <si>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</si>
  <si>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</si>
  <si>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</si>
  <si>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</si>
  <si>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</si>
  <si>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</si>
  <si>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</si>
  <si>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</si>
  <si>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</si>
  <si>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</si>
  <si>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</si>
  <si>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</si>
  <si>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</si>
  <si>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</si>
  <si>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</si>
  <si>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</si>
  <si>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</si>
  <si>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</si>
  <si>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</si>
  <si>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</si>
  <si>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</si>
  <si>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</si>
  <si>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</si>
  <si>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</si>
  <si>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</si>
  <si>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</si>
  <si>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</si>
  <si>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</si>
  <si>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</si>
  <si>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</si>
  <si>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</si>
  <si>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</si>
  <si>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</si>
  <si>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</si>
  <si>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</si>
  <si>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</si>
  <si>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</si>
  <si>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</si>
  <si>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</si>
  <si>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</si>
  <si>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</si>
  <si>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</si>
  <si>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</si>
  <si>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</si>
  <si>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</si>
  <si>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</si>
  <si>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</si>
  <si>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</si>
  <si>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</si>
  <si>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</si>
  <si>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</si>
  <si>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</si>
  <si>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</si>
  <si>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</si>
  <si>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</si>
  <si>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</si>
  <si>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</si>
  <si>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</si>
  <si>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</si>
  <si>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</si>
  <si>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</si>
  <si>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</si>
  <si>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</si>
  <si>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</si>
  <si>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</si>
  <si>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</si>
  <si>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</si>
  <si>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</si>
  <si>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</si>
  <si>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</si>
  <si>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</si>
  <si>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</si>
  <si>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</si>
  <si>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</si>
  <si>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</si>
  <si>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</si>
  <si>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</si>
  <si>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</si>
  <si>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</si>
  <si>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</si>
  <si>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</si>
  <si>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</si>
  <si>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</si>
  <si>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</si>
  <si>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</si>
  <si>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</si>
  <si>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</si>
  <si>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</si>
  <si>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</si>
  <si>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</si>
  <si>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</si>
  <si>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</si>
  <si>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</si>
  <si>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</si>
  <si>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</si>
  <si>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</si>
  <si>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</si>
  <si>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</si>
  <si>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</si>
  <si>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</si>
  <si>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</si>
  <si>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</si>
  <si>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</si>
  <si>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</si>
  <si>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</si>
  <si>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</si>
  <si>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</si>
  <si>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</si>
  <si>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</si>
  <si>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</si>
  <si>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</si>
  <si>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</si>
  <si>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</si>
  <si>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</si>
  <si>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</si>
  <si>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</si>
  <si>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</si>
  <si>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</si>
  <si>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</si>
  <si>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</si>
  <si>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</si>
  <si>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</si>
  <si>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</si>
  <si>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</si>
  <si>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</si>
  <si>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</si>
  <si>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</si>
  <si>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</si>
  <si>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</si>
  <si>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</si>
  <si>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</si>
  <si>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</si>
  <si>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</si>
  <si>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</si>
  <si>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</si>
  <si>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</si>
  <si>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</si>
  <si>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</si>
  <si>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</si>
  <si>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</si>
  <si>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</si>
  <si>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</si>
  <si>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</si>
  <si>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</si>
  <si>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</si>
  <si>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</si>
  <si>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</si>
  <si>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</si>
  <si>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</si>
  <si>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</si>
  <si>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</si>
  <si>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</si>
  <si>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</si>
  <si>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</si>
  <si>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</si>
  <si>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</si>
  <si>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</si>
  <si>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</si>
  <si>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</si>
  <si>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</si>
  <si>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</si>
  <si>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</si>
  <si>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</si>
  <si>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</si>
  <si>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</si>
  <si>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</si>
  <si>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</si>
  <si>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</si>
  <si>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</si>
  <si>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</si>
  <si>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</si>
  <si>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</si>
  <si>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</si>
  <si>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</si>
  <si>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</si>
  <si>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</si>
  <si>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</si>
  <si>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</si>
  <si>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</si>
  <si>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</si>
  <si>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</si>
  <si>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</si>
  <si>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</si>
  <si>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</si>
  <si>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</si>
  <si>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</si>
  <si>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</si>
  <si>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</si>
  <si>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</si>
  <si>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</si>
  <si>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</si>
  <si>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</si>
  <si>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</si>
  <si>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</si>
  <si>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</si>
  <si>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</si>
  <si>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</si>
  <si>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</si>
  <si>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</si>
  <si>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</si>
  <si>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</si>
  <si>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</si>
  <si>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</si>
  <si>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</si>
  <si>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</si>
  <si>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</si>
  <si>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</si>
  <si>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</si>
  <si>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</si>
  <si>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</si>
  <si>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</si>
  <si>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</si>
  <si>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</si>
  <si>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</si>
  <si>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</si>
  <si>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</si>
  <si>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</si>
  <si>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</si>
  <si>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</si>
  <si>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</si>
  <si>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</si>
  <si>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</si>
  <si>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</si>
  <si>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</si>
  <si>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</si>
  <si>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</si>
  <si>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</si>
  <si>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</si>
  <si>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</si>
  <si>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</si>
  <si>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</si>
  <si>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</si>
  <si>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</si>
  <si>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</si>
  <si>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</si>
  <si>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</si>
  <si>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</si>
  <si>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</si>
  <si>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</si>
  <si>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</si>
  <si>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</si>
  <si>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</si>
  <si>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</si>
  <si>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</si>
  <si>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</si>
  <si>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</si>
  <si>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</si>
  <si>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</si>
  <si>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</si>
  <si>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</si>
  <si>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</si>
  <si>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</si>
  <si>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</si>
  <si>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</si>
  <si>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</si>
  <si>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</si>
  <si>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</si>
  <si>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</si>
  <si>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</si>
  <si>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</si>
  <si>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</si>
  <si>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</si>
  <si>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</si>
  <si>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</si>
  <si>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</si>
  <si>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</si>
  <si>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</si>
  <si>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</si>
  <si>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</si>
  <si>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</si>
  <si>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</si>
  <si>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</si>
  <si>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</si>
  <si>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</si>
  <si>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</si>
  <si>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</si>
  <si>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</si>
  <si>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</si>
  <si>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</si>
  <si>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</si>
  <si>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</si>
  <si>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</si>
  <si>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</si>
  <si>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</si>
  <si>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</si>
  <si>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</si>
  <si>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</si>
  <si>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</si>
  <si>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</si>
  <si>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</si>
  <si>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</si>
  <si>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</si>
  <si>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</si>
  <si>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</si>
  <si>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</si>
  <si>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</si>
  <si>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</si>
  <si>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</si>
  <si>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</si>
  <si>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</si>
  <si>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</si>
  <si>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</si>
  <si>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</si>
  <si>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</si>
  <si>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</si>
  <si>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</si>
  <si>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</si>
  <si>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</si>
  <si>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</si>
  <si>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</si>
  <si>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</si>
  <si>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</si>
  <si>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</si>
  <si>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</si>
  <si>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</si>
  <si>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</si>
  <si>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</si>
  <si>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</si>
  <si>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</si>
  <si>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</si>
  <si>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</si>
  <si>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</si>
  <si>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</si>
  <si>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</si>
  <si>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</si>
  <si>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</si>
  <si>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</si>
  <si>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</si>
  <si>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</si>
  <si>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</si>
  <si>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</si>
  <si>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</si>
  <si>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</si>
  <si>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</si>
  <si>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</si>
  <si>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</si>
  <si>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</si>
  <si>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</si>
  <si>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</si>
  <si>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</si>
  <si>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</si>
  <si>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</si>
  <si>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</si>
  <si>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</si>
  <si>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</si>
  <si>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</si>
  <si>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</si>
  <si>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</si>
  <si>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</si>
  <si>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</si>
  <si>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</si>
  <si>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</si>
  <si>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</si>
  <si>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</si>
  <si>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</si>
  <si>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</si>
  <si>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</si>
  <si>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</si>
  <si>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</si>
  <si>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</si>
  <si>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</si>
  <si>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</si>
  <si>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</si>
  <si>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</si>
  <si>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</si>
  <si>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</si>
  <si>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</si>
  <si>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</si>
  <si>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</si>
  <si>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</si>
  <si>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</si>
  <si>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</si>
  <si>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</si>
  <si>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</si>
  <si>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</si>
  <si>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</si>
  <si>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</si>
  <si>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</si>
  <si>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</si>
  <si>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</si>
  <si>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</si>
  <si>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</si>
  <si>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</si>
  <si>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</si>
  <si>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</si>
  <si>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</si>
  <si>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</si>
  <si>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</si>
  <si>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</si>
  <si>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</si>
  <si>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</si>
  <si>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</si>
  <si>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</si>
  <si>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</si>
  <si>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</si>
  <si>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</si>
  <si>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</si>
  <si>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</si>
  <si>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</si>
  <si>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</si>
  <si>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</si>
  <si>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</si>
  <si>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</si>
  <si>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</si>
  <si>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</si>
  <si>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</si>
  <si>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</si>
  <si>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</si>
  <si>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</si>
  <si>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</si>
  <si>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</si>
  <si>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</si>
  <si>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</si>
  <si>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</si>
  <si>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</si>
  <si>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</si>
  <si>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</si>
  <si>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</si>
  <si>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</si>
  <si>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</si>
  <si>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</si>
  <si>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</si>
  <si>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</si>
  <si>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</si>
  <si>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</si>
  <si>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</si>
  <si>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</si>
  <si>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</si>
  <si>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</si>
  <si>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</si>
  <si>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</si>
  <si>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</si>
  <si>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</si>
  <si>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</si>
  <si>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</si>
  <si>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</si>
  <si>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</si>
  <si>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</si>
  <si>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</si>
  <si>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</si>
  <si>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</si>
  <si>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</si>
  <si>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</si>
  <si>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</si>
  <si>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</si>
  <si>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</si>
  <si>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</si>
  <si>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</si>
  <si>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</si>
  <si>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</si>
  <si>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</si>
  <si>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</si>
  <si>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</si>
  <si>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</si>
  <si>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</si>
  <si>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</si>
  <si>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</si>
  <si>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</si>
  <si>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</si>
  <si>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</si>
  <si>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</si>
  <si>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</si>
  <si>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</si>
  <si>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</si>
  <si>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</si>
  <si>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</si>
  <si>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</si>
  <si>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</si>
  <si>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</si>
  <si>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</si>
  <si>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</si>
  <si>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</si>
  <si>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</si>
  <si>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</si>
  <si>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</si>
  <si>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</si>
  <si>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</si>
  <si>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</si>
  <si>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</si>
  <si>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</si>
  <si>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</si>
  <si>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</si>
  <si>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</si>
  <si>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</si>
  <si>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</si>
  <si>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</si>
  <si>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</si>
  <si>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</si>
  <si>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</si>
  <si>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</si>
  <si>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</si>
  <si>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</si>
  <si>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</si>
  <si>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</si>
  <si>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</si>
  <si>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</si>
  <si>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</si>
  <si>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</si>
  <si>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</si>
  <si>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</si>
  <si>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</si>
  <si>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</si>
  <si>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</si>
  <si>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</si>
  <si>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</si>
  <si>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</si>
  <si>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</si>
  <si>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</si>
  <si>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</si>
  <si>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</si>
  <si>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</si>
  <si>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</si>
  <si>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</si>
  <si>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</si>
  <si>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</si>
  <si>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</si>
  <si>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</si>
  <si>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</si>
  <si>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</si>
  <si>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</si>
  <si>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</si>
  <si>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</si>
  <si>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</si>
  <si>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</si>
  <si>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</si>
  <si>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</si>
  <si>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</si>
  <si>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</si>
  <si>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</si>
  <si>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</si>
  <si>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</si>
  <si>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</si>
  <si>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</si>
  <si>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</si>
  <si>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</si>
  <si>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</si>
  <si>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</si>
  <si>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</si>
  <si>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</si>
  <si>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</si>
  <si>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</si>
  <si>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</si>
  <si>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</si>
  <si>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</si>
  <si>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</si>
  <si>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</si>
  <si>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</si>
  <si>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</si>
  <si>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</si>
  <si>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</si>
  <si>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</si>
  <si>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</si>
  <si>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</si>
  <si>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</si>
  <si>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</si>
  <si>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</si>
  <si>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</si>
  <si>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</si>
  <si>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</si>
  <si>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</si>
  <si>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</si>
  <si>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</si>
  <si>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</si>
  <si>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</si>
  <si>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</si>
  <si>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</si>
  <si>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</si>
  <si>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</si>
  <si>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</si>
  <si>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</si>
  <si>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</si>
  <si>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</si>
  <si>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</si>
  <si>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</si>
  <si>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</si>
  <si>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</si>
  <si>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</si>
  <si>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</si>
  <si>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</si>
  <si>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</si>
  <si>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</si>
  <si>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</si>
  <si>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</si>
  <si>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</si>
  <si>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</si>
  <si>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</si>
  <si>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</si>
  <si>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</si>
  <si>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</si>
  <si>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</si>
  <si>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</si>
  <si>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</si>
  <si>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</si>
  <si>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</si>
  <si>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</si>
  <si>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</si>
  <si>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</si>
  <si>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</si>
  <si>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</si>
  <si>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</si>
  <si>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</si>
  <si>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</si>
  <si>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</si>
  <si>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</si>
  <si>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</si>
  <si>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</si>
  <si>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</si>
  <si>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</si>
  <si>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</si>
  <si>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</si>
  <si>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</si>
  <si>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</si>
  <si>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</si>
  <si>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</si>
  <si>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</si>
  <si>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</si>
  <si>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</si>
  <si>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</si>
  <si>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</si>
  <si>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</si>
  <si>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</si>
  <si>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</si>
  <si>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</si>
  <si>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</si>
  <si>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</si>
  <si>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</si>
  <si>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</si>
  <si>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</si>
  <si>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</si>
  <si>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</si>
  <si>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</si>
  <si>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</si>
  <si>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</si>
  <si>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</si>
  <si>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</si>
  <si>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</si>
  <si>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</si>
  <si>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</si>
  <si>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</si>
  <si>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</si>
  <si>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</si>
  <si>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</si>
  <si>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</si>
  <si>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</si>
  <si>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</si>
  <si>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</si>
  <si>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</si>
  <si>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</si>
  <si>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</si>
  <si>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</si>
  <si>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</si>
  <si>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</si>
  <si>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</si>
  <si>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</si>
  <si>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</si>
  <si>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</si>
  <si>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</si>
  <si>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</si>
  <si>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</si>
  <si>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</si>
  <si>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</si>
  <si>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</si>
  <si>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</si>
  <si>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</si>
  <si>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</si>
  <si>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</si>
  <si>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</si>
  <si>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</si>
  <si>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</si>
  <si>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</si>
  <si>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</si>
  <si>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</si>
  <si>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</si>
  <si>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</si>
  <si>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</si>
  <si>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</si>
  <si>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</si>
  <si>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</si>
  <si>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</si>
  <si>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</si>
  <si>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</si>
  <si>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</si>
  <si>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</si>
  <si>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</si>
  <si>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</si>
  <si>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</si>
  <si>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</si>
  <si>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</si>
  <si>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</si>
  <si>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</si>
  <si>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</si>
  <si>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</si>
  <si>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</si>
  <si>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</si>
  <si>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</si>
  <si>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</si>
  <si>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</si>
  <si>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</si>
  <si>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</si>
  <si>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</si>
  <si>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</si>
  <si>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</si>
  <si>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</si>
  <si>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</si>
  <si>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</si>
  <si>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</si>
  <si>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</si>
  <si>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</si>
  <si>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</si>
  <si>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</si>
  <si>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</si>
  <si>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</si>
  <si>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</si>
  <si>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</si>
  <si>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</si>
  <si>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</si>
  <si>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</si>
  <si>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</si>
  <si>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</si>
  <si>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</si>
  <si>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</si>
  <si>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</si>
  <si>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</si>
  <si>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</si>
  <si>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</si>
  <si>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</si>
  <si>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</si>
  <si>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</si>
  <si>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</si>
  <si>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</si>
  <si>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</si>
  <si>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</si>
  <si>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</si>
  <si>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</si>
  <si>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</si>
  <si>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</si>
  <si>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</si>
  <si>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</si>
  <si>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</si>
  <si>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</si>
  <si>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</si>
  <si>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</si>
  <si>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</si>
  <si>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</si>
  <si>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</si>
  <si>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</si>
  <si>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</si>
  <si>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</si>
  <si>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</si>
  <si>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</si>
  <si>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</si>
  <si>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</si>
  <si>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</si>
  <si>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</si>
  <si>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</si>
  <si>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</si>
  <si>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</si>
  <si>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</si>
  <si>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</si>
  <si>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</si>
  <si>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</si>
  <si>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</si>
  <si>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</si>
  <si>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</si>
  <si>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</si>
  <si>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</si>
  <si>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</si>
  <si>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</si>
  <si>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</si>
  <si>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</si>
  <si>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</si>
  <si>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</si>
  <si>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</si>
  <si>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</si>
  <si>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</si>
  <si>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</si>
  <si>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</si>
  <si>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</si>
  <si>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</si>
  <si>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</si>
  <si>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</si>
  <si>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</si>
  <si>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</si>
  <si>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</si>
  <si>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</si>
  <si>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</si>
  <si>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</si>
  <si>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</si>
  <si>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</si>
  <si>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</si>
  <si>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</si>
  <si>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</si>
  <si>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</si>
  <si>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</si>
  <si>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</si>
  <si>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</si>
  <si>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</si>
  <si>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</si>
  <si>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</si>
  <si>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</si>
  <si>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</si>
  <si>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</si>
  <si>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</si>
  <si>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</si>
  <si>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</si>
  <si>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</si>
  <si>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</si>
  <si>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</si>
  <si>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</si>
  <si>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</si>
  <si>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</si>
  <si>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</si>
  <si>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</si>
  <si>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</si>
  <si>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</si>
  <si>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</si>
  <si>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</si>
  <si>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</si>
  <si>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</si>
  <si>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</si>
  <si>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TAMWORTH SCHOOL DISTRICT</t>
  </si>
  <si>
    <t>FUNDS INCLUDE FOOD DELIVERY SUPPLIES AND EQUIPMENT FROM ESSER</t>
  </si>
  <si>
    <t>04/02</t>
  </si>
  <si>
    <t>07/22</t>
  </si>
  <si>
    <t xml:space="preserve">funds include mentor and communication    </t>
  </si>
  <si>
    <t>CAPITAL RESERVE FUND PAYABLE</t>
  </si>
  <si>
    <t>no athletic trips due to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</si>
</sst>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64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525</v>
      </c>
      <c r="C2" s="21">
        <v>525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935005.15</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2191.5</v>
      </c>
      <c r="G10" s="18"/>
      <c r="H10" s="18"/>
      <c r="I10" s="18"/>
      <c r="J10" s="67">
        <f>SUM(I441)</f>
        <v>212108.26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44741.43</v>
      </c>
      <c r="G12" s="18">
        <v>-9502.18</v>
      </c>
      <c r="H12" s="18">
        <v>-8571.16</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4240.7</v>
      </c>
      <c r="G13" s="18">
        <v>9502.18</v>
      </c>
      <c r="H13" s="18">
        <v>39435.01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5037.4399999999996</v>
      </c>
      <c r="G14" s="18"/>
      <c r="H14" s="18"/>
      <c r="I14" s="18"/>
      <c r="J14" s="67">
        <f>SUM(I444)</f>
        <v>30000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991216.22</v>
      </c>
      <c r="G19" s="41">
        <f>SUM(G9:G18)</f>
        <v>0</v>
      </c>
      <c r="H19" s="41">
        <f>SUM(H9:H18)</f>
        <v>30863.850000000002</v>
      </c>
      <c r="I19" s="41">
        <f>SUM(I9:I18)</f>
        <v>0</v>
      </c>
      <c r="J19" s="41">
        <f>SUM(J9:J18)</f>
        <v>242108.26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30000</v>
      </c>
      <c r="G22" s="18"/>
      <c r="H22" s="18">
        <v>26508.09</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98224.66</v>
      </c>
      <c r="G24" s="18"/>
      <c r="H24" s="18">
        <v>1225.29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251454.41</v>
      </c>
      <c r="G30" s="18"/>
      <c r="H30" s="18">
        <v>3130.47</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379679.07</v>
      </c>
      <c r="G32" s="41">
        <f>SUM(G22:G31)</f>
        <v>0</v>
      </c>
      <c r="H32" s="41">
        <f>SUM(H22:H31)</f>
        <v>30863.850000000002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153228.75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242108.26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428308.4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611537.15</v>
      </c>
      <c r="G51" s="41">
        <f>SUM(G35:G50)</f>
        <v>0</v>
      </c>
      <c r="H51" s="41">
        <f>SUM(H35:H50)</f>
        <v>0</v>
      </c>
      <c r="I51" s="41">
        <f>SUM(I35:I50)</f>
        <v>0</v>
      </c>
      <c r="J51" s="41">
        <f>SUM(J35:J50)</f>
        <v>242108.26</v>
      </c>
      <c r="K51" s="45" t="s">
        <v>288</v>
      </c>
      <c r="L51" s="45" t="s">
        <v>288</v>
      </c>
      <c r="N51" s="262"/>
    </row>
    <row r="52" spans="1:14" s="3" customFormat="1" ht="12.2" customHeight="1" thickTop="1" x14ac:dyDescent="0.15">
      <c r="A52" s="38" t="s">
        <v>455</v>
      </c>
      <c r="B52" s="39" t="s">
        <v>289</v>
      </c>
      <c r="C52" s="6">
        <v>37</v>
      </c>
      <c r="D52" s="39" t="s">
        <v>653</v>
      </c>
      <c r="E52" s="39"/>
      <c r="F52" s="41">
        <f>F51+F32</f>
        <v>991216.22</v>
      </c>
      <c r="G52" s="41">
        <f>G51+G32</f>
        <v>0</v>
      </c>
      <c r="H52" s="41">
        <f>H51+H32</f>
        <v>30863.850000000002</v>
      </c>
      <c r="I52" s="41">
        <f>I51+I32</f>
        <v>0</v>
      </c>
      <c r="J52" s="41">
        <f>J51+J32</f>
        <v>242108.26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5420635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5420635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342.91</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f>819+2144.6</f>
        <v>2963.6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7755.74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8101.65</v>
      </c>
      <c r="G111" s="41">
        <f>SUM(G96:G110)</f>
        <v>2963.6</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5428736.6500000004</v>
      </c>
      <c r="G112" s="41">
        <f>G60+G111</f>
        <v>2963.6</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930772.46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708515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1639287.46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49083.34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313.26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49083.34</v>
      </c>
      <c r="G136" s="41">
        <f>SUM(G123:G135)</f>
        <v>313.26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1688370.8</v>
      </c>
      <c r="G140" s="41">
        <f>G121+SUM(G136:G137)</f>
        <v>313.26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7447.67+106556.41</f>
        <v>114004.08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8986.48+2413.97+6569.64+9959.77+2129.63+2519.33</f>
        <v>32578.82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74185.48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45689.62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f>10038.04+4802.62</f>
        <v>14840.66</v>
      </c>
      <c r="H161" s="18">
        <v>57800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58910.58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45689.62</v>
      </c>
      <c r="G163" s="41">
        <f>SUM(G150:G162)</f>
        <v>89026.14</v>
      </c>
      <c r="H163" s="41">
        <f>SUM(H150:H162)</f>
        <v>263293.48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103.12</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45792.740000000005</v>
      </c>
      <c r="G170" s="41">
        <f>G147+G163+SUM(G164:G169)</f>
        <v>89026.14</v>
      </c>
      <c r="H170" s="41">
        <f>H147+H163+SUM(H164:H169)</f>
        <v>263293.48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50642.94</v>
      </c>
      <c r="H180" s="18"/>
      <c r="I180" s="18"/>
      <c r="J180" s="18">
        <v>30000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50642.94</v>
      </c>
      <c r="H184" s="41">
        <f>SUM(H180:H183)</f>
        <v>0</v>
      </c>
      <c r="I184" s="41">
        <f>SUM(I180:I183)</f>
        <v>0</v>
      </c>
      <c r="J184" s="41">
        <f>SUM(J180:J183)</f>
        <v>30000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50642.94</v>
      </c>
      <c r="H193" s="41">
        <f>+H184+SUM(H189:H192)</f>
        <v>0</v>
      </c>
      <c r="I193" s="41">
        <f>I178+I184+SUM(I189:I192)</f>
        <v>0</v>
      </c>
      <c r="J193" s="41">
        <f>J184</f>
        <v>30000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7162900.1900000004</v>
      </c>
      <c r="G194" s="47">
        <f>G112+G140+G170+G193</f>
        <v>142945.94</v>
      </c>
      <c r="H194" s="47">
        <f>H112+H140+H170+H193</f>
        <v>263293.48</v>
      </c>
      <c r="I194" s="47">
        <f>I112+I140+I170+I193</f>
        <v>0</v>
      </c>
      <c r="J194" s="47">
        <f>J112+J140+J193</f>
        <v>30000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1361109.23</v>
      </c>
      <c r="G198" s="18">
        <v>736352.13</v>
      </c>
      <c r="H198" s="18">
        <f>1483139.33-1469444</f>
        <v>13695.330000000075</v>
      </c>
      <c r="I198" s="18">
        <f>33256.41+1295</f>
        <v>34551.410000000003</v>
      </c>
      <c r="J198" s="18">
        <v>29050.06</v>
      </c>
      <c r="K198" s="18">
        <v>444</v>
      </c>
      <c r="L198" s="19">
        <f>SUM(F198:K198)</f>
        <v>2175202.16</v>
      </c>
      <c r="M198" s="8"/>
      <c r="N198" s="264"/>
    </row>
    <row r="199" spans="1:14" s="3" customFormat="1" ht="12.2" customHeight="1" x14ac:dyDescent="0.15">
      <c r="A199" s="1" t="s">
        <v>439</v>
      </c>
      <c r="B199" s="2" t="s">
        <v>341</v>
      </c>
      <c r="C199" s="2" t="s">
        <v>291</v>
      </c>
      <c r="D199" s="2" t="s">
        <v>431</v>
      </c>
      <c r="E199" s="6">
        <v>1200</v>
      </c>
      <c r="F199" s="18">
        <v>462305.69</v>
      </c>
      <c r="G199" s="18">
        <v>313843.78999999998</v>
      </c>
      <c r="H199" s="18">
        <v>49628.08</v>
      </c>
      <c r="I199" s="18">
        <v>1749.26</v>
      </c>
      <c r="J199" s="18"/>
      <c r="K199" s="18"/>
      <c r="L199" s="19">
        <f>SUM(F199:K199)</f>
        <v>827526.82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2600</v>
      </c>
      <c r="G201" s="18">
        <v>590.5</v>
      </c>
      <c r="H201" s="18"/>
      <c r="I201" s="18">
        <v>965.64</v>
      </c>
      <c r="J201" s="18"/>
      <c r="K201" s="18"/>
      <c r="L201" s="19">
        <f>SUM(F201:K201)</f>
        <v>4156.1400000000003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210886.99</v>
      </c>
      <c r="G203" s="18">
        <v>107407.71</v>
      </c>
      <c r="H203" s="18">
        <v>119337.83</v>
      </c>
      <c r="I203" s="18">
        <v>1188.3599999999999</v>
      </c>
      <c r="J203" s="18"/>
      <c r="K203" s="18"/>
      <c r="L203" s="19">
        <f t="shared" ref="L203:L209" si="0">SUM(F203:K203)</f>
        <v>438820.89</v>
      </c>
      <c r="M203" s="8"/>
      <c r="N203" s="264"/>
    </row>
    <row r="204" spans="1:14" s="3" customFormat="1" ht="12.2" customHeight="1" x14ac:dyDescent="0.15">
      <c r="A204" s="1" t="s">
        <v>443</v>
      </c>
      <c r="B204" s="2" t="s">
        <v>341</v>
      </c>
      <c r="C204" s="2" t="s">
        <v>295</v>
      </c>
      <c r="D204" s="2" t="s">
        <v>431</v>
      </c>
      <c r="E204" s="6">
        <v>2200</v>
      </c>
      <c r="F204" s="18">
        <v>99525.4</v>
      </c>
      <c r="G204" s="18">
        <v>38805.730000000003</v>
      </c>
      <c r="H204" s="18">
        <v>21469.83</v>
      </c>
      <c r="I204" s="18">
        <v>4084.94</v>
      </c>
      <c r="J204" s="18"/>
      <c r="K204" s="18"/>
      <c r="L204" s="19">
        <f t="shared" si="0"/>
        <v>163885.90000000002</v>
      </c>
      <c r="M204" s="8"/>
      <c r="N204" s="264"/>
    </row>
    <row r="205" spans="1:14" s="3" customFormat="1" ht="12.2" customHeight="1" x14ac:dyDescent="0.15">
      <c r="A205" s="1" t="s">
        <v>444</v>
      </c>
      <c r="B205" s="2" t="s">
        <v>341</v>
      </c>
      <c r="C205" s="2" t="s">
        <v>296</v>
      </c>
      <c r="D205" s="2" t="s">
        <v>431</v>
      </c>
      <c r="E205" s="6">
        <v>2300</v>
      </c>
      <c r="F205" s="18">
        <v>3250</v>
      </c>
      <c r="G205" s="18">
        <v>248.63</v>
      </c>
      <c r="H205" s="18">
        <v>287142.46000000002</v>
      </c>
      <c r="I205" s="18"/>
      <c r="J205" s="18"/>
      <c r="K205" s="18">
        <v>3466.39</v>
      </c>
      <c r="L205" s="19">
        <f t="shared" si="0"/>
        <v>294107.48000000004</v>
      </c>
      <c r="M205" s="8"/>
      <c r="N205" s="264"/>
    </row>
    <row r="206" spans="1:14" s="3" customFormat="1" ht="12.2" customHeight="1" x14ac:dyDescent="0.15">
      <c r="A206" s="1" t="s">
        <v>445</v>
      </c>
      <c r="B206" s="2" t="s">
        <v>341</v>
      </c>
      <c r="C206" s="2" t="s">
        <v>297</v>
      </c>
      <c r="D206" s="2" t="s">
        <v>431</v>
      </c>
      <c r="E206" s="6">
        <v>2400</v>
      </c>
      <c r="F206" s="18">
        <v>148315.88</v>
      </c>
      <c r="G206" s="18">
        <v>87355.74</v>
      </c>
      <c r="H206" s="18">
        <v>5761.77</v>
      </c>
      <c r="I206" s="18">
        <v>1785.05</v>
      </c>
      <c r="J206" s="18"/>
      <c r="K206" s="18">
        <v>2543</v>
      </c>
      <c r="L206" s="19">
        <f t="shared" si="0"/>
        <v>245761.43999999997</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120714.99</v>
      </c>
      <c r="G208" s="18">
        <v>73723.06</v>
      </c>
      <c r="H208" s="18">
        <v>108834.07</v>
      </c>
      <c r="I208" s="18">
        <v>105491.1</v>
      </c>
      <c r="J208" s="18">
        <v>109422.11</v>
      </c>
      <c r="K208" s="18"/>
      <c r="L208" s="19">
        <f t="shared" si="0"/>
        <v>518185.32999999996</v>
      </c>
      <c r="M208" s="8"/>
      <c r="N208" s="264"/>
    </row>
    <row r="209" spans="1:14" s="3" customFormat="1" ht="12.2" customHeight="1" x14ac:dyDescent="0.15">
      <c r="A209" s="1" t="s">
        <v>448</v>
      </c>
      <c r="B209" s="2" t="s">
        <v>341</v>
      </c>
      <c r="C209" s="2" t="s">
        <v>300</v>
      </c>
      <c r="D209" s="2" t="s">
        <v>431</v>
      </c>
      <c r="E209" s="6">
        <v>2700</v>
      </c>
      <c r="F209" s="18"/>
      <c r="G209" s="18"/>
      <c r="H209" s="18">
        <v>192990.77</v>
      </c>
      <c r="I209" s="18"/>
      <c r="J209" s="18"/>
      <c r="K209" s="18"/>
      <c r="L209" s="19">
        <f t="shared" si="0"/>
        <v>192990.77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2408708.1800000002</v>
      </c>
      <c r="G212" s="41">
        <f t="shared" si="1"/>
        <v>1358327.2899999998</v>
      </c>
      <c r="H212" s="41">
        <f t="shared" si="1"/>
        <v>798860.14000000013</v>
      </c>
      <c r="I212" s="41">
        <f t="shared" si="1"/>
        <v>149815.76</v>
      </c>
      <c r="J212" s="41">
        <f t="shared" si="1"/>
        <v>138472.17000000001</v>
      </c>
      <c r="K212" s="41">
        <f t="shared" si="1"/>
        <v>6453.3899999999994</v>
      </c>
      <c r="L212" s="41">
        <f t="shared" si="1"/>
        <v>4860636.93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58580+1410864</f>
        <v>1469444</v>
      </c>
      <c r="I234" s="18"/>
      <c r="J234" s="18"/>
      <c r="K234" s="18"/>
      <c r="L234" s="19">
        <f>SUM(F234:K234)</f>
        <v>1469444</v>
      </c>
      <c r="M234" s="8"/>
      <c r="N234" s="264"/>
    </row>
    <row r="235" spans="1:14" s="3" customFormat="1" ht="12.2" customHeight="1" x14ac:dyDescent="0.15">
      <c r="A235" s="1" t="s">
        <v>439</v>
      </c>
      <c r="B235" s="2" t="s">
        <v>350</v>
      </c>
      <c r="C235" s="2" t="s">
        <v>291</v>
      </c>
      <c r="D235" s="2" t="s">
        <v>431</v>
      </c>
      <c r="E235" s="6">
        <v>1200</v>
      </c>
      <c r="F235" s="18"/>
      <c r="G235" s="18"/>
      <c r="H235" s="18">
        <v>105086.01</v>
      </c>
      <c r="I235" s="18"/>
      <c r="J235" s="18"/>
      <c r="K235" s="18"/>
      <c r="L235" s="19">
        <f>SUM(F235:K235)</f>
        <v>105086.01</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153182.14000000001</v>
      </c>
      <c r="I245" s="18"/>
      <c r="J245" s="18"/>
      <c r="K245" s="18"/>
      <c r="L245" s="19">
        <f t="shared" si="4"/>
        <v>153182.14000000001</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1727712.15</v>
      </c>
      <c r="I248" s="41">
        <f t="shared" si="5"/>
        <v>0</v>
      </c>
      <c r="J248" s="41">
        <f t="shared" si="5"/>
        <v>0</v>
      </c>
      <c r="K248" s="41">
        <f t="shared" si="5"/>
        <v>0</v>
      </c>
      <c r="L248" s="41">
        <f t="shared" si="5"/>
        <v>1727712.15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2408708.1800000002</v>
      </c>
      <c r="G258" s="41">
        <f t="shared" si="8"/>
        <v>1358327.2899999998</v>
      </c>
      <c r="H258" s="41">
        <f t="shared" si="8"/>
        <v>2526572.29</v>
      </c>
      <c r="I258" s="41">
        <f t="shared" si="8"/>
        <v>149815.76</v>
      </c>
      <c r="J258" s="41">
        <f t="shared" si="8"/>
        <v>138472.17000000001</v>
      </c>
      <c r="K258" s="41">
        <f t="shared" si="8"/>
        <v>6453.3899999999994</v>
      </c>
      <c r="L258" s="41">
        <f t="shared" si="8"/>
        <v>6588349.0800000001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164102.56</v>
      </c>
      <c r="L261" s="19">
        <f>SUM(F261:K261)</f>
        <v>164102.56</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17997.96</v>
      </c>
      <c r="L262" s="19">
        <f>SUM(F262:K262)</f>
        <v>17997.96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50642.94</v>
      </c>
      <c r="L264" s="19">
        <f>SUM(F264:K264)</f>
        <v>50642.94</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262743.45999999996</v>
      </c>
      <c r="L271" s="41">
        <f t="shared" si="9"/>
        <v>262743.45999999996</v>
      </c>
      <c r="M271" s="8"/>
      <c r="N271" s="264"/>
    </row>
    <row r="272" spans="1:14" s="34" customFormat="1" ht="12.2" customHeight="1" thickTop="1" x14ac:dyDescent="0.2">
      <c r="A272" s="43" t="s">
        <v>464</v>
      </c>
      <c r="B272" s="40">
        <v>10</v>
      </c>
      <c r="C272" s="40">
        <v>18</v>
      </c>
      <c r="D272" s="39" t="s">
        <v>431</v>
      </c>
      <c r="E272" s="40"/>
      <c r="F272" s="42">
        <f t="shared" ref="F272:L272" si="11">F258+F271</f>
        <v>2408708.1800000002</v>
      </c>
      <c r="G272" s="42">
        <f t="shared" si="11"/>
        <v>1358327.2899999998</v>
      </c>
      <c r="H272" s="42">
        <f t="shared" si="11"/>
        <v>2526572.29</v>
      </c>
      <c r="I272" s="42">
        <f t="shared" si="11"/>
        <v>149815.76</v>
      </c>
      <c r="J272" s="42">
        <f t="shared" si="11"/>
        <v>138472.17000000001</v>
      </c>
      <c r="K272" s="42">
        <f t="shared" si="11"/>
        <v>269196.84999999998</v>
      </c>
      <c r="L272" s="42">
        <f t="shared" si="11"/>
        <v>6851092.54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132003.67000000001</v>
      </c>
      <c r="G277" s="18">
        <v>59534.78</v>
      </c>
      <c r="H277" s="18">
        <v>4331.62</v>
      </c>
      <c r="I277" s="18">
        <v>1947.85</v>
      </c>
      <c r="J277" s="18">
        <v>12730.74</v>
      </c>
      <c r="K277" s="18"/>
      <c r="L277" s="19">
        <f>SUM(F277:K277)</f>
        <v>210548.66</v>
      </c>
      <c r="M277" s="8"/>
      <c r="N277" s="264"/>
    </row>
    <row r="278" spans="1:14" s="3" customFormat="1" ht="12.2" customHeight="1" x14ac:dyDescent="0.15">
      <c r="A278" s="1" t="s">
        <v>439</v>
      </c>
      <c r="B278" s="2" t="s">
        <v>357</v>
      </c>
      <c r="C278" s="2" t="s">
        <v>291</v>
      </c>
      <c r="D278" s="2" t="s">
        <v>431</v>
      </c>
      <c r="E278" s="6">
        <v>1200</v>
      </c>
      <c r="F278" s="18"/>
      <c r="G278" s="18"/>
      <c r="H278" s="18">
        <v>2920.8</v>
      </c>
      <c r="I278" s="18">
        <v>224.95</v>
      </c>
      <c r="J278" s="18"/>
      <c r="K278" s="18">
        <v>2129.63</v>
      </c>
      <c r="L278" s="19">
        <f>SUM(F278:K278)</f>
        <v>5275.38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10300</v>
      </c>
      <c r="G282" s="18">
        <v>1144.6099999999999</v>
      </c>
      <c r="H282" s="18">
        <v>4061.3</v>
      </c>
      <c r="I282" s="18">
        <v>8310.35</v>
      </c>
      <c r="J282" s="18"/>
      <c r="K282" s="18"/>
      <c r="L282" s="19">
        <f t="shared" ref="L282:L288" si="12">SUM(F282:K282)</f>
        <v>23816.260000000002</v>
      </c>
      <c r="M282" s="8"/>
      <c r="N282" s="264"/>
    </row>
    <row r="283" spans="1:14" s="3" customFormat="1" ht="12.2" customHeight="1" x14ac:dyDescent="0.15">
      <c r="A283" s="1" t="s">
        <v>443</v>
      </c>
      <c r="B283" s="2" t="s">
        <v>357</v>
      </c>
      <c r="C283" s="2" t="s">
        <v>295</v>
      </c>
      <c r="D283" s="2" t="s">
        <v>431</v>
      </c>
      <c r="E283" s="6">
        <v>2200</v>
      </c>
      <c r="F283" s="18"/>
      <c r="G283" s="18"/>
      <c r="H283" s="18">
        <v>6464.4</v>
      </c>
      <c r="I283" s="18">
        <v>2088.8000000000002</v>
      </c>
      <c r="J283" s="18"/>
      <c r="K283" s="18"/>
      <c r="L283" s="19">
        <f t="shared" si="12"/>
        <v>8553.2000000000007</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v>575.86</v>
      </c>
      <c r="L284" s="19">
        <f t="shared" si="12"/>
        <v>575.86</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5179.71</v>
      </c>
      <c r="L286" s="19">
        <f t="shared" si="12"/>
        <v>5179.71</v>
      </c>
      <c r="M286" s="8"/>
      <c r="N286" s="264"/>
    </row>
    <row r="287" spans="1:14" s="3" customFormat="1" ht="12.2" customHeight="1" x14ac:dyDescent="0.15">
      <c r="A287" s="1" t="s">
        <v>447</v>
      </c>
      <c r="B287" s="2" t="s">
        <v>357</v>
      </c>
      <c r="C287" s="2" t="s">
        <v>299</v>
      </c>
      <c r="D287" s="2" t="s">
        <v>431</v>
      </c>
      <c r="E287" s="6">
        <v>2600</v>
      </c>
      <c r="F287" s="18"/>
      <c r="G287" s="18"/>
      <c r="H287" s="18">
        <v>1600</v>
      </c>
      <c r="I287" s="18">
        <v>1092.52</v>
      </c>
      <c r="J287" s="18"/>
      <c r="K287" s="18"/>
      <c r="L287" s="19">
        <f t="shared" si="12"/>
        <v>2692.52</v>
      </c>
      <c r="M287" s="8"/>
      <c r="N287" s="264"/>
    </row>
    <row r="288" spans="1:14" s="3" customFormat="1" ht="12.2" customHeight="1" x14ac:dyDescent="0.15">
      <c r="A288" s="1" t="s">
        <v>448</v>
      </c>
      <c r="B288" s="2" t="s">
        <v>357</v>
      </c>
      <c r="C288" s="2" t="s">
        <v>300</v>
      </c>
      <c r="D288" s="2" t="s">
        <v>431</v>
      </c>
      <c r="E288" s="6">
        <v>2700</v>
      </c>
      <c r="F288" s="18"/>
      <c r="G288" s="18"/>
      <c r="H288" s="18"/>
      <c r="I288" s="18">
        <v>403.55</v>
      </c>
      <c r="J288" s="18"/>
      <c r="K288" s="18"/>
      <c r="L288" s="19">
        <f t="shared" si="12"/>
        <v>403.55</v>
      </c>
      <c r="M288" s="8"/>
      <c r="N288" s="264"/>
    </row>
    <row r="289" spans="1:14" s="3" customFormat="1" ht="12.2" customHeight="1" x14ac:dyDescent="0.15">
      <c r="A289" s="1" t="s">
        <v>449</v>
      </c>
      <c r="B289" s="2" t="s">
        <v>357</v>
      </c>
      <c r="C289" s="2" t="s">
        <v>343</v>
      </c>
      <c r="D289" s="2" t="s">
        <v>431</v>
      </c>
      <c r="E289" s="6">
        <v>2800</v>
      </c>
      <c r="F289" s="18">
        <v>1600</v>
      </c>
      <c r="G289" s="18">
        <v>224.77</v>
      </c>
      <c r="H289" s="18"/>
      <c r="I289" s="18">
        <v>1966.57</v>
      </c>
      <c r="J289" s="18">
        <v>2457</v>
      </c>
      <c r="K289" s="18"/>
      <c r="L289" s="19">
        <f>SUM(F289:K289)</f>
        <v>6248.34</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143903.67000000001</v>
      </c>
      <c r="G291" s="42">
        <f t="shared" si="13"/>
        <v>60904.159999999996</v>
      </c>
      <c r="H291" s="42">
        <f t="shared" si="13"/>
        <v>19378.120000000003</v>
      </c>
      <c r="I291" s="42">
        <f t="shared" si="13"/>
        <v>16034.59</v>
      </c>
      <c r="J291" s="42">
        <f t="shared" si="13"/>
        <v>15187.74</v>
      </c>
      <c r="K291" s="42">
        <f t="shared" si="13"/>
        <v>7885.2000000000007</v>
      </c>
      <c r="L291" s="41">
        <f t="shared" si="13"/>
        <v>263293.48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143903.67000000001</v>
      </c>
      <c r="G339" s="41">
        <f t="shared" si="20"/>
        <v>60904.159999999996</v>
      </c>
      <c r="H339" s="41">
        <f t="shared" si="20"/>
        <v>19378.120000000003</v>
      </c>
      <c r="I339" s="41">
        <f t="shared" si="20"/>
        <v>16034.59</v>
      </c>
      <c r="J339" s="41">
        <f t="shared" si="20"/>
        <v>15187.74</v>
      </c>
      <c r="K339" s="41">
        <f t="shared" si="20"/>
        <v>7885.2000000000007</v>
      </c>
      <c r="L339" s="41">
        <f t="shared" si="20"/>
        <v>263293.48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143903.67000000001</v>
      </c>
      <c r="G353" s="41">
        <f>G339</f>
        <v>60904.159999999996</v>
      </c>
      <c r="H353" s="41">
        <f>H339</f>
        <v>19378.120000000003</v>
      </c>
      <c r="I353" s="41">
        <f>I339</f>
        <v>16034.59</v>
      </c>
      <c r="J353" s="41">
        <f>J339</f>
        <v>15187.74</v>
      </c>
      <c r="K353" s="47">
        <f>K339+K352</f>
        <v>7885.2000000000007</v>
      </c>
      <c r="L353" s="41">
        <f>L339+L352</f>
        <v>263293.48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66415.83</v>
      </c>
      <c r="G359" s="18">
        <v>30637.45</v>
      </c>
      <c r="H359" s="18">
        <v>852.58</v>
      </c>
      <c r="I359" s="18">
        <v>41282.06</v>
      </c>
      <c r="J359" s="18">
        <v>2957.55</v>
      </c>
      <c r="K359" s="18">
        <v>800.47</v>
      </c>
      <c r="L359" s="13">
        <f>SUM(F359:K359)</f>
        <v>142945.93999999997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66415.83</v>
      </c>
      <c r="G363" s="47">
        <f t="shared" si="22"/>
        <v>30637.45</v>
      </c>
      <c r="H363" s="47">
        <f t="shared" si="22"/>
        <v>852.58</v>
      </c>
      <c r="I363" s="47">
        <f t="shared" si="22"/>
        <v>41282.06</v>
      </c>
      <c r="J363" s="47">
        <f t="shared" si="22"/>
        <v>2957.55</v>
      </c>
      <c r="K363" s="47">
        <f t="shared" si="22"/>
        <v>800.47</v>
      </c>
      <c r="L363" s="47">
        <f t="shared" si="22"/>
        <v>142945.93999999997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21514.6+7251.52+4802.62</f>
        <v>33568.74</v>
      </c>
      <c r="G368" s="18"/>
      <c r="H368" s="18"/>
      <c r="I368" s="56">
        <f>SUM(F368:H368)</f>
        <v>33568.74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6441.82+415.32+484.03+372.15</f>
        <v>7713.3199999999988</v>
      </c>
      <c r="G369" s="63"/>
      <c r="H369" s="63"/>
      <c r="I369" s="56">
        <f>SUM(F369:H369)</f>
        <v>7713.3199999999988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41282.06</v>
      </c>
      <c r="G370" s="47">
        <f>SUM(G368:G369)</f>
        <v>0</v>
      </c>
      <c r="H370" s="47">
        <f>SUM(H368:H369)</f>
        <v>0</v>
      </c>
      <c r="I370" s="47">
        <f>SUM(I368:I369)</f>
        <v>41282.06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30000</v>
      </c>
      <c r="H398" s="18"/>
      <c r="I398" s="18"/>
      <c r="J398" s="24" t="s">
        <v>288</v>
      </c>
      <c r="K398" s="24" t="s">
        <v>288</v>
      </c>
      <c r="L398" s="56">
        <f t="shared" si="26"/>
        <v>30000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0</v>
      </c>
      <c r="I402" s="47">
        <f>SUM(I396:I401)</f>
        <v>0</v>
      </c>
      <c r="J402" s="45" t="s">
        <v>288</v>
      </c>
      <c r="K402" s="45" t="s">
        <v>288</v>
      </c>
      <c r="L402" s="47">
        <f>SUM(L396:L401)</f>
        <v>30000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30000</v>
      </c>
      <c r="H409" s="47">
        <f>H394+H402+H408</f>
        <v>0</v>
      </c>
      <c r="I409" s="47">
        <f>I394+I402+I408</f>
        <v>0</v>
      </c>
      <c r="J409" s="24" t="s">
        <v>288</v>
      </c>
      <c r="K409" s="24" t="s">
        <v>288</v>
      </c>
      <c r="L409" s="47">
        <f>L394+L402+L408</f>
        <v>30000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f>131268.29+72807.77+8032.2</f>
        <v>212108.26</v>
      </c>
      <c r="H441" s="18"/>
      <c r="I441" s="56">
        <f t="shared" si="33"/>
        <v>212108.26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v>30000</v>
      </c>
      <c r="H444" s="18"/>
      <c r="I444" s="56">
        <f t="shared" si="33"/>
        <v>30000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242108.26</v>
      </c>
      <c r="H447" s="13">
        <f>SUM(H440:H446)</f>
        <v>0</v>
      </c>
      <c r="I447" s="13">
        <f>SUM(I440:I446)</f>
        <v>242108.26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242108.26</v>
      </c>
      <c r="H460" s="18"/>
      <c r="I460" s="56">
        <f t="shared" si="34"/>
        <v>242108.26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242108.26</v>
      </c>
      <c r="H461" s="83">
        <f>SUM(H455:H460)</f>
        <v>0</v>
      </c>
      <c r="I461" s="83">
        <f>SUM(I455:I460)</f>
        <v>242108.26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242108.26</v>
      </c>
      <c r="H462" s="42">
        <f>H453+H461</f>
        <v>0</v>
      </c>
      <c r="I462" s="42">
        <f>I453+I461</f>
        <v>242108.26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299729.5</v>
      </c>
      <c r="G466" s="18"/>
      <c r="H466" s="18"/>
      <c r="I466" s="18"/>
      <c r="J466" s="18">
        <v>212164.22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7162900.1900000004</v>
      </c>
      <c r="G469" s="18">
        <v>142945.94</v>
      </c>
      <c r="H469" s="18">
        <v>263293.48</v>
      </c>
      <c r="I469" s="18"/>
      <c r="J469" s="18">
        <v>30000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7162900.1900000004</v>
      </c>
      <c r="G471" s="53">
        <f>SUM(G469:G470)</f>
        <v>142945.94</v>
      </c>
      <c r="H471" s="53">
        <f>SUM(H469:H470)</f>
        <v>263293.48</v>
      </c>
      <c r="I471" s="53">
        <f>SUM(I469:I470)</f>
        <v>0</v>
      </c>
      <c r="J471" s="53">
        <f>SUM(J469:J470)</f>
        <v>30000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6851092.54</v>
      </c>
      <c r="G473" s="18">
        <v>142945.94</v>
      </c>
      <c r="H473" s="18">
        <v>263293.48</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v>55.96</v>
      </c>
      <c r="K474" s="24" t="s">
        <v>288</v>
      </c>
      <c r="L474" s="24" t="s">
        <v>288</v>
      </c>
      <c r="N474" s="263"/>
    </row>
    <row r="475" spans="1:14" s="52" customFormat="1" ht="12.2" customHeight="1" x14ac:dyDescent="0.2">
      <c r="A475" s="92" t="s">
        <v>426</v>
      </c>
      <c r="B475" s="75">
        <v>19</v>
      </c>
      <c r="C475" s="80">
        <v>7</v>
      </c>
      <c r="D475" s="2" t="s">
        <v>432</v>
      </c>
      <c r="E475" s="80"/>
      <c r="F475" s="53">
        <f>SUM(F473:F474)</f>
        <v>6851092.54</v>
      </c>
      <c r="G475" s="53">
        <f>SUM(G473:G474)</f>
        <v>142945.94</v>
      </c>
      <c r="H475" s="53">
        <f>SUM(H473:H474)</f>
        <v>263293.48</v>
      </c>
      <c r="I475" s="53">
        <f>SUM(I473:I474)</f>
        <v>0</v>
      </c>
      <c r="J475" s="53">
        <f>SUM(J473:J474)</f>
        <v>55.96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611537.15000000037</v>
      </c>
      <c r="G477" s="53">
        <f>(G466+G471)- G475</f>
        <v>0</v>
      </c>
      <c r="H477" s="53">
        <f>(H466+H471)- H475</f>
        <v>0</v>
      </c>
      <c r="I477" s="53">
        <f>(I466+I471)- I475</f>
        <v>0</v>
      </c>
      <c r="J477" s="53">
        <f>(J466+J471)- J475</f>
        <v>242108.26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1677</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3200000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4.87</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410255</v>
      </c>
      <c r="G496" s="18"/>
      <c r="H496" s="18"/>
      <c r="I496" s="18"/>
      <c r="J496" s="18"/>
      <c r="K496" s="53">
        <f>SUM(F496:J496)</f>
        <v>410255</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f>410255-164102</f>
        <v>246153</v>
      </c>
      <c r="G499" s="204"/>
      <c r="H499" s="204"/>
      <c r="I499" s="204"/>
      <c r="J499" s="204"/>
      <c r="K499" s="205">
        <f t="shared" si="35"/>
        <v>246153</v>
      </c>
      <c r="L499" s="206" t="s">
        <v>288</v>
      </c>
      <c r="N499" s="263"/>
    </row>
    <row r="500" spans="1:14" s="52" customFormat="1" ht="12.2" customHeight="1" thickBot="1" x14ac:dyDescent="0.25">
      <c r="A500" s="22" t="s">
        <v>623</v>
      </c>
      <c r="B500" s="75">
        <v>20</v>
      </c>
      <c r="C500" s="115">
        <v>10</v>
      </c>
      <c r="D500" s="2" t="s">
        <v>432</v>
      </c>
      <c r="E500" s="115"/>
      <c r="F500" s="18">
        <f>5993.85+3995.9</f>
        <v>9989.75</v>
      </c>
      <c r="G500" s="18"/>
      <c r="H500" s="18"/>
      <c r="I500" s="18"/>
      <c r="J500" s="18"/>
      <c r="K500" s="53">
        <f t="shared" si="35"/>
        <v>9989.75</v>
      </c>
      <c r="L500" s="24" t="s">
        <v>288</v>
      </c>
      <c r="N500" s="263"/>
    </row>
    <row r="501" spans="1:14" s="52" customFormat="1" ht="12.2" customHeight="1" thickTop="1" x14ac:dyDescent="0.2">
      <c r="A501" s="139" t="s">
        <v>624</v>
      </c>
      <c r="B501" s="44">
        <v>20</v>
      </c>
      <c r="C501" s="195">
        <v>11</v>
      </c>
      <c r="D501" s="39" t="s">
        <v>432</v>
      </c>
      <c r="E501" s="195"/>
      <c r="F501" s="42">
        <f>SUM(F499:F500)</f>
        <v>256142.75</v>
      </c>
      <c r="G501" s="42">
        <f>SUM(G499:G500)</f>
        <v>0</v>
      </c>
      <c r="H501" s="42">
        <f>SUM(H499:H500)</f>
        <v>0</v>
      </c>
      <c r="I501" s="42">
        <f>SUM(I499:I500)</f>
        <v>0</v>
      </c>
      <c r="J501" s="42">
        <f>SUM(J499:J500)</f>
        <v>0</v>
      </c>
      <c r="K501" s="42">
        <f t="shared" si="35"/>
        <v>256142.75</v>
      </c>
      <c r="L501" s="45" t="s">
        <v>288</v>
      </c>
      <c r="N501" s="263"/>
    </row>
    <row r="502" spans="1:14" s="52" customFormat="1" ht="12.2" customHeight="1" x14ac:dyDescent="0.2">
      <c r="A502" s="200" t="s">
        <v>651</v>
      </c>
      <c r="B502" s="201">
        <v>20</v>
      </c>
      <c r="C502" s="202">
        <v>12</v>
      </c>
      <c r="D502" s="203" t="s">
        <v>432</v>
      </c>
      <c r="E502" s="202"/>
      <c r="F502" s="204">
        <v>164102.56</v>
      </c>
      <c r="G502" s="204"/>
      <c r="H502" s="204"/>
      <c r="I502" s="204"/>
      <c r="J502" s="204"/>
      <c r="K502" s="205">
        <f t="shared" si="35"/>
        <v>164102.56</v>
      </c>
      <c r="L502" s="206" t="s">
        <v>288</v>
      </c>
      <c r="N502" s="263"/>
    </row>
    <row r="503" spans="1:14" s="52" customFormat="1" ht="12.2" customHeight="1" thickBot="1" x14ac:dyDescent="0.25">
      <c r="A503" s="22" t="s">
        <v>625</v>
      </c>
      <c r="B503" s="75">
        <v>20</v>
      </c>
      <c r="C503" s="115">
        <v>13</v>
      </c>
      <c r="D503" s="2" t="s">
        <v>432</v>
      </c>
      <c r="E503" s="115"/>
      <c r="F503" s="18">
        <v>9989.75</v>
      </c>
      <c r="G503" s="18"/>
      <c r="H503" s="18"/>
      <c r="I503" s="18"/>
      <c r="J503" s="18"/>
      <c r="K503" s="53">
        <f t="shared" si="35"/>
        <v>9989.75</v>
      </c>
      <c r="L503" s="24" t="s">
        <v>288</v>
      </c>
      <c r="N503" s="263"/>
    </row>
    <row r="504" spans="1:14" s="52" customFormat="1" ht="12.2" customHeight="1" thickTop="1" x14ac:dyDescent="0.2">
      <c r="A504" s="139" t="s">
        <v>626</v>
      </c>
      <c r="B504" s="44">
        <v>20</v>
      </c>
      <c r="C504" s="195">
        <v>14</v>
      </c>
      <c r="D504" s="39" t="s">
        <v>432</v>
      </c>
      <c r="E504" s="195"/>
      <c r="F504" s="42">
        <f>SUM(F502:F503)</f>
        <v>174092.31</v>
      </c>
      <c r="G504" s="42">
        <f>SUM(G502:G503)</f>
        <v>0</v>
      </c>
      <c r="H504" s="42">
        <f>SUM(H502:H503)</f>
        <v>0</v>
      </c>
      <c r="I504" s="42">
        <f>SUM(I502:I503)</f>
        <v>0</v>
      </c>
      <c r="J504" s="42">
        <f>SUM(J502:J503)</f>
        <v>0</v>
      </c>
      <c r="K504" s="42">
        <f t="shared" si="35"/>
        <v>174092.31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53828.83</v>
      </c>
      <c r="G508" s="144">
        <v>5617.25</v>
      </c>
      <c r="H508" s="144">
        <f>-3095.03-422.34</f>
        <v>-3517.3700000000003</v>
      </c>
      <c r="I508" s="144">
        <f>13770.24+42158.47</f>
        <v>55928.71</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462305.69</v>
      </c>
      <c r="G522" s="18">
        <v>313843.78999999998</v>
      </c>
      <c r="H522" s="18">
        <f>157634.89-1204-24123.06-103882.01</f>
        <v>28425.820000000022</v>
      </c>
      <c r="I522" s="18">
        <v>1974.21</v>
      </c>
      <c r="J522" s="18"/>
      <c r="K522" s="18">
        <v>2129.63</v>
      </c>
      <c r="L522" s="88">
        <f>SUM(F522:K522)</f>
        <v>808679.14</v>
      </c>
      <c r="N522" s="263"/>
    </row>
    <row r="523" spans="1:14" s="52" customFormat="1" ht="12.2" customHeight="1" x14ac:dyDescent="0.2">
      <c r="A523" s="22" t="s">
        <v>634</v>
      </c>
      <c r="B523" s="105">
        <v>21</v>
      </c>
      <c r="C523" s="115">
        <v>2</v>
      </c>
      <c r="D523" s="2" t="s">
        <v>432</v>
      </c>
      <c r="E523" s="115"/>
      <c r="F523" s="18"/>
      <c r="G523" s="18"/>
      <c r="H523" s="18">
        <v>24123.06</v>
      </c>
      <c r="I523" s="18"/>
      <c r="J523" s="18"/>
      <c r="K523" s="18"/>
      <c r="L523" s="88">
        <f>SUM(F523:K523)</f>
        <v>24123.06</v>
      </c>
      <c r="N523" s="263"/>
    </row>
    <row r="524" spans="1:14" s="52" customFormat="1" ht="12.2" customHeight="1" thickBot="1" x14ac:dyDescent="0.25">
      <c r="A524" s="22" t="s">
        <v>635</v>
      </c>
      <c r="B524" s="105">
        <v>21</v>
      </c>
      <c r="C524" s="115">
        <v>3</v>
      </c>
      <c r="D524" s="2" t="s">
        <v>432</v>
      </c>
      <c r="E524" s="115"/>
      <c r="F524" s="18"/>
      <c r="G524" s="18"/>
      <c r="H524" s="18">
        <f>1204+103882.01</f>
        <v>105086.01</v>
      </c>
      <c r="I524" s="18"/>
      <c r="J524" s="18"/>
      <c r="K524" s="18"/>
      <c r="L524" s="88">
        <f>SUM(F524:K524)</f>
        <v>105086.01</v>
      </c>
      <c r="N524" s="263"/>
    </row>
    <row r="525" spans="1:14" s="52" customFormat="1" ht="12.2" customHeight="1" thickTop="1" x14ac:dyDescent="0.2">
      <c r="A525" s="139" t="s">
        <v>63</v>
      </c>
      <c r="B525" s="107">
        <v>21</v>
      </c>
      <c r="C525" s="195">
        <v>4</v>
      </c>
      <c r="D525" s="196" t="s">
        <v>432</v>
      </c>
      <c r="E525" s="195"/>
      <c r="F525" s="108">
        <f>SUM(F522:F524)</f>
        <v>462305.69</v>
      </c>
      <c r="G525" s="108">
        <f t="shared" ref="G525:L525" si="36">SUM(G522:G524)</f>
        <v>313843.78999999998</v>
      </c>
      <c r="H525" s="108">
        <f t="shared" si="36"/>
        <v>157634.89000000001</v>
      </c>
      <c r="I525" s="108">
        <f t="shared" si="36"/>
        <v>1974.21</v>
      </c>
      <c r="J525" s="108">
        <f t="shared" si="36"/>
        <v>0</v>
      </c>
      <c r="K525" s="108">
        <f t="shared" si="36"/>
        <v>2129.63</v>
      </c>
      <c r="L525" s="89">
        <f t="shared" si="36"/>
        <v>937888.21000000008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22198.9</v>
      </c>
      <c r="G527" s="18">
        <v>1781.13</v>
      </c>
      <c r="H527" s="18">
        <v>4870.53</v>
      </c>
      <c r="I527" s="18">
        <v>99.08</v>
      </c>
      <c r="J527" s="18">
        <v>205.91</v>
      </c>
      <c r="K527" s="18">
        <v>217.15</v>
      </c>
      <c r="L527" s="88">
        <f>SUM(F527:K527)</f>
        <v>29372.700000000004</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22198.9</v>
      </c>
      <c r="G530" s="89">
        <f t="shared" ref="G530:L530" si="37">SUM(G527:G529)</f>
        <v>1781.13</v>
      </c>
      <c r="H530" s="89">
        <f t="shared" si="37"/>
        <v>4870.53</v>
      </c>
      <c r="I530" s="89">
        <f t="shared" si="37"/>
        <v>99.08</v>
      </c>
      <c r="J530" s="89">
        <f t="shared" si="37"/>
        <v>205.91</v>
      </c>
      <c r="K530" s="89">
        <f t="shared" si="37"/>
        <v>217.15</v>
      </c>
      <c r="L530" s="89">
        <f t="shared" si="37"/>
        <v>29372.700000000004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65115.6</v>
      </c>
      <c r="G532" s="18">
        <v>30560.7</v>
      </c>
      <c r="H532" s="18">
        <v>1400.72</v>
      </c>
      <c r="I532" s="18">
        <v>76.5</v>
      </c>
      <c r="J532" s="18"/>
      <c r="K532" s="18">
        <v>1249.8</v>
      </c>
      <c r="L532" s="88">
        <f>SUM(F532:K532)</f>
        <v>98403.32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65115.6</v>
      </c>
      <c r="G535" s="89">
        <f t="shared" ref="G535:L535" si="38">SUM(G532:G534)</f>
        <v>30560.7</v>
      </c>
      <c r="H535" s="89">
        <f t="shared" si="38"/>
        <v>1400.72</v>
      </c>
      <c r="I535" s="89">
        <f t="shared" si="38"/>
        <v>76.5</v>
      </c>
      <c r="J535" s="89">
        <f t="shared" si="38"/>
        <v>0</v>
      </c>
      <c r="K535" s="89">
        <f t="shared" si="38"/>
        <v>1249.8</v>
      </c>
      <c r="L535" s="89">
        <f t="shared" si="38"/>
        <v>98403.32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61845.75</v>
      </c>
      <c r="I544" s="18"/>
      <c r="J544" s="18"/>
      <c r="K544" s="18"/>
      <c r="L544" s="88">
        <f>SUM(F544:K544)</f>
        <v>61845.75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61845.75</v>
      </c>
      <c r="I545" s="193">
        <f t="shared" si="40"/>
        <v>0</v>
      </c>
      <c r="J545" s="193">
        <f t="shared" si="40"/>
        <v>0</v>
      </c>
      <c r="K545" s="193">
        <f t="shared" si="40"/>
        <v>0</v>
      </c>
      <c r="L545" s="193">
        <f t="shared" si="40"/>
        <v>61845.75</v>
      </c>
      <c r="M545" s="8"/>
      <c r="N545" s="264"/>
    </row>
    <row r="546" spans="1:14" s="3" customFormat="1" ht="12.2" customHeight="1" thickTop="1" x14ac:dyDescent="0.15">
      <c r="A546" s="98" t="s">
        <v>72</v>
      </c>
      <c r="B546" s="107">
        <v>21</v>
      </c>
      <c r="C546" s="107">
        <v>21</v>
      </c>
      <c r="D546" s="158" t="s">
        <v>432</v>
      </c>
      <c r="E546" s="107"/>
      <c r="F546" s="89">
        <f>F525+F530+F535+F540+F545</f>
        <v>549620.19000000006</v>
      </c>
      <c r="G546" s="89">
        <f t="shared" ref="G546:L546" si="41">G525+G530+G535+G540+G545</f>
        <v>346185.62</v>
      </c>
      <c r="H546" s="89">
        <f t="shared" si="41"/>
        <v>225751.89</v>
      </c>
      <c r="I546" s="89">
        <f t="shared" si="41"/>
        <v>2149.79</v>
      </c>
      <c r="J546" s="89">
        <f t="shared" si="41"/>
        <v>205.91</v>
      </c>
      <c r="K546" s="89">
        <f t="shared" si="41"/>
        <v>3596.58</v>
      </c>
      <c r="L546" s="89">
        <f t="shared" si="41"/>
        <v>1127509.98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808679.14</v>
      </c>
      <c r="G550" s="87">
        <f>L527</f>
        <v>29372.700000000004</v>
      </c>
      <c r="H550" s="87">
        <f>L532</f>
        <v>98403.32</v>
      </c>
      <c r="I550" s="87">
        <f>L537</f>
        <v>0</v>
      </c>
      <c r="J550" s="87">
        <f>L542</f>
        <v>0</v>
      </c>
      <c r="K550" s="87">
        <f>SUM(F550:J550)</f>
        <v>936455.15999999992</v>
      </c>
      <c r="L550" s="24" t="s">
        <v>288</v>
      </c>
      <c r="M550" s="8"/>
      <c r="N550" s="264"/>
    </row>
    <row r="551" spans="1:14" s="3" customFormat="1" ht="12.2" customHeight="1" x14ac:dyDescent="0.15">
      <c r="A551" s="22" t="s">
        <v>634</v>
      </c>
      <c r="B551" s="75">
        <v>21</v>
      </c>
      <c r="C551" s="75">
        <v>23</v>
      </c>
      <c r="D551" s="2" t="s">
        <v>432</v>
      </c>
      <c r="E551" s="75"/>
      <c r="F551" s="87">
        <f>L523</f>
        <v>24123.06</v>
      </c>
      <c r="G551" s="87">
        <f>L528</f>
        <v>0</v>
      </c>
      <c r="H551" s="87">
        <f>L533</f>
        <v>0</v>
      </c>
      <c r="I551" s="87">
        <f>L538</f>
        <v>0</v>
      </c>
      <c r="J551" s="87">
        <f>L543</f>
        <v>0</v>
      </c>
      <c r="K551" s="87">
        <f>SUM(F551:J551)</f>
        <v>24123.06</v>
      </c>
      <c r="L551" s="24" t="s">
        <v>288</v>
      </c>
      <c r="M551" s="8"/>
      <c r="N551" s="264"/>
    </row>
    <row r="552" spans="1:14" s="3" customFormat="1" ht="12.2" customHeight="1" thickBot="1" x14ac:dyDescent="0.2">
      <c r="A552" s="22" t="s">
        <v>635</v>
      </c>
      <c r="B552" s="75">
        <v>21</v>
      </c>
      <c r="C552" s="75">
        <v>24</v>
      </c>
      <c r="D552" s="2" t="s">
        <v>432</v>
      </c>
      <c r="E552" s="75"/>
      <c r="F552" s="87">
        <f>L524</f>
        <v>105086.01</v>
      </c>
      <c r="G552" s="87">
        <f>L529</f>
        <v>0</v>
      </c>
      <c r="H552" s="87">
        <f>L534</f>
        <v>0</v>
      </c>
      <c r="I552" s="87">
        <f>L539</f>
        <v>0</v>
      </c>
      <c r="J552" s="87">
        <f>L544</f>
        <v>61845.75</v>
      </c>
      <c r="K552" s="87">
        <f>SUM(F552:J552)</f>
        <v>166931.76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937888.21000000008</v>
      </c>
      <c r="G553" s="89">
        <f t="shared" si="42"/>
        <v>29372.700000000004</v>
      </c>
      <c r="H553" s="89">
        <f t="shared" si="42"/>
        <v>98403.32</v>
      </c>
      <c r="I553" s="89">
        <f t="shared" si="42"/>
        <v>0</v>
      </c>
      <c r="J553" s="89">
        <f t="shared" si="42"/>
        <v>61845.75</v>
      </c>
      <c r="K553" s="89">
        <f t="shared" si="42"/>
        <v>1127509.98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f>58580+1410864</f>
        <v>1469444</v>
      </c>
      <c r="I576" s="87">
        <f>SUM(F576:H576)</f>
        <v>1469444</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31225.53</v>
      </c>
      <c r="G580" s="18">
        <v>0</v>
      </c>
      <c r="H580" s="18">
        <v>103882.01</v>
      </c>
      <c r="I580" s="87">
        <f t="shared" si="47"/>
        <v>135107.53999999998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192990.77-1205.75-1763.13</f>
        <v>190021.88999999998</v>
      </c>
      <c r="I592" s="18"/>
      <c r="J592" s="18">
        <f>153182.14-61845.75</f>
        <v>91336.390000000014</v>
      </c>
      <c r="K592" s="104">
        <f t="shared" ref="K592:K598" si="48">SUM(H592:J592)</f>
        <v>281358.28000000003</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v>61845.75</v>
      </c>
      <c r="K593" s="104">
        <f t="shared" si="48"/>
        <v>61845.75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1205.75</v>
      </c>
      <c r="I595" s="18"/>
      <c r="J595" s="18"/>
      <c r="K595" s="104">
        <f t="shared" si="48"/>
        <v>1205.75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1763.13</v>
      </c>
      <c r="I596" s="18"/>
      <c r="J596" s="18"/>
      <c r="K596" s="104">
        <f t="shared" si="48"/>
        <v>1763.13</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192990.77</v>
      </c>
      <c r="I599" s="108">
        <f>SUM(I592:I598)</f>
        <v>0</v>
      </c>
      <c r="J599" s="108">
        <f>SUM(J592:J598)</f>
        <v>153182.14000000001</v>
      </c>
      <c r="K599" s="108">
        <f>SUM(K592:K598)</f>
        <v>346172.91000000003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97110.16</v>
      </c>
      <c r="I604" s="18"/>
      <c r="J604" s="18"/>
      <c r="K604" s="104">
        <f>SUM(H604:J604)</f>
        <v>97110.16</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59507.3-2957.55</f>
        <v>56549.75</v>
      </c>
      <c r="I605" s="18"/>
      <c r="J605" s="18"/>
      <c r="K605" s="104">
        <f>SUM(H605:J605)</f>
        <v>56549.75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153659.91</v>
      </c>
      <c r="I606" s="108">
        <f>SUM(I603:I605)</f>
        <v>0</v>
      </c>
      <c r="J606" s="108">
        <f>SUM(J603:J605)</f>
        <v>0</v>
      </c>
      <c r="K606" s="108">
        <f>SUM(K603:K605)</f>
        <v>153659.91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991216.22</v>
      </c>
      <c r="H618" s="109">
        <f>SUM(F52)</f>
        <v>991216.22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30863.850000000002</v>
      </c>
      <c r="H620" s="109">
        <f>SUM(H52)</f>
        <v>30863.850000000002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242108.26</v>
      </c>
      <c r="H622" s="109">
        <f>SUM(J52)</f>
        <v>242108.26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611537.15</v>
      </c>
      <c r="H623" s="109">
        <f>F477</f>
        <v>611537.15000000037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242108.26</v>
      </c>
      <c r="H627" s="109">
        <f>J477</f>
        <v>242108.26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7162900.1900000004</v>
      </c>
      <c r="H628" s="104">
        <f>SUM(F469)</f>
        <v>7162900.1900000004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142945.94</v>
      </c>
      <c r="H629" s="104">
        <f>SUM(G469)</f>
        <v>142945.94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263293.48</v>
      </c>
      <c r="H630" s="104">
        <f>SUM(H469)</f>
        <v>263293.48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30000</v>
      </c>
      <c r="H632" s="104">
        <f>SUM(J469)</f>
        <v>30000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6851092.54</v>
      </c>
      <c r="H633" s="104">
        <f>SUM(F473)</f>
        <v>6851092.54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263293.48</v>
      </c>
      <c r="H634" s="104">
        <f>SUM(H473)</f>
        <v>263293.48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41282.06</v>
      </c>
      <c r="H635" s="104">
        <f>I370</f>
        <v>41282.06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142945.93999999997</v>
      </c>
      <c r="H636" s="104">
        <f>SUM(G473)</f>
        <v>142945.94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30000</v>
      </c>
      <c r="H638" s="164">
        <f>SUM(J469)</f>
        <v>30000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242108.26</v>
      </c>
      <c r="H641" s="104">
        <f>SUM(G462)</f>
        <v>242108.26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242108.26</v>
      </c>
      <c r="H643" s="104">
        <f>SUM(I462)</f>
        <v>242108.26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30000</v>
      </c>
      <c r="H647" s="104">
        <f>L409</f>
        <v>30000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346172.91000000003</v>
      </c>
      <c r="H648" s="104">
        <f>L209+L227+L245</f>
        <v>346172.91000000003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153659.91</v>
      </c>
      <c r="H649" s="104">
        <f>(J258+J339)-(J256+J337)</f>
        <v>153659.91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192990.77</v>
      </c>
      <c r="H650" s="104">
        <f>H599</f>
        <v>192990.77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153182.14000000001</v>
      </c>
      <c r="H652" s="104">
        <f>J599</f>
        <v>153182.14000000001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50642.94</v>
      </c>
      <c r="H653" s="104">
        <f>K264+K346</f>
        <v>50642.94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5266876.3500000006</v>
      </c>
      <c r="G661" s="19">
        <f>(L230+L310+L360)</f>
        <v>0</v>
      </c>
      <c r="H661" s="19">
        <f>(L248+L329+L361)</f>
        <v>1727712.15</v>
      </c>
      <c r="I661" s="19">
        <f>SUM(F661:H661)</f>
        <v>6994588.5</v>
      </c>
      <c r="J661" s="13"/>
      <c r="K661" s="13"/>
      <c r="L661" s="13"/>
      <c r="M661" s="9"/>
    </row>
    <row r="662" spans="1:13" s="3" customFormat="1" ht="12.2" customHeight="1" x14ac:dyDescent="0.2">
      <c r="A662" s="1" t="s">
        <v>127</v>
      </c>
      <c r="F662" s="19">
        <f>(L359/IF(SUM(L359:L361)=0,1,SUM(L359:L361))*(SUM(G97:G110)))</f>
        <v>2963.6</v>
      </c>
      <c r="G662" s="19">
        <f>(L360/IF(SUM(L359:L361)=0,1,SUM(L359:L361))*(SUM(G97:G110)))</f>
        <v>0</v>
      </c>
      <c r="H662" s="19">
        <f>(L361/IF(SUM(L359:L361)=0,1,SUM(L359:L361))*(SUM(G97:G110)))</f>
        <v>0</v>
      </c>
      <c r="I662" s="19">
        <f>SUM(F662:H662)</f>
        <v>2963.6</v>
      </c>
      <c r="J662"/>
      <c r="K662" s="13"/>
      <c r="L662" s="13"/>
      <c r="M662" s="8"/>
    </row>
    <row r="663" spans="1:13" s="3" customFormat="1" ht="12.2" customHeight="1" x14ac:dyDescent="0.2">
      <c r="A663" s="1" t="s">
        <v>128</v>
      </c>
      <c r="F663" s="19">
        <f>(L209+L288)-(J209+J288)</f>
        <v>193394.31999999998</v>
      </c>
      <c r="G663" s="19">
        <f>(L227+L307)-(J227+J307)</f>
        <v>0</v>
      </c>
      <c r="H663" s="19">
        <f>(L245+L326)-(J245+J326)</f>
        <v>153182.14000000001</v>
      </c>
      <c r="I663" s="19">
        <f>SUM(F663:H663)</f>
        <v>346576.45999999996</v>
      </c>
      <c r="J663"/>
      <c r="K663" s="13"/>
      <c r="L663" s="13"/>
      <c r="M663" s="9"/>
    </row>
    <row r="664" spans="1:13" s="3" customFormat="1" ht="12.2" customHeight="1" x14ac:dyDescent="0.15">
      <c r="A664" s="198" t="s">
        <v>129</v>
      </c>
      <c r="B664" s="169"/>
      <c r="C664" s="169"/>
      <c r="D664" s="169"/>
      <c r="E664" s="169"/>
      <c r="F664" s="199">
        <f>SUM(F576:F588)+SUM(H603:H605)+SUM(L612)</f>
        <v>184885.44</v>
      </c>
      <c r="G664" s="199">
        <f>SUM(G576:G588)+SUM(I603:I605)+L613</f>
        <v>0</v>
      </c>
      <c r="H664" s="199">
        <f>SUM(H576:H588)+SUM(J603:J605)+L614</f>
        <v>1573326.01</v>
      </c>
      <c r="I664" s="19">
        <f>SUM(F664:H664)</f>
        <v>1758211.45</v>
      </c>
      <c r="J664" s="13"/>
      <c r="K664" s="13"/>
      <c r="L664" s="13"/>
      <c r="M664" s="9"/>
    </row>
    <row r="665" spans="1:13" s="3" customFormat="1" ht="12.2" customHeight="1" x14ac:dyDescent="0.15">
      <c r="A665" s="1" t="s">
        <v>130</v>
      </c>
      <c r="F665" s="19">
        <f>F661-SUM(F662:F664)</f>
        <v>4885632.99</v>
      </c>
      <c r="G665" s="19">
        <f>G661-SUM(G662:G664)</f>
        <v>0</v>
      </c>
      <c r="H665" s="19">
        <f>H661-SUM(H662:H664)</f>
        <v>1204</v>
      </c>
      <c r="I665" s="19">
        <f>I661-SUM(I662:I664)</f>
        <v>4886836.99</v>
      </c>
      <c r="J665" s="13"/>
      <c r="K665" s="13"/>
      <c r="L665" s="13"/>
      <c r="M665" s="8"/>
    </row>
    <row r="666" spans="1:13" s="3" customFormat="1" ht="12.2" customHeight="1" x14ac:dyDescent="0.25">
      <c r="A666" s="1" t="s">
        <v>131</v>
      </c>
      <c r="F666" s="359">
        <v>178.61</v>
      </c>
      <c r="G666" s="359">
        <v>0</v>
      </c>
      <c r="H666" s="359">
        <v>0</v>
      </c>
      <c r="I666" s="19">
        <f>SUM(F666:H666)</f>
        <v>178.61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27353.64</v>
      </c>
      <c r="G668" s="19" t="e">
        <f>ROUND(G665/G666,2)</f>
        <v>#DIV/0!</v>
      </c>
      <c r="H668" s="19" t="e">
        <f>ROUND(H665/H666,2)</f>
        <v>#DIV/0!</v>
      </c>
      <c r="I668" s="19">
        <f>ROUND(I665/I666,2)</f>
        <v>27360.38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f>-H665</f>
        <v>-1204</v>
      </c>
      <c r="I670" s="19">
        <f>SUM(F670:H670)</f>
        <v>-1204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27353.64</v>
      </c>
      <c r="G673" s="19" t="e">
        <f>ROUND((G665+G670)/(G666+G671),2)</f>
        <v>#DIV/0!</v>
      </c>
      <c r="H673" s="19" t="e">
        <f>ROUND((H665+H670)/(H666+H671),2)</f>
        <v>#DIV/0!</v>
      </c>
      <c r="I673" s="19">
        <f>ROUND((I665+I670)/(I666+I671),2)</f>
        <v>27353.64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1" zoomScaleNormal="100" workbookViewId="0">
      <selection activeCell="C25" sqref="C25"/>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58910.58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57800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116710.58</v>
      </c>
      <c r="F22" s="346"/>
    </row>
    <row r="23" spans="2:8" x14ac:dyDescent="0.25">
      <c r="B23" s="346"/>
      <c r="C23" s="346"/>
      <c r="D23" s="346"/>
      <c r="E23" s="346"/>
      <c r="F23" s="346"/>
    </row>
    <row r="24" spans="2:8" ht="26.25" customHeight="1" x14ac:dyDescent="0.25">
      <c r="B24" s="346"/>
      <c r="C24" s="348" t="s">
        <v>1661</v>
      </c>
      <c r="D24" s="346"/>
      <c r="E24" s="341">
        <v>86205.46</v>
      </c>
      <c r="F24" s="346"/>
    </row>
    <row r="25" spans="2:8" ht="18" x14ac:dyDescent="0.25">
      <c r="B25" s="346"/>
      <c r="C25" s="349"/>
      <c r="D25" s="346"/>
      <c r="E25" s="346"/>
      <c r="F25" s="346"/>
    </row>
    <row r="26" spans="2:8" ht="27.75" customHeight="1" x14ac:dyDescent="0.25">
      <c r="B26" s="346"/>
      <c r="C26" s="348" t="s">
        <v>1662</v>
      </c>
      <c r="D26" s="346"/>
      <c r="E26" s="341">
        <v>28048.12</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2457</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TAMWORTH SCHOOL DISTRICT</v>
      </c>
      <c r="C5" s="363"/>
      <c r="D5" s="363"/>
      <c r="E5" s="363"/>
      <c r="F5" s="363"/>
    </row>
    <row r="8" spans="1:9" ht="18" x14ac:dyDescent="0.25">
      <c r="A8" s="317" t="s">
        <v>1576</v>
      </c>
      <c r="F8" s="324" t="s">
        <v>1594</v>
      </c>
    </row>
    <row r="9" spans="1:9" ht="15" x14ac:dyDescent="0.2">
      <c r="A9" s="315" t="s">
        <v>1577</v>
      </c>
      <c r="B9" s="318">
        <f>'DOE25'!G97</f>
        <v>2963.6</v>
      </c>
      <c r="F9" s="315" t="s">
        <v>1590</v>
      </c>
    </row>
    <row r="10" spans="1:9" ht="15" x14ac:dyDescent="0.2">
      <c r="A10" s="315" t="s">
        <v>1578</v>
      </c>
      <c r="B10" s="318">
        <f>'DOE25'!G112-'DOE25'!G97</f>
        <v>0</v>
      </c>
      <c r="F10" s="315" t="s">
        <v>1591</v>
      </c>
    </row>
    <row r="11" spans="1:9" ht="15" x14ac:dyDescent="0.2">
      <c r="A11" s="315" t="s">
        <v>1579</v>
      </c>
      <c r="B11" s="318">
        <f>'DOE25'!G140</f>
        <v>313.26</v>
      </c>
      <c r="F11" s="315" t="s">
        <v>1592</v>
      </c>
    </row>
    <row r="12" spans="1:9" ht="15" x14ac:dyDescent="0.2">
      <c r="A12" s="315" t="s">
        <v>1580</v>
      </c>
      <c r="B12" s="318">
        <f>'DOE25'!G170</f>
        <v>89026.14</v>
      </c>
      <c r="F12" s="315" t="s">
        <v>1593</v>
      </c>
    </row>
    <row r="13" spans="1:9" ht="15" x14ac:dyDescent="0.2">
      <c r="A13" s="315" t="s">
        <v>1581</v>
      </c>
      <c r="B13" s="318">
        <f>'DOE25'!G193-'DOE25'!G180</f>
        <v>0</v>
      </c>
      <c r="F13" s="315" t="s">
        <v>1603</v>
      </c>
    </row>
    <row r="14" spans="1:9" ht="18" x14ac:dyDescent="0.25">
      <c r="A14" s="317" t="s">
        <v>732</v>
      </c>
      <c r="B14" s="319">
        <f>SUM(B9:B13)</f>
        <v>92303</v>
      </c>
    </row>
    <row r="16" spans="1:9" ht="18" x14ac:dyDescent="0.25">
      <c r="A16" s="317" t="s">
        <v>786</v>
      </c>
      <c r="F16" s="324" t="s">
        <v>1595</v>
      </c>
    </row>
    <row r="17" spans="1:6" ht="15" x14ac:dyDescent="0.2">
      <c r="A17" s="315" t="s">
        <v>1582</v>
      </c>
      <c r="B17" s="318">
        <f>'DOE25'!L363-'DOE25'!L362</f>
        <v>142945.93999999997</v>
      </c>
      <c r="F17" s="315" t="s">
        <v>1596</v>
      </c>
    </row>
    <row r="18" spans="1:6" ht="15" x14ac:dyDescent="0.2">
      <c r="A18" s="315" t="s">
        <v>1583</v>
      </c>
      <c r="B18" s="328"/>
      <c r="F18" s="324" t="s">
        <v>1620</v>
      </c>
    </row>
    <row r="19" spans="1:6" ht="18" x14ac:dyDescent="0.25">
      <c r="A19" s="317" t="s">
        <v>725</v>
      </c>
      <c r="B19" s="319">
        <f>SUM(B17:B18)</f>
        <v>142945.93999999997</v>
      </c>
    </row>
    <row r="21" spans="1:6" ht="18.75" thickBot="1" x14ac:dyDescent="0.3">
      <c r="A21" s="317" t="s">
        <v>1584</v>
      </c>
    </row>
    <row r="22" spans="1:6" ht="18.75" thickTop="1" x14ac:dyDescent="0.25">
      <c r="A22" s="317" t="s">
        <v>1585</v>
      </c>
      <c r="B22" s="323">
        <f>B14-B19</f>
        <v>-50642.939999999973</v>
      </c>
      <c r="F22" s="315" t="s">
        <v>1597</v>
      </c>
    </row>
    <row r="26" spans="1:6" ht="18" x14ac:dyDescent="0.25">
      <c r="A26" s="317" t="s">
        <v>186</v>
      </c>
    </row>
    <row r="27" spans="1:6" ht="15" x14ac:dyDescent="0.2">
      <c r="A27" s="315" t="s">
        <v>1586</v>
      </c>
      <c r="B27" s="318">
        <f>'DOE25'!G180</f>
        <v>50642.94</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4802.62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abSelected="1"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TAMWORTH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1493112.9</v>
      </c>
      <c r="C9" s="229">
        <f>'DOE25'!G198+'DOE25'!G216+'DOE25'!G234+'DOE25'!G277+'DOE25'!G296+'DOE25'!G315</f>
        <v>795886.91</v>
      </c>
    </row>
    <row r="10" spans="1:3" x14ac:dyDescent="0.2">
      <c r="A10" t="s">
        <v>775</v>
      </c>
      <c r="B10" s="240">
        <f>1493112.9-79498.07</f>
        <v>1413614.8299999998</v>
      </c>
      <c r="C10" s="240">
        <f>795886.91-56918.99</f>
        <v>738967.92</v>
      </c>
    </row>
    <row r="11" spans="1:3" x14ac:dyDescent="0.2">
      <c r="A11" t="s">
        <v>776</v>
      </c>
      <c r="B11" s="240">
        <v>79498.070000000007</v>
      </c>
      <c r="C11" s="240">
        <v>56918.99</v>
      </c>
    </row>
    <row r="12" spans="1:3" x14ac:dyDescent="0.2">
      <c r="A12" t="s">
        <v>777</v>
      </c>
      <c r="B12" s="240"/>
      <c r="C12" s="240"/>
    </row>
    <row r="13" spans="1:3" x14ac:dyDescent="0.2">
      <c r="A13" t="str">
        <f>IF(B9=B13,IF(C9=C13,"Check Total OK","Check Total Error"),"Check Total Error")</f>
        <v>Check Total OK</v>
      </c>
      <c r="B13" s="231">
        <f>SUM(B10:B12)</f>
        <v>1493112.9</v>
      </c>
      <c r="C13" s="231">
        <f>SUM(C10:C12)</f>
        <v>795886.91</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462305.69</v>
      </c>
      <c r="C18" s="229">
        <f>'DOE25'!G199+'DOE25'!G217+'DOE25'!G235+'DOE25'!G278+'DOE25'!G297+'DOE25'!G316</f>
        <v>313843.78999999998</v>
      </c>
    </row>
    <row r="19" spans="1:3" x14ac:dyDescent="0.2">
      <c r="A19" t="s">
        <v>775</v>
      </c>
      <c r="B19" s="240">
        <f>462305.69-244964.28</f>
        <v>217341.41</v>
      </c>
      <c r="C19" s="240">
        <f>313843.79-183164.72</f>
        <v>130679.06999999998</v>
      </c>
    </row>
    <row r="20" spans="1:3" x14ac:dyDescent="0.2">
      <c r="A20" t="s">
        <v>776</v>
      </c>
      <c r="B20" s="240">
        <v>244964.28</v>
      </c>
      <c r="C20" s="240">
        <v>183164.72</v>
      </c>
    </row>
    <row r="21" spans="1:3" x14ac:dyDescent="0.2">
      <c r="A21" t="s">
        <v>777</v>
      </c>
      <c r="B21" s="240"/>
      <c r="C21" s="240"/>
    </row>
    <row r="22" spans="1:3" x14ac:dyDescent="0.2">
      <c r="A22" t="str">
        <f>IF(B18=B22,IF(C18=C22,"Check Total OK","Check Total Error"),"Check Total Error")</f>
        <v>Check Total OK</v>
      </c>
      <c r="B22" s="231">
        <f>SUM(B19:B21)</f>
        <v>462305.69</v>
      </c>
      <c r="C22" s="231">
        <f>SUM(C19:C21)</f>
        <v>313843.78999999998</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2600</v>
      </c>
      <c r="C36" s="235">
        <f>'DOE25'!G201+'DOE25'!G219+'DOE25'!G237+'DOE25'!G280+'DOE25'!G299+'DOE25'!G318</f>
        <v>590.5</v>
      </c>
    </row>
    <row r="37" spans="1:3" x14ac:dyDescent="0.2">
      <c r="A37" t="s">
        <v>775</v>
      </c>
      <c r="B37" s="240">
        <v>2600</v>
      </c>
      <c r="C37" s="240">
        <v>590.5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2600</v>
      </c>
      <c r="C40" s="231">
        <f>SUM(C37:C39)</f>
        <v>590.5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TAMWORTH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4581415.13</v>
      </c>
      <c r="D5" s="20">
        <f>SUM('DOE25'!L198:L201)+SUM('DOE25'!L216:L219)+SUM('DOE25'!L234:L237)-F5-G5-H5</f>
        <v>4551921.07</v>
      </c>
      <c r="E5" s="243"/>
      <c r="F5" s="244"/>
      <c r="G5" s="53">
        <f>SUM('DOE25'!J198:J201)+SUM('DOE25'!J216:J219)+SUM('DOE25'!J234:J237)</f>
        <v>29050.06</v>
      </c>
      <c r="H5" s="53">
        <f>SUM('DOE25'!K198:K201)+SUM('DOE25'!K216:K219)+SUM('DOE25'!K234:K237)</f>
        <v>444</v>
      </c>
      <c r="I5" s="254"/>
    </row>
    <row r="6" spans="1:9" x14ac:dyDescent="0.2">
      <c r="A6" s="32">
        <v>2100</v>
      </c>
      <c r="B6" t="s">
        <v>796</v>
      </c>
      <c r="C6" s="273">
        <f t="shared" si="0"/>
        <v>438820.89</v>
      </c>
      <c r="D6" s="20">
        <f>'DOE25'!L203+'DOE25'!L221+'DOE25'!L239-F6-G6-H6</f>
        <v>355225.32</v>
      </c>
      <c r="E6" s="243"/>
      <c r="F6" s="244">
        <v>83595.570000000007</v>
      </c>
      <c r="G6" s="53">
        <f>'DOE25'!J203+'DOE25'!J221+'DOE25'!J239</f>
        <v>0</v>
      </c>
      <c r="H6" s="53">
        <f>'DOE25'!K203+'DOE25'!K221+'DOE25'!K239</f>
        <v>0</v>
      </c>
      <c r="I6" s="254"/>
    </row>
    <row r="7" spans="1:9" x14ac:dyDescent="0.2">
      <c r="A7" s="32">
        <v>2200</v>
      </c>
      <c r="B7" t="s">
        <v>821</v>
      </c>
      <c r="C7" s="273">
        <f t="shared" si="0"/>
        <v>163885.90000000002</v>
      </c>
      <c r="D7" s="20">
        <f>'DOE25'!L204+'DOE25'!L222+'DOE25'!L240-F7-G7-H7</f>
        <v>163885.90000000002</v>
      </c>
      <c r="E7" s="243"/>
      <c r="F7" s="244"/>
      <c r="G7" s="53">
        <f>'DOE25'!J204+'DOE25'!J222+'DOE25'!J240</f>
        <v>0</v>
      </c>
      <c r="H7" s="53">
        <f>'DOE25'!K204+'DOE25'!K222+'DOE25'!K240</f>
        <v>0</v>
      </c>
      <c r="I7" s="254"/>
    </row>
    <row r="8" spans="1:9" x14ac:dyDescent="0.2">
      <c r="A8" s="32">
        <v>2300</v>
      </c>
      <c r="B8" t="s">
        <v>797</v>
      </c>
      <c r="C8" s="273">
        <f t="shared" si="0"/>
        <v>175338.68000000005</v>
      </c>
      <c r="D8" s="243"/>
      <c r="E8" s="20">
        <f>'DOE25'!L205+'DOE25'!L223+'DOE25'!L241-F8-G8-H8-D9-D11</f>
        <v>171872.29000000004</v>
      </c>
      <c r="F8" s="244"/>
      <c r="G8" s="53">
        <f>'DOE25'!J205+'DOE25'!J223+'DOE25'!J241</f>
        <v>0</v>
      </c>
      <c r="H8" s="53">
        <f>'DOE25'!K205+'DOE25'!K223+'DOE25'!K241</f>
        <v>3466.39</v>
      </c>
      <c r="I8" s="254"/>
    </row>
    <row r="9" spans="1:9" ht="14.25" x14ac:dyDescent="0.2">
      <c r="A9" s="32">
        <v>2310</v>
      </c>
      <c r="B9" s="185" t="s">
        <v>888</v>
      </c>
      <c r="C9" s="273">
        <f t="shared" si="0"/>
        <v>20365.479999999981</v>
      </c>
      <c r="D9" s="244">
        <f>294107.48-264742-9000</f>
        <v>20365.479999999981</v>
      </c>
      <c r="E9" s="243"/>
      <c r="F9" s="251"/>
      <c r="G9" s="251"/>
      <c r="H9" s="251"/>
      <c r="I9" s="254"/>
    </row>
    <row r="10" spans="1:9" ht="14.25" x14ac:dyDescent="0.2">
      <c r="A10" s="32">
        <v>2317</v>
      </c>
      <c r="B10" s="185" t="s">
        <v>889</v>
      </c>
      <c r="C10" s="273">
        <f t="shared" si="0"/>
        <v>9000</v>
      </c>
      <c r="D10" s="243"/>
      <c r="E10" s="244">
        <v>9000</v>
      </c>
      <c r="F10" s="251"/>
      <c r="G10" s="251"/>
      <c r="H10" s="251"/>
      <c r="I10" s="254"/>
    </row>
    <row r="11" spans="1:9" ht="14.25" x14ac:dyDescent="0.2">
      <c r="A11" s="32">
        <v>2321</v>
      </c>
      <c r="B11" s="185" t="s">
        <v>890</v>
      </c>
      <c r="C11" s="273">
        <f t="shared" si="0"/>
        <v>98403.32</v>
      </c>
      <c r="D11" s="244">
        <v>98403.32</v>
      </c>
      <c r="E11" s="243"/>
      <c r="F11" s="251"/>
      <c r="G11" s="251"/>
      <c r="H11" s="251"/>
      <c r="I11" s="254"/>
    </row>
    <row r="12" spans="1:9" x14ac:dyDescent="0.2">
      <c r="A12" s="32">
        <v>2400</v>
      </c>
      <c r="B12" t="s">
        <v>711</v>
      </c>
      <c r="C12" s="273">
        <f t="shared" si="0"/>
        <v>245761.43999999997</v>
      </c>
      <c r="D12" s="20">
        <f>'DOE25'!L206+'DOE25'!L224+'DOE25'!L242-F12-G12-H12</f>
        <v>243218.43999999997</v>
      </c>
      <c r="E12" s="243"/>
      <c r="F12" s="244"/>
      <c r="G12" s="53">
        <f>'DOE25'!J206+'DOE25'!J224+'DOE25'!J242</f>
        <v>0</v>
      </c>
      <c r="H12" s="53">
        <f>'DOE25'!K206+'DOE25'!K224+'DOE25'!K242</f>
        <v>2543</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518185.32999999996</v>
      </c>
      <c r="D14" s="20">
        <f>'DOE25'!L208+'DOE25'!L226+'DOE25'!L244-F14-G14-H14</f>
        <v>369763.22</v>
      </c>
      <c r="E14" s="243"/>
      <c r="F14" s="244">
        <v>39000</v>
      </c>
      <c r="G14" s="53">
        <f>'DOE25'!J208+'DOE25'!J226+'DOE25'!J244</f>
        <v>109422.11</v>
      </c>
      <c r="H14" s="53">
        <f>'DOE25'!K208+'DOE25'!K226+'DOE25'!K244</f>
        <v>0</v>
      </c>
      <c r="I14" s="254"/>
    </row>
    <row r="15" spans="1:9" x14ac:dyDescent="0.2">
      <c r="A15" s="32">
        <v>2700</v>
      </c>
      <c r="B15" t="s">
        <v>799</v>
      </c>
      <c r="C15" s="273">
        <f t="shared" si="0"/>
        <v>346172.91000000003</v>
      </c>
      <c r="D15" s="20">
        <f>'DOE25'!L209+'DOE25'!L227+'DOE25'!L245-F15-G15-H15</f>
        <v>2968.8800000000047</v>
      </c>
      <c r="E15" s="243"/>
      <c r="F15" s="244">
        <f>281358.28+61845.75</f>
        <v>343204.03</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182100.52</v>
      </c>
      <c r="D25" s="243"/>
      <c r="E25" s="243"/>
      <c r="F25" s="253"/>
      <c r="G25" s="251"/>
      <c r="H25" s="251"/>
      <c r="I25" s="252">
        <f>'DOE25'!L261+'DOE25'!L262+'DOE25'!L342+'DOE25'!L343</f>
        <v>182100.52</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109377.19999999998</v>
      </c>
      <c r="D29" s="281">
        <f>'DOE25'!L359+'DOE25'!L360+'DOE25'!L361-'DOE25'!I368-F29-G29-H29</f>
        <v>105619.17999999998</v>
      </c>
      <c r="E29" s="243"/>
      <c r="F29" s="244"/>
      <c r="G29" s="53">
        <f>'DOE25'!J359+'DOE25'!J360+'DOE25'!J361</f>
        <v>2957.55</v>
      </c>
      <c r="H29" s="53">
        <f>'DOE25'!K359+'DOE25'!K360+'DOE25'!K361</f>
        <v>800.47</v>
      </c>
      <c r="I29" s="254"/>
    </row>
    <row r="30" spans="1:9" x14ac:dyDescent="0.2">
      <c r="A30" s="32"/>
      <c r="C30" s="274"/>
      <c r="D30" s="20"/>
      <c r="E30" s="278"/>
      <c r="F30" s="268"/>
      <c r="G30" s="53"/>
      <c r="H30" s="53"/>
      <c r="I30" s="254"/>
    </row>
    <row r="31" spans="1:9" x14ac:dyDescent="0.2">
      <c r="A31" s="32" t="s">
        <v>818</v>
      </c>
      <c r="B31" t="s">
        <v>817</v>
      </c>
      <c r="C31" s="273">
        <f>SUM(D31:I31)</f>
        <v>263293.48</v>
      </c>
      <c r="D31" s="20">
        <f>'DOE25'!L291+'DOE25'!L310+'DOE25'!L329+'DOE25'!L334+'DOE25'!L335+'DOE25'!L336-F31-G31-H31</f>
        <v>240220.53999999998</v>
      </c>
      <c r="E31" s="243"/>
      <c r="F31" s="244"/>
      <c r="G31" s="53">
        <f>'DOE25'!J291+'DOE25'!J310+'DOE25'!J329+'DOE25'!J334+'DOE25'!J335+'DOE25'!J336</f>
        <v>15187.74</v>
      </c>
      <c r="H31" s="53">
        <f>'DOE25'!K291+'DOE25'!K310+'DOE25'!K329+'DOE25'!K334+'DOE25'!K335+'DOE25'!K336</f>
        <v>7885.2000000000007</v>
      </c>
      <c r="I31" s="254"/>
    </row>
    <row r="32" spans="1:9" ht="12" thickBot="1" x14ac:dyDescent="0.25">
      <c r="C32" s="274"/>
      <c r="G32" s="249"/>
      <c r="H32" s="249"/>
      <c r="I32" s="256"/>
    </row>
    <row r="33" spans="1:9" ht="12" thickTop="1" x14ac:dyDescent="0.2">
      <c r="B33" t="s">
        <v>809</v>
      </c>
      <c r="D33" s="245">
        <f t="shared" ref="D33:I33" si="1">SUM(D5:D31)</f>
        <v>6151591.3500000015</v>
      </c>
      <c r="E33" s="245">
        <f t="shared" si="1"/>
        <v>180872.29000000004</v>
      </c>
      <c r="F33" s="245">
        <f t="shared" si="1"/>
        <v>465799.60000000003</v>
      </c>
      <c r="G33" s="245">
        <f t="shared" si="1"/>
        <v>156617.46</v>
      </c>
      <c r="H33" s="245">
        <f t="shared" si="1"/>
        <v>15139.060000000001</v>
      </c>
      <c r="I33" s="245">
        <f t="shared" si="1"/>
        <v>182100.52</v>
      </c>
    </row>
    <row r="35" spans="1:9" ht="12" thickBot="1" x14ac:dyDescent="0.25">
      <c r="B35" s="249" t="s">
        <v>831</v>
      </c>
      <c r="D35" s="250">
        <f>E33</f>
        <v>180872.29000000004</v>
      </c>
      <c r="E35" s="246"/>
      <c r="F35" s="333" t="s">
        <v>1632</v>
      </c>
      <c r="G35" s="334"/>
      <c r="H35" s="334"/>
      <c r="I35" s="334"/>
    </row>
    <row r="36" spans="1:9" ht="12" thickTop="1" x14ac:dyDescent="0.2">
      <c r="B36" t="s">
        <v>810</v>
      </c>
      <c r="D36" s="20">
        <f>D33</f>
        <v>6151591.3500000015</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16" sqref="D1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TAMWORTH SCHOOL DISTRICT</v>
      </c>
      <c r="B2" s="126">
        <f>'DOE25'!B2</f>
        <v>525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5123930.41</v>
      </c>
      <c r="G4" s="300">
        <f>'DOE25'!L212+'DOE25'!L291</f>
        <v>5123930.41</v>
      </c>
      <c r="H4" s="353">
        <f>F4-G4</f>
        <v>0</v>
      </c>
      <c r="I4" s="371" t="str">
        <f>IF(H4=0,"","ISSUES!! Please review page 7 and 11 totals in comparison with total on this page")</f>
        <v/>
      </c>
      <c r="N4"/>
    </row>
    <row r="5" spans="1:18" x14ac:dyDescent="0.2">
      <c r="A5" s="21" t="s">
        <v>1443</v>
      </c>
      <c r="B5" s="301">
        <f>IFERROR(VLOOKUP(A5,'School Tables'!$C$3:$D$365,2,FALSE),"")</f>
        <v>20365</v>
      </c>
      <c r="C5" s="294" t="str">
        <f>IFERROR(INDEX('School Tables'!$B$3:$B$365,MATCH('School Level Expenditures'!B5,'School Tables'!$D$3:$D$365,0)),"")</f>
        <v>Tamworth</v>
      </c>
      <c r="D5" s="291">
        <v>4860636.93</v>
      </c>
      <c r="E5" s="291">
        <v>263293.48</v>
      </c>
      <c r="F5" s="304">
        <f>D5+E5</f>
        <v>5123930.41</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4860636.93</v>
      </c>
      <c r="E21" s="351">
        <f>SUM(E5:E20)</f>
        <v>263293.48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v>0</v>
      </c>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1727712.15</v>
      </c>
      <c r="G36" s="300">
        <f>'DOE25'!L248+'DOE25'!L329</f>
        <v>1727712.15</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1727712.15</v>
      </c>
      <c r="E37" s="291"/>
      <c r="F37" s="304">
        <f t="shared" ref="F37:F42" si="2">D37+E37</f>
        <v>1727712.15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1727712.15</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8" activePane="bottomLeft" state="frozen"/>
      <selection activeCell="F46" sqref="F46"/>
      <selection pane="bottomLeft" activeCell="I103" sqref="I10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TAMWORTH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935005.15</v>
      </c>
      <c r="D8" s="95">
        <f>'DOE25'!G9</f>
        <v>0</v>
      </c>
      <c r="E8" s="95">
        <f>'DOE25'!H9</f>
        <v>0</v>
      </c>
      <c r="F8" s="95">
        <f>'DOE25'!I9</f>
        <v>0</v>
      </c>
      <c r="G8" s="95">
        <f>'DOE25'!J9</f>
        <v>0</v>
      </c>
      <c r="H8" s="124"/>
      <c r="I8" s="124"/>
    </row>
    <row r="9" spans="1:9" x14ac:dyDescent="0.2">
      <c r="A9" s="1" t="s">
        <v>140</v>
      </c>
      <c r="B9" s="6">
        <v>110</v>
      </c>
      <c r="C9" s="95">
        <f>'DOE25'!F10</f>
        <v>2191.5</v>
      </c>
      <c r="D9" s="95">
        <f>'DOE25'!G10</f>
        <v>0</v>
      </c>
      <c r="E9" s="95">
        <f>'DOE25'!H10</f>
        <v>0</v>
      </c>
      <c r="F9" s="95">
        <f>'DOE25'!I10</f>
        <v>0</v>
      </c>
      <c r="G9" s="95">
        <f>'DOE25'!J10</f>
        <v>212108.26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44741.43</v>
      </c>
      <c r="D11" s="95">
        <f>'DOE25'!G12</f>
        <v>-9502.18</v>
      </c>
      <c r="E11" s="95">
        <f>'DOE25'!H12</f>
        <v>-8571.16</v>
      </c>
      <c r="F11" s="95">
        <f>'DOE25'!I12</f>
        <v>0</v>
      </c>
      <c r="G11" s="95">
        <f>'DOE25'!J12</f>
        <v>0</v>
      </c>
      <c r="H11" s="124"/>
      <c r="I11" s="124"/>
    </row>
    <row r="12" spans="1:9" x14ac:dyDescent="0.2">
      <c r="A12" s="1" t="s">
        <v>143</v>
      </c>
      <c r="B12" s="6">
        <v>140</v>
      </c>
      <c r="C12" s="95">
        <f>'DOE25'!F13</f>
        <v>4240.7</v>
      </c>
      <c r="D12" s="95">
        <f>'DOE25'!G13</f>
        <v>9502.18</v>
      </c>
      <c r="E12" s="95">
        <f>'DOE25'!H13</f>
        <v>39435.01</v>
      </c>
      <c r="F12" s="95">
        <f>'DOE25'!I13</f>
        <v>0</v>
      </c>
      <c r="G12" s="95">
        <f>'DOE25'!J13</f>
        <v>0</v>
      </c>
      <c r="H12" s="124"/>
      <c r="I12" s="124"/>
    </row>
    <row r="13" spans="1:9" x14ac:dyDescent="0.2">
      <c r="A13" s="1" t="s">
        <v>144</v>
      </c>
      <c r="B13" s="6">
        <v>150</v>
      </c>
      <c r="C13" s="95">
        <f>'DOE25'!F14</f>
        <v>5037.4399999999996</v>
      </c>
      <c r="D13" s="95">
        <f>'DOE25'!G14</f>
        <v>0</v>
      </c>
      <c r="E13" s="95">
        <f>'DOE25'!H14</f>
        <v>0</v>
      </c>
      <c r="F13" s="95">
        <f>'DOE25'!I14</f>
        <v>0</v>
      </c>
      <c r="G13" s="95">
        <f>'DOE25'!J14</f>
        <v>30000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991216.22</v>
      </c>
      <c r="D18" s="41">
        <f>SUM(D8:D17)</f>
        <v>0</v>
      </c>
      <c r="E18" s="41">
        <f>SUM(E8:E17)</f>
        <v>30863.850000000002</v>
      </c>
      <c r="F18" s="41">
        <f>SUM(F8:F17)</f>
        <v>0</v>
      </c>
      <c r="G18" s="41">
        <f>SUM(G8:G17)</f>
        <v>242108.26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30000</v>
      </c>
      <c r="D21" s="95">
        <f>'DOE25'!G22</f>
        <v>0</v>
      </c>
      <c r="E21" s="95">
        <f>'DOE25'!H22</f>
        <v>26508.09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98224.66</v>
      </c>
      <c r="D23" s="95">
        <f>'DOE25'!G24</f>
        <v>0</v>
      </c>
      <c r="E23" s="95">
        <f>'DOE25'!H24</f>
        <v>1225.29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251454.41</v>
      </c>
      <c r="D29" s="95">
        <f>'DOE25'!G30</f>
        <v>0</v>
      </c>
      <c r="E29" s="95">
        <f>'DOE25'!H30</f>
        <v>3130.47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379679.07</v>
      </c>
      <c r="D31" s="41">
        <f>SUM(D21:D30)</f>
        <v>0</v>
      </c>
      <c r="E31" s="41">
        <f>SUM(E21:E30)</f>
        <v>30863.850000000002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153228.75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242108.26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428308.4</v>
      </c>
      <c r="D49" s="24" t="s">
        <v>288</v>
      </c>
      <c r="E49" s="24" t="s">
        <v>288</v>
      </c>
      <c r="F49" s="24" t="s">
        <v>288</v>
      </c>
      <c r="G49" s="24" t="s">
        <v>288</v>
      </c>
      <c r="H49" s="124"/>
      <c r="I49" s="124"/>
    </row>
    <row r="50" spans="1:9" ht="12.75" thickTop="1" thickBot="1" x14ac:dyDescent="0.25">
      <c r="A50" s="38" t="s">
        <v>884</v>
      </c>
      <c r="B50" s="48"/>
      <c r="C50" s="41">
        <f>SUM(C34:C49)</f>
        <v>611537.15</v>
      </c>
      <c r="D50" s="41">
        <f>SUM(D34:D49)</f>
        <v>0</v>
      </c>
      <c r="E50" s="41">
        <f>SUM(E34:E49)</f>
        <v>0</v>
      </c>
      <c r="F50" s="41">
        <f>SUM(F34:F49)</f>
        <v>0</v>
      </c>
      <c r="G50" s="41">
        <f>SUM(G34:G49)</f>
        <v>242108.26</v>
      </c>
      <c r="H50" s="124"/>
      <c r="I50" s="124"/>
    </row>
    <row r="51" spans="1:9" ht="12" thickTop="1" x14ac:dyDescent="0.2">
      <c r="A51" s="38" t="s">
        <v>885</v>
      </c>
      <c r="B51" s="2"/>
      <c r="C51" s="41">
        <f>C50+C31</f>
        <v>991216.22</v>
      </c>
      <c r="D51" s="41">
        <f>D50+D31</f>
        <v>0</v>
      </c>
      <c r="E51" s="41">
        <f>E50+E31</f>
        <v>30863.850000000002</v>
      </c>
      <c r="F51" s="41">
        <f>F50+F31</f>
        <v>0</v>
      </c>
      <c r="G51" s="41">
        <f>G50+G31</f>
        <v>242108.26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5420635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342.91</v>
      </c>
      <c r="D59" s="95">
        <f>'DOE25'!G96</f>
        <v>0</v>
      </c>
      <c r="E59" s="95">
        <f>'DOE25'!H96</f>
        <v>0</v>
      </c>
      <c r="F59" s="95">
        <f>'DOE25'!I96</f>
        <v>0</v>
      </c>
      <c r="G59" s="95">
        <f>'DOE25'!J96</f>
        <v>0</v>
      </c>
      <c r="H59"/>
      <c r="I59"/>
    </row>
    <row r="60" spans="1:9" x14ac:dyDescent="0.2">
      <c r="A60" s="1" t="s">
        <v>170</v>
      </c>
      <c r="B60" s="118" t="s">
        <v>171</v>
      </c>
      <c r="C60" s="24" t="s">
        <v>288</v>
      </c>
      <c r="D60" s="95">
        <f>'DOE25'!G97</f>
        <v>2963.6</v>
      </c>
      <c r="E60" s="24" t="s">
        <v>288</v>
      </c>
      <c r="F60" s="24" t="s">
        <v>288</v>
      </c>
      <c r="G60" s="24" t="s">
        <v>288</v>
      </c>
      <c r="H60"/>
      <c r="I60"/>
    </row>
    <row r="61" spans="1:9" ht="12" thickBot="1" x14ac:dyDescent="0.25">
      <c r="A61" s="1" t="s">
        <v>172</v>
      </c>
      <c r="B61" s="118" t="s">
        <v>173</v>
      </c>
      <c r="C61" s="95">
        <f>SUM('DOE25'!F98:F110)</f>
        <v>7758.74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8101.65</v>
      </c>
      <c r="D62" s="130">
        <f>SUM(D57:D61)</f>
        <v>2963.6</v>
      </c>
      <c r="E62" s="130">
        <f>SUM(E57:E61)</f>
        <v>0</v>
      </c>
      <c r="F62" s="130">
        <f>SUM(F57:F61)</f>
        <v>0</v>
      </c>
      <c r="G62" s="130">
        <f>SUM(G57:G61)</f>
        <v>0</v>
      </c>
      <c r="H62"/>
      <c r="I62"/>
    </row>
    <row r="63" spans="1:9" ht="12" thickTop="1" x14ac:dyDescent="0.2">
      <c r="A63" s="29" t="s">
        <v>175</v>
      </c>
      <c r="B63" s="6"/>
      <c r="C63" s="22">
        <f>C56+C62</f>
        <v>5428736.6500000004</v>
      </c>
      <c r="D63" s="22">
        <f>D56+D62</f>
        <v>2963.6</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930772.46</v>
      </c>
      <c r="D66" s="24" t="s">
        <v>288</v>
      </c>
      <c r="E66" s="24" t="s">
        <v>288</v>
      </c>
      <c r="F66" s="24" t="s">
        <v>288</v>
      </c>
      <c r="G66" s="24" t="s">
        <v>288</v>
      </c>
      <c r="H66"/>
      <c r="I66"/>
    </row>
    <row r="67" spans="1:9" x14ac:dyDescent="0.2">
      <c r="A67" s="1" t="s">
        <v>770</v>
      </c>
      <c r="B67" s="6">
        <v>3112</v>
      </c>
      <c r="C67" s="95">
        <f>'DOE25'!F118</f>
        <v>708515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1639287.46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49083.34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313.26</v>
      </c>
      <c r="E77" s="95">
        <f>SUM('DOE25'!H131:H135)</f>
        <v>0</v>
      </c>
      <c r="F77" s="95">
        <f>SUM('DOE25'!I131:I135)</f>
        <v>0</v>
      </c>
      <c r="G77" s="95">
        <f>SUM('DOE25'!J131:J135)</f>
        <v>0</v>
      </c>
      <c r="H77"/>
      <c r="I77"/>
    </row>
    <row r="78" spans="1:9" ht="12.75" thickTop="1" thickBot="1" x14ac:dyDescent="0.25">
      <c r="A78" s="29" t="s">
        <v>259</v>
      </c>
      <c r="B78" s="6"/>
      <c r="C78" s="130">
        <f>SUM(C72:C77)</f>
        <v>49083.34</v>
      </c>
      <c r="D78" s="130">
        <f>SUM(D72:D77)</f>
        <v>313.26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1688370.8</v>
      </c>
      <c r="D81" s="130">
        <f>SUM(D79:D80)+D78+D70</f>
        <v>313.26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45689.62</v>
      </c>
      <c r="D88" s="331">
        <f>SUM('DOE25'!G153:G162)</f>
        <v>89026.14</v>
      </c>
      <c r="E88" s="331">
        <f>SUM('DOE25'!H153:H162)</f>
        <v>263293.48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103.12</v>
      </c>
      <c r="D90" s="24" t="s">
        <v>288</v>
      </c>
      <c r="E90" s="24" t="s">
        <v>288</v>
      </c>
      <c r="F90" s="24" t="s">
        <v>288</v>
      </c>
      <c r="G90" s="24" t="s">
        <v>288</v>
      </c>
    </row>
    <row r="91" spans="1:9" ht="12.75" thickTop="1" thickBot="1" x14ac:dyDescent="0.25">
      <c r="A91" s="33" t="s">
        <v>750</v>
      </c>
      <c r="C91" s="131">
        <f>SUM(C85:C90)</f>
        <v>45792.740000000005</v>
      </c>
      <c r="D91" s="131">
        <f>SUM(D85:D90)</f>
        <v>89026.14</v>
      </c>
      <c r="E91" s="131">
        <f>SUM(E85:E90)</f>
        <v>263293.48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50642.94</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50642.94</v>
      </c>
      <c r="E103" s="86">
        <f>SUM(E93:E102)</f>
        <v>0</v>
      </c>
      <c r="F103" s="86">
        <f>SUM(F93:F102)</f>
        <v>0</v>
      </c>
      <c r="G103" s="86">
        <f>SUM(G93:G102)</f>
        <v>30000</v>
      </c>
    </row>
    <row r="104" spans="1:7" ht="12.75" thickTop="1" thickBot="1" x14ac:dyDescent="0.25">
      <c r="A104" s="33" t="s">
        <v>761</v>
      </c>
      <c r="C104" s="86">
        <f>C63+C81+C91+C103</f>
        <v>7162900.1900000004</v>
      </c>
      <c r="D104" s="86">
        <f>D63+D81+D91+D103</f>
        <v>142945.94</v>
      </c>
      <c r="E104" s="86">
        <f>E63+E81+E91+E103</f>
        <v>263293.48</v>
      </c>
      <c r="F104" s="86">
        <f>F63+F81+F91+F103</f>
        <v>0</v>
      </c>
      <c r="G104" s="86">
        <f>G63+G81+G103</f>
        <v>30000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3644646.16</v>
      </c>
      <c r="D109" s="24" t="s">
        <v>288</v>
      </c>
      <c r="E109" s="95">
        <f>('DOE25'!L277)+('DOE25'!L296)+('DOE25'!L315)</f>
        <v>210548.66</v>
      </c>
      <c r="F109" s="24" t="s">
        <v>288</v>
      </c>
      <c r="G109" s="24" t="s">
        <v>288</v>
      </c>
    </row>
    <row r="110" spans="1:7" x14ac:dyDescent="0.2">
      <c r="A110" t="s">
        <v>198</v>
      </c>
      <c r="B110" s="32" t="s">
        <v>199</v>
      </c>
      <c r="C110" s="95">
        <f>('DOE25'!L199)+('DOE25'!L217)+('DOE25'!L235)</f>
        <v>932612.83</v>
      </c>
      <c r="D110" s="24" t="s">
        <v>288</v>
      </c>
      <c r="E110" s="95">
        <f>('DOE25'!L278)+('DOE25'!L297)+('DOE25'!L316)</f>
        <v>5275.38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4156.1400000000003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4581415.13</v>
      </c>
      <c r="D115" s="86">
        <f>SUM(D109:D114)</f>
        <v>0</v>
      </c>
      <c r="E115" s="86">
        <f>SUM(E109:E114)</f>
        <v>215824.04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438820.89</v>
      </c>
      <c r="D118" s="24" t="s">
        <v>288</v>
      </c>
      <c r="E118" s="95">
        <f>+('DOE25'!L282)+('DOE25'!L301)+('DOE25'!L320)</f>
        <v>23816.260000000002</v>
      </c>
      <c r="F118" s="24" t="s">
        <v>288</v>
      </c>
      <c r="G118" s="24" t="s">
        <v>288</v>
      </c>
    </row>
    <row r="119" spans="1:7" x14ac:dyDescent="0.2">
      <c r="A119" t="s">
        <v>208</v>
      </c>
      <c r="B119" s="32" t="s">
        <v>209</v>
      </c>
      <c r="C119" s="95">
        <f>('DOE25'!L204)+('DOE25'!L222)+('DOE25'!L240)</f>
        <v>163885.90000000002</v>
      </c>
      <c r="D119" s="24" t="s">
        <v>288</v>
      </c>
      <c r="E119" s="95">
        <f>+('DOE25'!L283)+('DOE25'!L302)+('DOE25'!L321)</f>
        <v>8553.2000000000007</v>
      </c>
      <c r="F119" s="24" t="s">
        <v>288</v>
      </c>
      <c r="G119" s="24" t="s">
        <v>288</v>
      </c>
    </row>
    <row r="120" spans="1:7" x14ac:dyDescent="0.2">
      <c r="A120" t="s">
        <v>210</v>
      </c>
      <c r="B120" s="32" t="s">
        <v>211</v>
      </c>
      <c r="C120" s="95">
        <f>('DOE25'!L205)+('DOE25'!L223)+('DOE25'!L241)</f>
        <v>294107.48000000004</v>
      </c>
      <c r="D120" s="24" t="s">
        <v>288</v>
      </c>
      <c r="E120" s="95">
        <f>+('DOE25'!L284)+('DOE25'!L303)+('DOE25'!L322)</f>
        <v>575.86</v>
      </c>
      <c r="F120" s="24" t="s">
        <v>288</v>
      </c>
      <c r="G120" s="24" t="s">
        <v>288</v>
      </c>
    </row>
    <row r="121" spans="1:7" x14ac:dyDescent="0.2">
      <c r="A121" t="s">
        <v>212</v>
      </c>
      <c r="B121" s="32" t="s">
        <v>213</v>
      </c>
      <c r="C121" s="95">
        <f>('DOE25'!L206)+('DOE25'!L224)+('DOE25'!L242)</f>
        <v>245761.43999999997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5179.71</v>
      </c>
      <c r="F122" s="24" t="s">
        <v>288</v>
      </c>
      <c r="G122" s="24" t="s">
        <v>288</v>
      </c>
    </row>
    <row r="123" spans="1:7" x14ac:dyDescent="0.2">
      <c r="A123" t="s">
        <v>216</v>
      </c>
      <c r="B123" s="32" t="s">
        <v>217</v>
      </c>
      <c r="C123" s="95">
        <f>('DOE25'!L208)+('DOE25'!L226)+('DOE25'!L244)</f>
        <v>518185.32999999996</v>
      </c>
      <c r="D123" s="24" t="s">
        <v>288</v>
      </c>
      <c r="E123" s="95">
        <f>+('DOE25'!L287)+('DOE25'!L306)+('DOE25'!L325)</f>
        <v>2692.52</v>
      </c>
      <c r="F123" s="24" t="s">
        <v>288</v>
      </c>
      <c r="G123" s="24" t="s">
        <v>288</v>
      </c>
    </row>
    <row r="124" spans="1:7" x14ac:dyDescent="0.2">
      <c r="A124" t="s">
        <v>218</v>
      </c>
      <c r="B124" s="32" t="s">
        <v>219</v>
      </c>
      <c r="C124" s="95">
        <f>('DOE25'!L209)+('DOE25'!L227)+('DOE25'!L245+'DOE25'!L255)</f>
        <v>346172.91000000003</v>
      </c>
      <c r="D124" s="24" t="s">
        <v>288</v>
      </c>
      <c r="E124" s="95">
        <f>+('DOE25'!L288)+('DOE25'!L307)+('DOE25'!L326)</f>
        <v>403.55</v>
      </c>
      <c r="F124" s="24" t="s">
        <v>288</v>
      </c>
      <c r="G124" s="24" t="s">
        <v>288</v>
      </c>
    </row>
    <row r="125" spans="1:7" x14ac:dyDescent="0.2">
      <c r="A125" t="s">
        <v>220</v>
      </c>
      <c r="B125" s="32" t="s">
        <v>221</v>
      </c>
      <c r="C125" s="95">
        <f>('DOE25'!L210)+('DOE25'!L228)+('DOE25'!L246)</f>
        <v>0</v>
      </c>
      <c r="D125" s="24" t="s">
        <v>288</v>
      </c>
      <c r="E125" s="95">
        <f>+('DOE25'!L289)+('DOE25'!L308)+('DOE25'!L327)</f>
        <v>6248.34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142945.93999999997</v>
      </c>
      <c r="E127" s="24" t="s">
        <v>288</v>
      </c>
      <c r="F127" s="24" t="s">
        <v>288</v>
      </c>
      <c r="G127" s="24" t="s">
        <v>288</v>
      </c>
    </row>
    <row r="128" spans="1:7" ht="12.75" thickTop="1" thickBot="1" x14ac:dyDescent="0.25">
      <c r="A128" s="33" t="s">
        <v>226</v>
      </c>
      <c r="C128" s="86">
        <f>SUM(C118:C127)</f>
        <v>2006933.9500000002</v>
      </c>
      <c r="D128" s="86">
        <f>SUM(D118:D127)</f>
        <v>142945.93999999997</v>
      </c>
      <c r="E128" s="86">
        <f>SUM(E118:E127)</f>
        <v>47469.440000000002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164102.56</v>
      </c>
      <c r="D131" s="24" t="s">
        <v>288</v>
      </c>
      <c r="E131" s="129">
        <f>'DOE25'!L342</f>
        <v>0</v>
      </c>
      <c r="F131" s="24" t="s">
        <v>288</v>
      </c>
      <c r="G131" s="24" t="s">
        <v>288</v>
      </c>
    </row>
    <row r="132" spans="1:7" x14ac:dyDescent="0.2">
      <c r="A132" t="s">
        <v>230</v>
      </c>
      <c r="B132" s="32">
        <v>5120</v>
      </c>
      <c r="C132" s="95">
        <f>'DOE25'!L262</f>
        <v>17997.96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50642.94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262743.45999999996</v>
      </c>
      <c r="D144" s="141">
        <f>SUM(D130:D143)</f>
        <v>0</v>
      </c>
      <c r="E144" s="141">
        <f>SUM(E130:E143)</f>
        <v>0</v>
      </c>
      <c r="F144" s="141">
        <f>SUM(F130:F143)</f>
        <v>0</v>
      </c>
      <c r="G144" s="141">
        <f>SUM(G130:G143)</f>
        <v>0</v>
      </c>
    </row>
    <row r="145" spans="1:9" ht="12.75" thickTop="1" thickBot="1" x14ac:dyDescent="0.25">
      <c r="A145" s="33" t="s">
        <v>244</v>
      </c>
      <c r="C145" s="86">
        <f>(C115+C128+C144)</f>
        <v>6851092.54</v>
      </c>
      <c r="D145" s="86">
        <f>(D115+D128+D144)</f>
        <v>142945.93999999997</v>
      </c>
      <c r="E145" s="86">
        <f>(E115+E128+E144)</f>
        <v>263293.48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04/02</v>
      </c>
      <c r="C152" s="152">
        <f>'DOE25'!G492</f>
        <v>0</v>
      </c>
      <c r="D152" s="152">
        <f>'DOE25'!H492</f>
        <v>0</v>
      </c>
      <c r="E152" s="152">
        <f>'DOE25'!I492</f>
        <v>0</v>
      </c>
      <c r="F152" s="152">
        <f>'DOE25'!J492</f>
        <v>0</v>
      </c>
      <c r="G152" s="24" t="s">
        <v>288</v>
      </c>
    </row>
    <row r="153" spans="1:9" x14ac:dyDescent="0.2">
      <c r="A153" s="136" t="s">
        <v>29</v>
      </c>
      <c r="B153" s="152" t="str">
        <f>'DOE25'!F493</f>
        <v>07/22</v>
      </c>
      <c r="C153" s="152">
        <f>'DOE25'!G493</f>
        <v>0</v>
      </c>
      <c r="D153" s="152">
        <f>'DOE25'!H493</f>
        <v>0</v>
      </c>
      <c r="E153" s="152">
        <f>'DOE25'!I493</f>
        <v>0</v>
      </c>
      <c r="F153" s="152">
        <f>'DOE25'!J493</f>
        <v>0</v>
      </c>
      <c r="G153" s="24" t="s">
        <v>288</v>
      </c>
    </row>
    <row r="154" spans="1:9" x14ac:dyDescent="0.2">
      <c r="A154" s="136" t="s">
        <v>30</v>
      </c>
      <c r="B154" s="137">
        <f>'DOE25'!F494</f>
        <v>3200000</v>
      </c>
      <c r="C154" s="137">
        <f>'DOE25'!G494</f>
        <v>0</v>
      </c>
      <c r="D154" s="137">
        <f>'DOE25'!H494</f>
        <v>0</v>
      </c>
      <c r="E154" s="137">
        <f>'DOE25'!I494</f>
        <v>0</v>
      </c>
      <c r="F154" s="137">
        <f>'DOE25'!J494</f>
        <v>0</v>
      </c>
      <c r="G154" s="24" t="s">
        <v>288</v>
      </c>
    </row>
    <row r="155" spans="1:9" x14ac:dyDescent="0.2">
      <c r="A155" s="136" t="s">
        <v>31</v>
      </c>
      <c r="B155" s="137">
        <f>'DOE25'!F495</f>
        <v>4.87</v>
      </c>
      <c r="C155" s="137">
        <f>'DOE25'!G495</f>
        <v>0</v>
      </c>
      <c r="D155" s="137">
        <f>'DOE25'!H495</f>
        <v>0</v>
      </c>
      <c r="E155" s="137">
        <f>'DOE25'!I495</f>
        <v>0</v>
      </c>
      <c r="F155" s="137">
        <f>'DOE25'!J495</f>
        <v>0</v>
      </c>
      <c r="G155" s="24" t="s">
        <v>288</v>
      </c>
    </row>
    <row r="156" spans="1:9" x14ac:dyDescent="0.2">
      <c r="A156" s="22" t="s">
        <v>32</v>
      </c>
      <c r="B156" s="137">
        <f>'DOE25'!F496</f>
        <v>410255</v>
      </c>
      <c r="C156" s="137">
        <f>'DOE25'!G496</f>
        <v>0</v>
      </c>
      <c r="D156" s="137">
        <f>'DOE25'!H496</f>
        <v>0</v>
      </c>
      <c r="E156" s="137">
        <f>'DOE25'!I496</f>
        <v>0</v>
      </c>
      <c r="F156" s="137">
        <f>'DOE25'!J496</f>
        <v>0</v>
      </c>
      <c r="G156" s="138">
        <f>SUM(B156:F156)</f>
        <v>410255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246153</v>
      </c>
      <c r="C159" s="137">
        <f>'DOE25'!G499</f>
        <v>0</v>
      </c>
      <c r="D159" s="137">
        <f>'DOE25'!H499</f>
        <v>0</v>
      </c>
      <c r="E159" s="137">
        <f>'DOE25'!I499</f>
        <v>0</v>
      </c>
      <c r="F159" s="137">
        <f>'DOE25'!J499</f>
        <v>0</v>
      </c>
      <c r="G159" s="138">
        <f t="shared" si="0"/>
        <v>246153</v>
      </c>
    </row>
    <row r="160" spans="1:9" x14ac:dyDescent="0.2">
      <c r="A160" s="22" t="s">
        <v>36</v>
      </c>
      <c r="B160" s="137">
        <f>'DOE25'!F500</f>
        <v>9989.75</v>
      </c>
      <c r="C160" s="137">
        <f>'DOE25'!G500</f>
        <v>0</v>
      </c>
      <c r="D160" s="137">
        <f>'DOE25'!H500</f>
        <v>0</v>
      </c>
      <c r="E160" s="137">
        <f>'DOE25'!I500</f>
        <v>0</v>
      </c>
      <c r="F160" s="137">
        <f>'DOE25'!J500</f>
        <v>0</v>
      </c>
      <c r="G160" s="138">
        <f t="shared" si="0"/>
        <v>9989.75</v>
      </c>
    </row>
    <row r="161" spans="1:7" x14ac:dyDescent="0.2">
      <c r="A161" s="22" t="s">
        <v>37</v>
      </c>
      <c r="B161" s="137">
        <f>'DOE25'!F501</f>
        <v>256142.75</v>
      </c>
      <c r="C161" s="137">
        <f>'DOE25'!G501</f>
        <v>0</v>
      </c>
      <c r="D161" s="137">
        <f>'DOE25'!H501</f>
        <v>0</v>
      </c>
      <c r="E161" s="137">
        <f>'DOE25'!I501</f>
        <v>0</v>
      </c>
      <c r="F161" s="137">
        <f>'DOE25'!J501</f>
        <v>0</v>
      </c>
      <c r="G161" s="138">
        <f t="shared" si="0"/>
        <v>256142.75</v>
      </c>
    </row>
    <row r="162" spans="1:7" x14ac:dyDescent="0.2">
      <c r="A162" s="22" t="s">
        <v>38</v>
      </c>
      <c r="B162" s="137">
        <f>'DOE25'!F502</f>
        <v>164102.56</v>
      </c>
      <c r="C162" s="137">
        <f>'DOE25'!G502</f>
        <v>0</v>
      </c>
      <c r="D162" s="137">
        <f>'DOE25'!H502</f>
        <v>0</v>
      </c>
      <c r="E162" s="137">
        <f>'DOE25'!I502</f>
        <v>0</v>
      </c>
      <c r="F162" s="137">
        <f>'DOE25'!J502</f>
        <v>0</v>
      </c>
      <c r="G162" s="138">
        <f t="shared" si="0"/>
        <v>164102.56</v>
      </c>
    </row>
    <row r="163" spans="1:7" x14ac:dyDescent="0.2">
      <c r="A163" s="22" t="s">
        <v>39</v>
      </c>
      <c r="B163" s="137">
        <f>'DOE25'!F503</f>
        <v>9989.75</v>
      </c>
      <c r="C163" s="137">
        <f>'DOE25'!G503</f>
        <v>0</v>
      </c>
      <c r="D163" s="137">
        <f>'DOE25'!H503</f>
        <v>0</v>
      </c>
      <c r="E163" s="137">
        <f>'DOE25'!I503</f>
        <v>0</v>
      </c>
      <c r="F163" s="137">
        <f>'DOE25'!J503</f>
        <v>0</v>
      </c>
      <c r="G163" s="138">
        <f t="shared" si="0"/>
        <v>9989.75</v>
      </c>
    </row>
    <row r="164" spans="1:7" x14ac:dyDescent="0.2">
      <c r="A164" s="22" t="s">
        <v>246</v>
      </c>
      <c r="B164" s="137">
        <f>'DOE25'!F504</f>
        <v>174092.31</v>
      </c>
      <c r="C164" s="137">
        <f>'DOE25'!G504</f>
        <v>0</v>
      </c>
      <c r="D164" s="137">
        <f>'DOE25'!H504</f>
        <v>0</v>
      </c>
      <c r="E164" s="137">
        <f>'DOE25'!I504</f>
        <v>0</v>
      </c>
      <c r="F164" s="137">
        <f>'DOE25'!J504</f>
        <v>0</v>
      </c>
      <c r="G164" s="138">
        <f t="shared" si="0"/>
        <v>174092.31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TAMWORTH SCHOOL DISTRICT</v>
      </c>
    </row>
    <row r="3" spans="1:4" x14ac:dyDescent="0.2">
      <c r="B3" s="188" t="s">
        <v>1666</v>
      </c>
    </row>
    <row r="4" spans="1:4" x14ac:dyDescent="0.2">
      <c r="B4" t="s">
        <v>61</v>
      </c>
      <c r="C4" s="179">
        <f>IF('DOE25'!F666+'DOE25'!F671=0,0,ROUND('DOE25'!F673,0))</f>
        <v>27354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27354</v>
      </c>
    </row>
    <row r="9" spans="1:4" x14ac:dyDescent="0.2">
      <c r="A9" s="187" t="s">
        <v>94</v>
      </c>
      <c r="B9" s="188" t="s">
        <v>1671</v>
      </c>
      <c r="C9" s="181" t="s">
        <v>720</v>
      </c>
      <c r="D9" s="181" t="s">
        <v>721</v>
      </c>
    </row>
    <row r="10" spans="1:4" x14ac:dyDescent="0.2">
      <c r="A10">
        <v>1100</v>
      </c>
      <c r="B10" t="s">
        <v>702</v>
      </c>
      <c r="C10" s="179">
        <f>ROUND('DOE25'!L198+'DOE25'!L216+'DOE25'!L234+'DOE25'!L277+'DOE25'!L296+'DOE25'!L315,0)</f>
        <v>3855195</v>
      </c>
      <c r="D10" s="182">
        <f>ROUND((C10/$C$28)*100,1)</f>
        <v>55</v>
      </c>
    </row>
    <row r="11" spans="1:4" x14ac:dyDescent="0.2">
      <c r="A11">
        <v>1200</v>
      </c>
      <c r="B11" t="s">
        <v>703</v>
      </c>
      <c r="C11" s="179">
        <f>ROUND('DOE25'!L199+'DOE25'!L217+'DOE25'!L235+'DOE25'!L278+'DOE25'!L297+'DOE25'!L316,0)</f>
        <v>937888</v>
      </c>
      <c r="D11" s="182">
        <f>ROUND((C11/$C$28)*100,1)</f>
        <v>13.4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4156</v>
      </c>
      <c r="D13" s="182">
        <f>ROUND((C13/$C$28)*100,1)</f>
        <v>0.1</v>
      </c>
    </row>
    <row r="14" spans="1:4" x14ac:dyDescent="0.2">
      <c r="D14" s="182"/>
    </row>
    <row r="15" spans="1:4" x14ac:dyDescent="0.2">
      <c r="A15">
        <v>2100</v>
      </c>
      <c r="B15" t="s">
        <v>706</v>
      </c>
      <c r="C15" s="179">
        <f>ROUND('DOE25'!L203+'DOE25'!L221+'DOE25'!L239+'DOE25'!L282+'DOE25'!L301+'DOE25'!L320,0)</f>
        <v>462637</v>
      </c>
      <c r="D15" s="182">
        <f t="shared" ref="D15:D27" si="0">ROUND((C15/$C$28)*100,1)</f>
        <v>6.6</v>
      </c>
    </row>
    <row r="16" spans="1:4" x14ac:dyDescent="0.2">
      <c r="A16">
        <v>2200</v>
      </c>
      <c r="B16" t="s">
        <v>707</v>
      </c>
      <c r="C16" s="179">
        <f>ROUND('DOE25'!L204+'DOE25'!L222+'DOE25'!L240+'DOE25'!L283+'DOE25'!L302+'DOE25'!L321,0)</f>
        <v>172439</v>
      </c>
      <c r="D16" s="182">
        <f t="shared" si="0"/>
        <v>2.5</v>
      </c>
    </row>
    <row r="17" spans="1:4" x14ac:dyDescent="0.2">
      <c r="A17" s="183" t="s">
        <v>723</v>
      </c>
      <c r="B17" t="s">
        <v>738</v>
      </c>
      <c r="C17" s="179">
        <f>ROUND('DOE25'!L205+'DOE25'!L210+'DOE25'!L223+'DOE25'!L228+'DOE25'!L241+'DOE25'!L246+'DOE25'!L284+'DOE25'!L289+'DOE25'!L303+'DOE25'!L308+'DOE25'!L322+'DOE25'!L327,0)</f>
        <v>300932</v>
      </c>
      <c r="D17" s="182">
        <f t="shared" si="0"/>
        <v>4.3</v>
      </c>
    </row>
    <row r="18" spans="1:4" x14ac:dyDescent="0.2">
      <c r="A18">
        <v>2400</v>
      </c>
      <c r="B18" t="s">
        <v>711</v>
      </c>
      <c r="C18" s="179">
        <f>ROUND('DOE25'!L206+'DOE25'!L224+'DOE25'!L242+'DOE25'!L285+'DOE25'!L304+'DOE25'!L323,0)</f>
        <v>245761</v>
      </c>
      <c r="D18" s="182">
        <f t="shared" si="0"/>
        <v>3.5</v>
      </c>
    </row>
    <row r="19" spans="1:4" x14ac:dyDescent="0.2">
      <c r="A19">
        <v>2500</v>
      </c>
      <c r="B19" t="s">
        <v>708</v>
      </c>
      <c r="C19" s="179">
        <f>ROUND('DOE25'!L207+'DOE25'!L225+'DOE25'!L243+'DOE25'!L286+'DOE25'!L305+'DOE25'!L324,0)</f>
        <v>5180</v>
      </c>
      <c r="D19" s="182">
        <f t="shared" si="0"/>
        <v>0.1</v>
      </c>
    </row>
    <row r="20" spans="1:4" x14ac:dyDescent="0.2">
      <c r="A20">
        <v>2600</v>
      </c>
      <c r="B20" t="s">
        <v>709</v>
      </c>
      <c r="C20" s="179">
        <f>ROUND('DOE25'!L208+'DOE25'!L226+'DOE25'!L244+'DOE25'!L287+'DOE25'!L306+'DOE25'!L325,0)</f>
        <v>520878</v>
      </c>
      <c r="D20" s="182">
        <f t="shared" si="0"/>
        <v>7.4</v>
      </c>
    </row>
    <row r="21" spans="1:4" x14ac:dyDescent="0.2">
      <c r="A21">
        <v>2700</v>
      </c>
      <c r="B21" t="s">
        <v>710</v>
      </c>
      <c r="C21" s="179">
        <f>ROUND('DOE25'!L209+'DOE25'!L227+'DOE25'!L245+'DOE25'!L288+'DOE25'!L307+'DOE25'!L326,0)</f>
        <v>346576</v>
      </c>
      <c r="D21" s="182">
        <f t="shared" si="0"/>
        <v>4.9000000000000004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17998</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139982.39999999999</v>
      </c>
      <c r="D27" s="182">
        <f t="shared" si="0"/>
        <v>2</v>
      </c>
    </row>
    <row r="28" spans="1:4" x14ac:dyDescent="0.2">
      <c r="B28" s="187" t="s">
        <v>719</v>
      </c>
      <c r="C28" s="180">
        <f>SUM(C10:C27)</f>
        <v>7009622.4000000004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7009622.4000000004</v>
      </c>
    </row>
    <row r="31" spans="1:4" x14ac:dyDescent="0.2">
      <c r="B31" s="33"/>
      <c r="C31" s="180"/>
    </row>
    <row r="32" spans="1:4" x14ac:dyDescent="0.2">
      <c r="A32">
        <v>5100</v>
      </c>
      <c r="B32" s="33" t="s">
        <v>726</v>
      </c>
      <c r="C32" s="180">
        <f>ROUND('DOE25'!L261+'DOE25'!L342,0)</f>
        <v>164103</v>
      </c>
    </row>
    <row r="34" spans="1:4" x14ac:dyDescent="0.2">
      <c r="A34" s="187" t="s">
        <v>94</v>
      </c>
      <c r="B34" s="188" t="s">
        <v>1667</v>
      </c>
      <c r="C34" s="181" t="s">
        <v>720</v>
      </c>
      <c r="D34" s="181" t="s">
        <v>721</v>
      </c>
    </row>
    <row r="35" spans="1:4" x14ac:dyDescent="0.2">
      <c r="A35">
        <v>1100</v>
      </c>
      <c r="B35" s="185" t="s">
        <v>727</v>
      </c>
      <c r="C35" s="179">
        <f>ROUND('DOE25'!F60+'DOE25'!G60+'DOE25'!H60+'DOE25'!I60+'DOE25'!J60,0)</f>
        <v>5420635</v>
      </c>
      <c r="D35" s="182">
        <f t="shared" ref="D35:D40" si="1">ROUND((C35/$C$41)*100,1)</f>
        <v>72.099999999999994</v>
      </c>
    </row>
    <row r="36" spans="1:4" x14ac:dyDescent="0.2">
      <c r="B36" s="185" t="s">
        <v>739</v>
      </c>
      <c r="C36" s="179">
        <f>SUM('DOE25'!F112:J112)-SUM('DOE25'!G97:G110)+('DOE25'!F175+'DOE25'!F176+'DOE25'!I175+'DOE25'!I176)-C35</f>
        <v>8101.6500000003725</v>
      </c>
      <c r="D36" s="182">
        <f t="shared" si="1"/>
        <v>0.1</v>
      </c>
    </row>
    <row r="37" spans="1:4" x14ac:dyDescent="0.2">
      <c r="A37" s="183" t="s">
        <v>835</v>
      </c>
      <c r="B37" s="185" t="s">
        <v>728</v>
      </c>
      <c r="C37" s="179">
        <f>ROUND('DOE25'!F117+'DOE25'!F118,0)</f>
        <v>1639287</v>
      </c>
      <c r="D37" s="182">
        <f t="shared" si="1"/>
        <v>21.8</v>
      </c>
    </row>
    <row r="38" spans="1:4" x14ac:dyDescent="0.2">
      <c r="A38" s="183" t="s">
        <v>734</v>
      </c>
      <c r="B38" s="185" t="s">
        <v>729</v>
      </c>
      <c r="C38" s="179">
        <f>ROUND(SUM('DOE25'!F140:J140)-SUM('DOE25'!F117:F119),0)</f>
        <v>49397</v>
      </c>
      <c r="D38" s="182">
        <f t="shared" si="1"/>
        <v>0.7</v>
      </c>
    </row>
    <row r="39" spans="1:4" x14ac:dyDescent="0.2">
      <c r="A39">
        <v>4000</v>
      </c>
      <c r="B39" s="185" t="s">
        <v>730</v>
      </c>
      <c r="C39" s="179">
        <f>ROUND('DOE25'!F170+'DOE25'!G170+'DOE25'!H170+'DOE25'!I170,0)</f>
        <v>398112</v>
      </c>
      <c r="D39" s="182">
        <f t="shared" si="1"/>
        <v>5.3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7515532.6500000004</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8" sqref="C18:M18"/>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TAMWORTH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v>11</v>
      </c>
      <c r="B9" s="219">
        <v>6</v>
      </c>
      <c r="C9" s="375" t="s">
        <v>1676</v>
      </c>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v>11</v>
      </c>
      <c r="B10" s="219">
        <v>12</v>
      </c>
      <c r="C10" s="375" t="s">
        <v>1673</v>
      </c>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v>23</v>
      </c>
      <c r="B13" s="219">
        <v>4</v>
      </c>
      <c r="C13" s="375" t="s">
        <v>1678</v>
      </c>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2021-08-23T14:16:46Z</cp:lastPrinted>
  <dcterms:created xsi:type="dcterms:W3CDTF">1997-12-04T19:04:30Z</dcterms:created>
  <dcterms:modified xsi:type="dcterms:W3CDTF">2022-01-04T16:50:25Z</dcterms:modified>
</cp:coreProperties>
</file>