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210" yWindow="255" windowWidth="16350" windowHeight="6390" tabRatio="866"/>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69" i="1" l="1"/>
  <c r="F13" i="1"/>
  <c r="F14" i="1"/>
  <c r="E22" i="17"/>
  <c r="E30" i="17"/>
  <c r="H155" i="1"/>
  <c r="F57" i="1" l="1"/>
  <c r="D9" i="13" l="1"/>
  <c r="B19" i="12"/>
  <c r="C10" i="12"/>
  <c r="B10" i="12"/>
  <c r="H605" i="1" l="1"/>
  <c r="F473" i="1"/>
  <c r="H24" i="1" l="1"/>
  <c r="G158" i="1"/>
  <c r="G132" i="1"/>
  <c r="G97" i="1"/>
  <c r="J469" i="1" l="1"/>
  <c r="H440" i="1"/>
  <c r="G440" i="1"/>
  <c r="F440" i="1"/>
  <c r="G48" i="1"/>
  <c r="G13" i="1"/>
  <c r="G522" i="1" l="1"/>
  <c r="H522" i="1"/>
  <c r="I522" i="1"/>
  <c r="J522" i="1"/>
  <c r="K522" i="1"/>
  <c r="F522" i="1"/>
  <c r="G503" i="1"/>
  <c r="G502" i="1"/>
  <c r="F499" i="1" l="1"/>
  <c r="H499" i="1"/>
  <c r="I499" i="1"/>
  <c r="G499" i="1"/>
  <c r="I503" i="1"/>
  <c r="H503" i="1"/>
  <c r="H205" i="1" l="1"/>
  <c r="F25" i="1"/>
  <c r="F24" i="1"/>
  <c r="F22" i="1"/>
  <c r="F9"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C112" i="2" s="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E111" i="2" s="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I121" i="1"/>
  <c r="I136" i="1"/>
  <c r="J121" i="1"/>
  <c r="J136" i="1"/>
  <c r="J140" i="1" s="1"/>
  <c r="F147" i="1"/>
  <c r="F170" i="1" s="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C119" i="2"/>
  <c r="E120" i="2"/>
  <c r="E124" i="2"/>
  <c r="C125" i="2"/>
  <c r="E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G62" i="2"/>
  <c r="I170" i="1"/>
  <c r="J652" i="1" l="1"/>
  <c r="G409" i="1"/>
  <c r="H646" i="1" s="1"/>
  <c r="D15" i="13"/>
  <c r="C15" i="13" s="1"/>
  <c r="H663" i="1"/>
  <c r="C110" i="2"/>
  <c r="C120" i="2"/>
  <c r="C13" i="10"/>
  <c r="H409" i="1"/>
  <c r="H645" i="1" s="1"/>
  <c r="J645" i="1" s="1"/>
  <c r="G662" i="1"/>
  <c r="D50" i="2"/>
  <c r="G553" i="1"/>
  <c r="E123" i="2"/>
  <c r="J572" i="1"/>
  <c r="J258" i="1"/>
  <c r="J272" i="1" s="1"/>
  <c r="H140" i="1"/>
  <c r="A40" i="12"/>
  <c r="E119" i="2"/>
  <c r="D6" i="13"/>
  <c r="C6" i="13" s="1"/>
  <c r="E13" i="13"/>
  <c r="C13" i="13" s="1"/>
  <c r="E110" i="2"/>
  <c r="K339" i="1"/>
  <c r="K353" i="1" s="1"/>
  <c r="G339" i="1"/>
  <c r="G353" i="1" s="1"/>
  <c r="H477" i="1"/>
  <c r="H625" i="1" s="1"/>
  <c r="J625" i="1" s="1"/>
  <c r="E131" i="2"/>
  <c r="F258" i="1"/>
  <c r="F272" i="1" s="1"/>
  <c r="C20" i="10"/>
  <c r="I370" i="1"/>
  <c r="H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51" i="2" l="1"/>
  <c r="D51" i="2"/>
  <c r="C141" i="2"/>
  <c r="E128" i="2"/>
  <c r="F661" i="1"/>
  <c r="F665" i="1" s="1"/>
  <c r="F668" i="1" s="1"/>
  <c r="F194" i="1"/>
  <c r="G628" i="1" s="1"/>
  <c r="J628" i="1" s="1"/>
  <c r="G24" i="14"/>
  <c r="H24" i="14" s="1"/>
  <c r="I24" i="14" s="1"/>
  <c r="H661" i="1"/>
  <c r="H665" i="1" s="1"/>
  <c r="H668" i="1" s="1"/>
  <c r="H194" i="1"/>
  <c r="G630" i="1" s="1"/>
  <c r="J630" i="1" s="1"/>
  <c r="C81" i="2"/>
  <c r="H649" i="1"/>
  <c r="J649" i="1" s="1"/>
  <c r="F51" i="2"/>
  <c r="H36" i="14"/>
  <c r="I36" i="14" s="1"/>
  <c r="G36" i="14"/>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<sst xmlns="http://schemas.openxmlformats.org/spreadsheetml/2006/main" count="5577" uniqueCount="1677">
  <si>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</si>
  <si>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</si>
  <si>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</si>
  <si>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</si>
  <si>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</si>
  <si>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</si>
  <si>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</si>
  <si>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</si>
  <si>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</si>
  <si>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</si>
  <si>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</si>
  <si>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</si>
  <si>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</si>
  <si>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</si>
  <si>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</si>
  <si>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</si>
  <si>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</si>
  <si>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</si>
  <si>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</si>
  <si>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</si>
  <si>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</si>
  <si>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</si>
  <si>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</si>
  <si>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</si>
  <si>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</si>
  <si>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</si>
  <si>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</si>
  <si>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</si>
  <si>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</si>
  <si>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</si>
  <si>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</si>
  <si>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</si>
  <si>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</si>
  <si>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</si>
  <si>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</si>
  <si>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</si>
  <si>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</si>
  <si>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</si>
  <si>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</si>
  <si>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</si>
  <si>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</si>
  <si>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</si>
  <si>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</si>
  <si>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</si>
  <si>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</si>
  <si>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</si>
  <si>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</si>
  <si>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</si>
  <si>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</si>
  <si>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</si>
  <si>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</si>
  <si>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</si>
  <si>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</si>
  <si>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</si>
  <si>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</si>
  <si>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</si>
  <si>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</si>
  <si>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</si>
  <si>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</si>
  <si>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</si>
  <si>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</si>
  <si>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</si>
  <si>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</si>
  <si>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</si>
  <si>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</si>
  <si>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</si>
  <si>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</si>
  <si>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</si>
  <si>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</si>
  <si>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</si>
  <si>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</si>
  <si>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</si>
  <si>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</si>
  <si>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</si>
  <si>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</si>
  <si>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</si>
  <si>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</si>
  <si>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</si>
  <si>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</si>
  <si>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</si>
  <si>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</si>
  <si>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</si>
  <si>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</si>
  <si>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</si>
  <si>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</si>
  <si>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</si>
  <si>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</si>
  <si>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</si>
  <si>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</si>
  <si>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</si>
  <si>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</si>
  <si>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</si>
  <si>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</si>
  <si>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</si>
  <si>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</si>
  <si>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</si>
  <si>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</si>
  <si>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</si>
  <si>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</si>
  <si>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</si>
  <si>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</si>
  <si>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</si>
  <si>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</si>
  <si>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</si>
  <si>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</si>
  <si>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</si>
  <si>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</si>
  <si>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</si>
  <si>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</si>
  <si>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</si>
  <si>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</si>
  <si>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</si>
  <si>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</si>
  <si>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</si>
  <si>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</si>
  <si>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</si>
  <si>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</si>
  <si>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</si>
  <si>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</si>
  <si>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</si>
  <si>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</si>
  <si>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</si>
  <si>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</si>
  <si>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</si>
  <si>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</si>
  <si>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</si>
  <si>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</si>
  <si>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</si>
  <si>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</si>
  <si>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</si>
  <si>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</si>
  <si>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</si>
  <si>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</si>
  <si>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</si>
  <si>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</si>
  <si>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</si>
  <si>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</si>
  <si>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</si>
  <si>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</si>
  <si>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</si>
  <si>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</si>
  <si>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</si>
  <si>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</si>
  <si>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</si>
  <si>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</si>
  <si>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</si>
  <si>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</si>
  <si>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</si>
  <si>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</si>
  <si>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</si>
  <si>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</si>
  <si>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</si>
  <si>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</si>
  <si>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</si>
  <si>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</si>
  <si>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</si>
  <si>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</si>
  <si>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</si>
  <si>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</si>
  <si>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</si>
  <si>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</si>
  <si>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</si>
  <si>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</si>
  <si>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</si>
  <si>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</si>
  <si>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</si>
  <si>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</si>
  <si>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</si>
  <si>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</si>
  <si>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</si>
  <si>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</si>
  <si>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</si>
  <si>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</si>
  <si>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</si>
  <si>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</si>
  <si>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</si>
  <si>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</si>
  <si>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</si>
  <si>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</si>
  <si>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</si>
  <si>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</si>
  <si>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</si>
  <si>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</si>
  <si>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</si>
  <si>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</si>
  <si>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</si>
  <si>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</si>
  <si>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</si>
  <si>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</si>
  <si>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</si>
  <si>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</si>
  <si>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</si>
  <si>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</si>
  <si>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</si>
  <si>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</si>
  <si>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</si>
  <si>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</si>
  <si>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</si>
  <si>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</si>
  <si>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</si>
  <si>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</si>
  <si>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</si>
  <si>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</si>
  <si>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</si>
  <si>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</si>
  <si>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</si>
  <si>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</si>
  <si>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</si>
  <si>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</si>
  <si>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</si>
  <si>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</si>
  <si>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</si>
  <si>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</si>
  <si>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</si>
  <si>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</si>
  <si>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</si>
  <si>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</si>
  <si>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</si>
  <si>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</si>
  <si>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</si>
  <si>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</si>
  <si>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</si>
  <si>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</si>
  <si>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</si>
  <si>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</si>
  <si>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</si>
  <si>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</si>
  <si>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</si>
  <si>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</si>
  <si>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</si>
  <si>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</si>
  <si>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</si>
  <si>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</si>
  <si>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</si>
  <si>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</si>
  <si>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</si>
  <si>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</si>
  <si>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</si>
  <si>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</si>
  <si>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</si>
  <si>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</si>
  <si>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</si>
  <si>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</si>
  <si>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</si>
  <si>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</si>
  <si>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</si>
  <si>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</si>
  <si>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</si>
  <si>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</si>
  <si>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</si>
  <si>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</si>
  <si>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</si>
  <si>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</si>
  <si>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</si>
  <si>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</si>
  <si>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</si>
  <si>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</si>
  <si>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</si>
  <si>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</si>
  <si>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</si>
  <si>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</si>
  <si>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</si>
  <si>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</si>
  <si>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</si>
  <si>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</si>
  <si>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</si>
  <si>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</si>
  <si>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</si>
  <si>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</si>
  <si>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</si>
  <si>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</si>
  <si>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</si>
  <si>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</si>
  <si>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</si>
  <si>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</si>
  <si>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</si>
  <si>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</si>
  <si>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</si>
  <si>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</si>
  <si>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</si>
  <si>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</si>
  <si>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</si>
  <si>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</si>
  <si>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</si>
  <si>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</si>
  <si>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</si>
  <si>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</si>
  <si>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</si>
  <si>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</si>
  <si>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</si>
  <si>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</si>
  <si>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</si>
  <si>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</si>
  <si>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</si>
  <si>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</si>
  <si>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</si>
  <si>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</si>
  <si>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</si>
  <si>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</si>
  <si>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</si>
  <si>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</si>
  <si>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</si>
  <si>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</si>
  <si>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</si>
  <si>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</si>
  <si>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</si>
  <si>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</si>
  <si>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</si>
  <si>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</si>
  <si>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</si>
  <si>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</si>
  <si>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</si>
  <si>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</si>
  <si>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</si>
  <si>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</si>
  <si>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</si>
  <si>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</si>
  <si>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</si>
  <si>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</si>
  <si>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</si>
  <si>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</si>
  <si>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</si>
  <si>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</si>
  <si>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</si>
  <si>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</si>
  <si>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</si>
  <si>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</si>
  <si>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</si>
  <si>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</si>
  <si>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</si>
  <si>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</si>
  <si>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</si>
  <si>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</si>
  <si>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</si>
  <si>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</si>
  <si>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</si>
  <si>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</si>
  <si>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</si>
  <si>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</si>
  <si>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</si>
  <si>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</si>
  <si>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</si>
  <si>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</si>
  <si>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</si>
  <si>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</si>
  <si>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</si>
  <si>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</si>
  <si>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</si>
  <si>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</si>
  <si>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</si>
  <si>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</si>
  <si>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</si>
  <si>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</si>
  <si>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</si>
  <si>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</si>
  <si>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</si>
  <si>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</si>
  <si>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</si>
  <si>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</si>
  <si>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</si>
  <si>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</si>
  <si>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</si>
  <si>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</si>
  <si>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</si>
  <si>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</si>
  <si>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</si>
  <si>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</si>
  <si>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</si>
  <si>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</si>
  <si>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</si>
  <si>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</si>
  <si>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</si>
  <si>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</si>
  <si>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</si>
  <si>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</si>
  <si>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</si>
  <si>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</si>
  <si>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</si>
  <si>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</si>
  <si>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</si>
  <si>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</si>
  <si>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</si>
  <si>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</si>
  <si>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</si>
  <si>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</si>
  <si>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</si>
  <si>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</si>
  <si>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</si>
  <si>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</si>
  <si>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</si>
  <si>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</si>
  <si>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</si>
  <si>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</si>
  <si>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</si>
  <si>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</si>
  <si>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</si>
  <si>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</si>
  <si>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</si>
  <si>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</si>
  <si>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</si>
  <si>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</si>
  <si>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</si>
  <si>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</si>
  <si>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</si>
  <si>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</si>
  <si>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</si>
  <si>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</si>
  <si>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</si>
  <si>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</si>
  <si>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</si>
  <si>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</si>
  <si>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</si>
  <si>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</si>
  <si>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</si>
  <si>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</si>
  <si>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</si>
  <si>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</si>
  <si>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</si>
  <si>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</si>
  <si>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</si>
  <si>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</si>
  <si>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</si>
  <si>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</si>
  <si>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</si>
  <si>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</si>
  <si>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</si>
  <si>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</si>
  <si>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</si>
  <si>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</si>
  <si>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</si>
  <si>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</si>
  <si>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</si>
  <si>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</si>
  <si>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</si>
  <si>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</si>
  <si>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</si>
  <si>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</si>
  <si>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</si>
  <si>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</si>
  <si>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</si>
  <si>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</si>
  <si>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</si>
  <si>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</si>
  <si>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</si>
  <si>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</si>
  <si>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</si>
  <si>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</si>
  <si>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</si>
  <si>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</si>
  <si>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</si>
  <si>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</si>
  <si>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</si>
  <si>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</si>
  <si>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</si>
  <si>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</si>
  <si>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</si>
  <si>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</si>
  <si>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</si>
  <si>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</si>
  <si>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</si>
  <si>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</si>
  <si>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</si>
  <si>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</si>
  <si>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</si>
  <si>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</si>
  <si>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</si>
  <si>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</si>
  <si>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</si>
  <si>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</si>
  <si>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</si>
  <si>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</si>
  <si>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</si>
  <si>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</si>
  <si>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</si>
  <si>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</si>
  <si>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</si>
  <si>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</si>
  <si>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</si>
  <si>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</si>
  <si>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</si>
  <si>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</si>
  <si>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</si>
  <si>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</si>
  <si>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</si>
  <si>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</si>
  <si>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</si>
  <si>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</si>
  <si>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</si>
  <si>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</si>
  <si>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</si>
  <si>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</si>
  <si>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</si>
  <si>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</si>
  <si>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</si>
  <si>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</si>
  <si>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</si>
  <si>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</si>
  <si>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</si>
  <si>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</si>
  <si>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</si>
  <si>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</si>
  <si>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</si>
  <si>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</si>
  <si>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</si>
  <si>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</si>
  <si>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</si>
  <si>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</si>
  <si>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</si>
  <si>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</si>
  <si>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</si>
  <si>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</si>
  <si>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</si>
  <si>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</si>
  <si>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</si>
  <si>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</si>
  <si>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</si>
  <si>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</si>
  <si>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</si>
  <si>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</si>
  <si>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</si>
  <si>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</si>
  <si>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</si>
  <si>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</si>
  <si>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</si>
  <si>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</si>
  <si>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</si>
  <si>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</si>
  <si>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</si>
  <si>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</si>
  <si>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</si>
  <si>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</si>
  <si>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</si>
  <si>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</si>
  <si>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</si>
  <si>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</si>
  <si>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</si>
  <si>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</si>
  <si>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</si>
  <si>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</si>
  <si>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</si>
  <si>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</si>
  <si>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</si>
  <si>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</si>
  <si>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</si>
  <si>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</si>
  <si>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</si>
  <si>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</si>
  <si>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</si>
  <si>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</si>
  <si>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</si>
  <si>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</si>
  <si>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</si>
  <si>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</si>
  <si>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</si>
  <si>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</si>
  <si>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</si>
  <si>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</si>
  <si>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</si>
  <si>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</si>
  <si>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</si>
  <si>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</si>
  <si>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</si>
  <si>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</si>
  <si>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</si>
  <si>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</si>
  <si>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</si>
  <si>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</si>
  <si>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</si>
  <si>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</si>
  <si>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</si>
  <si>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</si>
  <si>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</si>
  <si>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</si>
  <si>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</si>
  <si>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</si>
  <si>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</si>
  <si>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</si>
  <si>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</si>
  <si>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</si>
  <si>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</si>
  <si>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</si>
  <si>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</si>
  <si>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</si>
  <si>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</si>
  <si>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</si>
  <si>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</si>
  <si>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</si>
  <si>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</si>
  <si>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</si>
  <si>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</si>
  <si>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</si>
  <si>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</si>
  <si>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</si>
  <si>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</si>
  <si>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</si>
  <si>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</si>
  <si>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</si>
  <si>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</si>
  <si>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</si>
  <si>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</si>
  <si>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</si>
  <si>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</si>
  <si>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</si>
  <si>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</si>
  <si>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</si>
  <si>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</si>
  <si>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</si>
  <si>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</si>
  <si>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</si>
  <si>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</si>
  <si>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</si>
  <si>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</si>
  <si>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</si>
  <si>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</si>
  <si>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</si>
  <si>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</si>
  <si>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</si>
  <si>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</si>
  <si>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</si>
  <si>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</si>
  <si>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</si>
  <si>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</si>
  <si>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</si>
  <si>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</si>
  <si>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</si>
  <si>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</si>
  <si>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</si>
  <si>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</si>
  <si>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</si>
  <si>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</si>
  <si>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</si>
  <si>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</si>
  <si>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</si>
  <si>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</si>
  <si>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</si>
  <si>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</si>
  <si>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</si>
  <si>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</si>
  <si>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</si>
  <si>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</si>
  <si>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</si>
  <si>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</si>
  <si>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</si>
  <si>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</si>
  <si>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</si>
  <si>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</si>
  <si>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</si>
  <si>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</si>
  <si>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</si>
  <si>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</si>
  <si>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</si>
  <si>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</si>
  <si>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</si>
  <si>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</si>
  <si>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</si>
  <si>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</si>
  <si>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</si>
  <si>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</si>
  <si>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</si>
  <si>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</si>
  <si>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</si>
  <si>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</si>
  <si>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</si>
  <si>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</si>
  <si>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</si>
  <si>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</si>
  <si>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</si>
  <si>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</si>
  <si>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</si>
  <si>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</si>
  <si>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</si>
  <si>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</si>
  <si>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</si>
  <si>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</si>
  <si>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</si>
  <si>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</si>
  <si>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</si>
  <si>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</si>
  <si>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</si>
  <si>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</si>
  <si>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</si>
  <si>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</si>
  <si>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</si>
  <si>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</si>
  <si>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</si>
  <si>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</si>
  <si>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</si>
  <si>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</si>
  <si>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</si>
  <si>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</si>
  <si>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</si>
  <si>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</si>
  <si>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</si>
  <si>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</si>
  <si>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</si>
  <si>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</si>
  <si>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</si>
  <si>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</si>
  <si>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</si>
  <si>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</si>
  <si>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</si>
  <si>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</si>
  <si>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</si>
  <si>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</si>
  <si>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</si>
  <si>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</si>
  <si>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</si>
  <si>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</si>
  <si>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</si>
  <si>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</si>
  <si>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</si>
  <si>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</si>
  <si>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</si>
  <si>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</si>
  <si>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</si>
  <si>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</si>
  <si>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</si>
  <si>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</si>
  <si>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</si>
  <si>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</si>
  <si>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</si>
  <si>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</si>
  <si>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</si>
  <si>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</si>
  <si>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</si>
  <si>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</si>
  <si>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</si>
  <si>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</si>
  <si>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</si>
  <si>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</si>
  <si>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</si>
  <si>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</si>
  <si>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</si>
  <si>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</si>
  <si>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</si>
  <si>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</si>
  <si>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</si>
  <si>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</si>
  <si>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</si>
  <si>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</si>
  <si>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</si>
  <si>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</si>
  <si>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</si>
  <si>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</si>
  <si>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</si>
  <si>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</si>
  <si>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</si>
  <si>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</si>
  <si>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</si>
  <si>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</si>
  <si>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</si>
  <si>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</si>
  <si>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</si>
  <si>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</si>
  <si>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</si>
  <si>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</si>
  <si>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</si>
  <si>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</si>
  <si>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</si>
  <si>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</si>
  <si>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</si>
  <si>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</si>
  <si>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</si>
  <si>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</si>
  <si>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</si>
  <si>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</si>
  <si>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</si>
  <si>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</si>
  <si>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</si>
  <si>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</si>
  <si>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</si>
  <si>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</si>
  <si>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</si>
  <si>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</si>
  <si>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</si>
  <si>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</si>
  <si>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</si>
  <si>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</si>
  <si>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</si>
  <si>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</si>
  <si>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</si>
  <si>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</si>
  <si>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</si>
  <si>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</si>
  <si>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</si>
  <si>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</si>
  <si>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</si>
  <si>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</si>
  <si>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</si>
  <si>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</si>
  <si>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</si>
  <si>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</si>
  <si>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</si>
  <si>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</si>
  <si>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</si>
  <si>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</si>
  <si>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</si>
  <si>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</si>
  <si>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</si>
  <si>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</si>
  <si>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</si>
  <si>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</si>
  <si>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</si>
  <si>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</si>
  <si>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</si>
  <si>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</si>
  <si>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</si>
  <si>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</si>
  <si>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</si>
  <si>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</si>
  <si>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</si>
  <si>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</si>
  <si>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</si>
  <si>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</si>
  <si>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</si>
  <si>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</si>
  <si>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</si>
  <si>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</si>
  <si>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</si>
  <si>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</si>
  <si>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</si>
  <si>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</si>
  <si>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</si>
  <si>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</si>
  <si>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</si>
  <si>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</si>
  <si>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</si>
  <si>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</si>
  <si>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</si>
  <si>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</si>
  <si>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</si>
  <si>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</si>
  <si>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</si>
  <si>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</si>
  <si>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</si>
  <si>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</si>
  <si>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</si>
  <si>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</si>
  <si>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</si>
  <si>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</si>
  <si>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</si>
  <si>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</si>
  <si>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</si>
  <si>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</si>
  <si>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</si>
  <si>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</si>
  <si>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</si>
  <si>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</si>
  <si>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</si>
  <si>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</si>
  <si>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</si>
  <si>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</si>
  <si>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</si>
  <si>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</si>
  <si>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</si>
  <si>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</si>
  <si>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</si>
  <si>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</si>
  <si>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</si>
  <si>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</si>
  <si>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</si>
  <si>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</si>
  <si>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</si>
  <si>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</si>
  <si>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</si>
  <si>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</si>
  <si>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</si>
  <si>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</si>
  <si>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</si>
  <si>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</si>
  <si>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</si>
  <si>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</si>
  <si>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</si>
  <si>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</si>
  <si>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</si>
  <si>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</si>
  <si>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</si>
  <si>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</si>
  <si>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</si>
  <si>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</si>
  <si>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</si>
  <si>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</si>
  <si>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</si>
  <si>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</si>
  <si>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</si>
  <si>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</si>
  <si>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</si>
  <si>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</si>
  <si>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</si>
  <si>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</si>
  <si>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</si>
  <si>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</si>
  <si>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</si>
  <si>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</si>
  <si>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</si>
  <si>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</si>
  <si>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</si>
  <si>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</si>
  <si>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</si>
  <si>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</si>
  <si>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</si>
  <si>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</si>
  <si>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</si>
  <si>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</si>
  <si>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</si>
  <si>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</si>
  <si>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</si>
  <si>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</si>
  <si>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</si>
  <si>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</si>
  <si>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</si>
  <si>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</si>
  <si>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</si>
  <si>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</si>
  <si>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</si>
  <si>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</si>
  <si>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</si>
  <si>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</si>
  <si>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</si>
  <si>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</si>
  <si>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</si>
  <si>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</si>
  <si>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</si>
  <si>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</si>
  <si>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</si>
  <si>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</si>
  <si>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</si>
  <si>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</si>
  <si>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</si>
  <si>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</si>
  <si>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</si>
  <si>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</si>
  <si>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</si>
  <si>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</si>
  <si>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</si>
  <si>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</si>
  <si>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</si>
  <si>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</si>
  <si>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</si>
  <si>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</si>
  <si>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</si>
  <si>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</si>
  <si>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</si>
  <si>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</si>
  <si>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</si>
  <si>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</si>
  <si>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</si>
  <si>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</si>
  <si>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</si>
  <si>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</si>
  <si>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</si>
  <si>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</si>
  <si>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</si>
  <si>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</si>
  <si>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</si>
  <si>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</si>
  <si>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</si>
  <si>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</si>
  <si>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</si>
  <si>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</si>
  <si>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</si>
  <si>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</si>
  <si>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</si>
  <si>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</si>
  <si>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</si>
  <si>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</si>
  <si>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</si>
  <si>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</si>
  <si>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</si>
  <si>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</si>
  <si>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</si>
  <si>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</si>
  <si>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</si>
  <si>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</si>
  <si>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</si>
  <si>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</si>
  <si>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</si>
  <si>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</si>
  <si>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</si>
  <si>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</si>
  <si>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</si>
  <si>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</si>
  <si>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</si>
  <si>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</si>
  <si>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</si>
  <si>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</si>
  <si>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</si>
  <si>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</si>
  <si>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</si>
  <si>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</si>
  <si>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</si>
  <si>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</si>
  <si>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</si>
  <si>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</si>
  <si>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</si>
  <si>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</si>
  <si>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</si>
  <si>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</si>
  <si>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</si>
  <si>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</si>
  <si>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</si>
  <si>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</si>
  <si>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</si>
  <si>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</si>
  <si>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</si>
  <si>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</si>
  <si>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</si>
  <si>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</si>
  <si>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</si>
  <si>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</si>
  <si>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</si>
  <si>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</si>
  <si>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</si>
  <si>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</si>
  <si>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</si>
  <si>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</si>
  <si>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</si>
  <si>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</si>
  <si>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</si>
  <si>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</si>
  <si>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</si>
  <si>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</si>
  <si>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</si>
  <si>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</si>
  <si>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</si>
  <si>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</si>
  <si>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</si>
  <si>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</si>
  <si>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</si>
  <si>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</si>
  <si>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</si>
  <si>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</si>
  <si>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</si>
  <si>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</si>
  <si>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</si>
  <si>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</si>
  <si>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</si>
  <si>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</si>
  <si>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</si>
  <si>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</si>
  <si>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</si>
  <si>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</si>
  <si>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</si>
  <si>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</si>
  <si>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</si>
  <si>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</si>
  <si>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</si>
  <si>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</si>
  <si>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</si>
  <si>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</si>
  <si>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</si>
  <si>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</si>
  <si>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</si>
  <si>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</si>
  <si>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</si>
  <si>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</si>
  <si>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</si>
  <si>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</si>
  <si>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</si>
  <si>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</si>
  <si>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</si>
  <si>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</si>
  <si>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</si>
  <si>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</si>
  <si>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</si>
  <si>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</si>
  <si>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</si>
  <si>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</si>
  <si>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</si>
  <si>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</si>
  <si>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</si>
  <si>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</si>
  <si>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</si>
  <si>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</si>
  <si>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</si>
  <si>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</si>
  <si>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</si>
  <si>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</si>
  <si>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</si>
  <si>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</si>
  <si>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</si>
  <si>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</si>
  <si>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</si>
  <si>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</si>
  <si>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</si>
  <si>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</si>
  <si>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</si>
  <si>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</si>
  <si>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</si>
  <si>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</si>
  <si>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</si>
  <si>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</si>
  <si>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</si>
  <si>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</si>
  <si>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</si>
  <si>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</si>
  <si>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</si>
  <si>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</si>
  <si>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</si>
  <si>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</si>
  <si>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</si>
  <si>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</si>
  <si>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</si>
  <si>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</si>
  <si>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</si>
  <si>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</si>
  <si>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</si>
  <si>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</si>
  <si>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</si>
  <si>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</si>
  <si>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</si>
  <si>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</si>
  <si>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</si>
  <si>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</si>
  <si>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</si>
  <si>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</si>
  <si>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</si>
  <si>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</si>
  <si>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</si>
  <si>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</si>
  <si>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</si>
  <si>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</si>
  <si>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</si>
  <si>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</si>
  <si>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</si>
  <si>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</si>
  <si>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</si>
  <si>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</si>
  <si>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</si>
  <si>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</si>
  <si>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</si>
  <si>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</si>
  <si>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</si>
  <si>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</si>
  <si>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</si>
  <si>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</si>
  <si>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</si>
  <si>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</si>
  <si>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</si>
  <si>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</si>
  <si>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</si>
  <si>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</si>
  <si>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</si>
  <si>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</si>
  <si>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</si>
  <si>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</si>
  <si>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</si>
  <si>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</si>
  <si>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</si>
  <si>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</si>
  <si>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</si>
  <si>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</si>
  <si>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</si>
  <si>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</si>
  <si>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</si>
  <si>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</si>
  <si>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</si>
  <si>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</si>
  <si>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</si>
  <si>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</si>
  <si>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</si>
  <si>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</si>
  <si>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</si>
  <si>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</si>
  <si>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</si>
  <si>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</si>
  <si>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</si>
  <si>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</si>
  <si>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</si>
  <si>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</si>
  <si>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</si>
  <si>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</si>
  <si>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</si>
  <si>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</si>
  <si>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</si>
  <si>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</si>
  <si>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</si>
  <si>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</si>
  <si>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</si>
  <si>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</si>
  <si>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</si>
  <si>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</si>
  <si>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</si>
  <si>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</si>
  <si>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</si>
  <si>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</si>
  <si>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</si>
  <si>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</si>
  <si>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</si>
  <si>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</si>
  <si>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</si>
  <si>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</si>
  <si>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</si>
  <si>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</si>
  <si>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</si>
  <si>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</si>
  <si>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</si>
  <si>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</si>
  <si>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</si>
  <si>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</si>
  <si>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</si>
  <si>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</si>
  <si>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</si>
  <si>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</si>
  <si>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</si>
  <si>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</si>
  <si>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</si>
  <si>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</si>
  <si>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</si>
  <si>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</si>
  <si>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</si>
  <si>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</si>
  <si>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</si>
  <si>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</si>
  <si>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</si>
  <si>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</si>
  <si>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</si>
  <si>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</si>
  <si>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</si>
  <si>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</si>
  <si>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</si>
  <si>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</si>
  <si>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</si>
  <si>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</si>
  <si>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</si>
  <si>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</si>
  <si>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</si>
  <si>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</si>
  <si>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</si>
  <si>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</si>
  <si>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</si>
  <si>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</si>
  <si>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</si>
  <si>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</si>
  <si>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</si>
  <si>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</si>
  <si>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</si>
  <si>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</si>
  <si>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</si>
  <si>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</si>
  <si>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</si>
  <si>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</si>
  <si>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</si>
  <si>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</si>
  <si>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</si>
  <si>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</si>
  <si>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</si>
  <si>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</si>
  <si>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</si>
  <si>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</si>
  <si>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</si>
  <si>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</si>
  <si>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</si>
  <si>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</si>
  <si>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</si>
  <si>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</si>
  <si>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</si>
  <si>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</si>
  <si>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</si>
  <si>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</si>
  <si>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</si>
  <si>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</si>
  <si>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</si>
  <si>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</si>
  <si>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</si>
  <si>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</si>
  <si>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</si>
  <si>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</si>
  <si>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</si>
  <si>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</si>
  <si>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</si>
  <si>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</si>
  <si>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</si>
  <si>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</si>
  <si>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</si>
  <si>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</si>
  <si>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</si>
  <si>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</si>
  <si>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</si>
  <si>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</si>
  <si>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</si>
  <si>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</si>
  <si>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</si>
  <si>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</si>
  <si>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</si>
  <si>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</si>
  <si>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</si>
  <si>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</si>
  <si>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</si>
  <si>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</si>
  <si>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</si>
  <si>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</si>
  <si>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</si>
  <si>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</si>
  <si>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</si>
  <si>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</si>
  <si>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</si>
  <si>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</si>
  <si>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</si>
  <si>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</si>
  <si>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</si>
  <si>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</si>
  <si>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</si>
  <si>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</si>
  <si>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</si>
  <si>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</si>
  <si>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</si>
  <si>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</si>
  <si>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</si>
  <si>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</si>
  <si>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</si>
  <si>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</si>
  <si>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</si>
  <si>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</si>
  <si>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</si>
  <si>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</si>
  <si>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</si>
  <si>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</si>
  <si>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</si>
  <si>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</si>
  <si>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</si>
  <si>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</si>
  <si>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</si>
  <si>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</si>
  <si>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</si>
  <si>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</si>
  <si>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</si>
  <si>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</si>
  <si>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</si>
  <si>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</si>
  <si>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</si>
  <si>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</si>
  <si>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</si>
  <si>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</si>
  <si>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</si>
  <si>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</si>
  <si>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</si>
  <si>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</si>
  <si>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</si>
  <si>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</si>
  <si>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</si>
  <si>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</si>
  <si>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</si>
  <si>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</si>
  <si>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</si>
  <si>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</si>
  <si>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</si>
  <si>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</si>
  <si>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</si>
  <si>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</si>
  <si>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</si>
  <si>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</si>
  <si>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</si>
  <si>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</si>
  <si>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</si>
  <si>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</si>
  <si>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</si>
  <si>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</si>
  <si>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</si>
  <si>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</si>
  <si>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</si>
  <si>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</si>
  <si>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</si>
  <si>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</si>
  <si>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</si>
  <si>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</si>
  <si>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</si>
  <si>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</si>
  <si>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</si>
  <si>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</si>
  <si>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</si>
  <si>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</si>
  <si>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</si>
  <si>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</si>
  <si>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</si>
  <si>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</si>
  <si>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</si>
  <si>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</si>
  <si>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</si>
  <si>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</si>
  <si>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</si>
  <si>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</si>
  <si>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</si>
  <si>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</si>
  <si>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</si>
  <si>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</si>
  <si>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</si>
  <si>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</si>
  <si>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</si>
  <si>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</si>
  <si>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</si>
  <si>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</si>
  <si>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</si>
  <si>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</si>
  <si>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</si>
  <si>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</si>
  <si>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</si>
  <si>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</si>
  <si>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</si>
  <si>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</si>
  <si>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</si>
  <si>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</si>
  <si>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</si>
  <si>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</si>
  <si>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</si>
  <si>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</si>
  <si>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</si>
  <si>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</si>
  <si>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</si>
  <si>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</si>
  <si>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</si>
  <si>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</si>
  <si>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</si>
  <si>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</si>
  <si>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</si>
  <si>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</si>
  <si>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</si>
  <si>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</si>
  <si>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</si>
  <si>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</si>
  <si>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</si>
  <si>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</si>
  <si>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</si>
  <si>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</si>
  <si>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</si>
  <si>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</si>
  <si>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</si>
  <si>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</si>
  <si>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</si>
  <si>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</si>
  <si>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</si>
  <si>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</si>
  <si>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</si>
  <si>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</si>
  <si>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</si>
  <si>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</si>
  <si>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</si>
  <si>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</si>
  <si>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</si>
  <si>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</si>
  <si>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</si>
  <si>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</si>
  <si>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</si>
  <si>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</si>
  <si>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</si>
  <si>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</si>
  <si>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</si>
  <si>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</si>
  <si>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</si>
  <si>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</si>
  <si>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</si>
  <si>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</si>
  <si>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</si>
  <si>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</si>
  <si>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</si>
  <si>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</si>
  <si>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</si>
  <si>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</si>
  <si>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</si>
  <si>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</si>
  <si>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</si>
  <si>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</si>
  <si>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</si>
  <si>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</si>
  <si>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</si>
  <si>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</si>
  <si>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</si>
  <si>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</si>
  <si>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</si>
  <si>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</si>
  <si>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</si>
  <si>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</si>
  <si>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</si>
  <si>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</si>
  <si>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</si>
  <si>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</si>
  <si>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</si>
  <si>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</si>
  <si>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</si>
  <si>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</si>
  <si>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</si>
  <si>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</si>
  <si>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</si>
  <si>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</si>
  <si>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</si>
  <si>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</si>
  <si>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</si>
  <si>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</si>
  <si>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</si>
  <si>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</si>
  <si>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</si>
  <si>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</si>
  <si>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</si>
  <si>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</si>
  <si>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</si>
  <si>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</si>
  <si>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</si>
  <si>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</si>
  <si>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</si>
  <si>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</si>
  <si>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</si>
  <si>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</si>
  <si>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</si>
  <si>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</si>
  <si>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</si>
  <si>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</si>
  <si>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</si>
  <si>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</si>
  <si>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</si>
  <si>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</si>
  <si>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</si>
  <si>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</si>
  <si>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</si>
  <si>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</si>
  <si>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</si>
  <si>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</si>
  <si>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</si>
  <si>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</si>
  <si>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</si>
  <si>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</si>
  <si>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</si>
  <si>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</si>
  <si>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</si>
  <si>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</si>
  <si>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</si>
  <si>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</si>
  <si>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</si>
  <si>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</si>
  <si>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</si>
  <si>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</si>
  <si>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</si>
  <si>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</si>
  <si>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</si>
  <si>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</si>
  <si>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</si>
  <si>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</si>
  <si>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</si>
  <si>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</si>
  <si>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</si>
  <si>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</si>
  <si>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</si>
  <si>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</si>
  <si>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</si>
  <si>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</si>
  <si>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</si>
  <si>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</si>
  <si>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</si>
  <si>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</si>
  <si>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</si>
  <si>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</si>
  <si>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</si>
  <si>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</si>
  <si>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</si>
  <si>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</si>
  <si>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</si>
  <si>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</si>
  <si>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</si>
  <si>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</si>
  <si>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</si>
  <si>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</si>
  <si>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</si>
  <si>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</si>
  <si>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</si>
  <si>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</si>
  <si>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</si>
  <si>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</si>
  <si>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</si>
  <si>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</si>
  <si>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</si>
  <si>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</si>
  <si>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</si>
  <si>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</si>
  <si>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</si>
  <si>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</si>
  <si>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</si>
  <si>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</si>
  <si>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</si>
  <si>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</si>
  <si>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</si>
  <si>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</si>
  <si>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</si>
  <si>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</si>
  <si>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</si>
  <si>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</si>
  <si>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</si>
  <si>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</si>
  <si>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</si>
  <si>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</si>
  <si>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</si>
  <si>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</si>
  <si>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</si>
  <si>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</si>
  <si>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</si>
  <si>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</si>
  <si>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</si>
  <si>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</si>
  <si>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</si>
  <si>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</si>
  <si>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</si>
  <si>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</si>
  <si>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</si>
  <si>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</si>
  <si>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</si>
  <si>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</si>
  <si>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</si>
  <si>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</si>
  <si>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</si>
  <si>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</si>
  <si>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</si>
  <si>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</si>
  <si>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</si>
  <si>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</si>
  <si>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</si>
  <si>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</si>
  <si>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</si>
  <si>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</si>
  <si>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</si>
  <si>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</si>
  <si>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</si>
  <si>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</si>
  <si>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</si>
  <si>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</si>
  <si>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</si>
  <si>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</si>
  <si>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</si>
  <si>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</si>
  <si>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</si>
  <si>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</si>
  <si>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</si>
  <si>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</si>
  <si>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</si>
  <si>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</si>
  <si>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</si>
  <si>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</si>
  <si>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</si>
  <si>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</si>
  <si>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</si>
  <si>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</si>
  <si>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</si>
  <si>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</si>
  <si>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</si>
  <si>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</si>
  <si>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</si>
  <si>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</si>
  <si>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</si>
  <si>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</si>
  <si>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</si>
  <si>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</si>
  <si>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</si>
  <si>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</si>
  <si>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</si>
  <si>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</si>
  <si>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</si>
  <si>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</si>
  <si>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</si>
  <si>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</si>
  <si>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</si>
  <si>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</si>
  <si>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</si>
  <si>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</si>
  <si>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</si>
  <si>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</si>
  <si>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</si>
  <si>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</si>
  <si>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</si>
  <si>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</si>
  <si>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</si>
  <si>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</si>
  <si>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</si>
  <si>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</si>
  <si>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</si>
  <si>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</si>
  <si>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Unity School District</t>
  </si>
  <si>
    <t>7-12</t>
  </si>
  <si>
    <t>8-32</t>
  </si>
  <si>
    <t>7-13</t>
  </si>
  <si>
    <t>7-33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</si>
</sst>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topLeftCell="A636" zoomScale="110" zoomScaleNormal="110" workbookViewId="0">
      <selection activeCell="F30" sqref="F3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539</v>
      </c>
      <c r="C2" s="21">
        <v>539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39717.45-16.57+122366.82</f>
        <v>162067.70000000001</v>
      </c>
      <c r="G9" s="18"/>
      <c r="H9" s="18"/>
      <c r="I9" s="18">
        <v>53458.37</v>
      </c>
      <c r="J9" s="67">
        <f>SUM(I440)</f>
        <v>137719.66999999998</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3512.81</v>
      </c>
      <c r="G12" s="18">
        <v>-113493.35</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f>187042.16+6.19+14100</f>
        <v>201148.35</v>
      </c>
      <c r="G13" s="18">
        <f>23531.29+11098.06+58027.08</f>
        <v>92656.43</v>
      </c>
      <c r="H13" s="18">
        <v>153890.04</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f>-1568.61+28053.99+14100</f>
        <v>40585.380000000005</v>
      </c>
      <c r="G14" s="18">
        <v>1198.67</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1377.52</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408691.76</v>
      </c>
      <c r="G19" s="41">
        <f>SUM(G9:G18)</f>
        <v>-19638.250000000015</v>
      </c>
      <c r="H19" s="41">
        <f>SUM(H9:H18)</f>
        <v>153890.04</v>
      </c>
      <c r="I19" s="41">
        <f>SUM(I9:I18)</f>
        <v>53458.37</v>
      </c>
      <c r="J19" s="41">
        <f>SUM(J9:J18)</f>
        <v>137719.66999999998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2071.04</f>
        <v>2071.04</v>
      </c>
      <c r="G22" s="18"/>
      <c r="H22" s="18">
        <v>130645.04</v>
      </c>
      <c r="I22" s="18">
        <v>39137.26</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v>4029.22</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97996.28</f>
        <v>97996.28</v>
      </c>
      <c r="G24" s="18"/>
      <c r="H24" s="18">
        <f>-2920+31952.52+1239.23+2535.89+2085.21+152.14+60.08+224.48+182.48+6.07</f>
        <v>35518.100000000006</v>
      </c>
      <c r="I24" s="18">
        <v>1682.25</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f>-29468.18+50466.91+22833.82+3211.79-1161.08-1388.28+2947.37-1827.53+113.76</f>
        <v>45728.580000000009</v>
      </c>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10272.6</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156068.5</v>
      </c>
      <c r="G32" s="41">
        <f>SUM(G22:G31)</f>
        <v>0</v>
      </c>
      <c r="H32" s="41">
        <f>SUM(H22:H31)</f>
        <v>170192.36</v>
      </c>
      <c r="I32" s="41">
        <f>SUM(I22:I31)</f>
        <v>40819.51</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49918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f>-23151.06+3512.81</f>
        <v>-19638.25</v>
      </c>
      <c r="H48" s="18">
        <v>-16302.32</v>
      </c>
      <c r="I48" s="18">
        <v>12638.86</v>
      </c>
      <c r="J48" s="13">
        <f>SUM(I460)</f>
        <v>137719.66999999998</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52705.26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252623.26</v>
      </c>
      <c r="G51" s="41">
        <f>SUM(G35:G50)</f>
        <v>-19638.25</v>
      </c>
      <c r="H51" s="41">
        <f>SUM(H35:H50)</f>
        <v>-16302.32</v>
      </c>
      <c r="I51" s="41">
        <f>SUM(I35:I50)</f>
        <v>12638.86</v>
      </c>
      <c r="J51" s="41">
        <f>SUM(J35:J50)</f>
        <v>137719.66999999998</v>
      </c>
      <c r="K51" s="45" t="s">
        <v>288</v>
      </c>
      <c r="L51" s="45" t="s">
        <v>288</v>
      </c>
      <c r="N51" s="264"/>
    </row>
    <row r="52" spans="1:14" s="3" customFormat="1" ht="12.2" customHeight="1" thickTop="1" x14ac:dyDescent="0.15">
      <c r="A52" s="38" t="s">
        <v>455</v>
      </c>
      <c r="B52" s="39" t="s">
        <v>289</v>
      </c>
      <c r="C52" s="6">
        <v>37</v>
      </c>
      <c r="D52" s="39" t="s">
        <v>653</v>
      </c>
      <c r="E52" s="39"/>
      <c r="F52" s="41">
        <f>F51+F32</f>
        <v>408691.76</v>
      </c>
      <c r="G52" s="41">
        <f>G51+G32</f>
        <v>-19638.25</v>
      </c>
      <c r="H52" s="41">
        <f>H51+H32</f>
        <v>153890.03999999998</v>
      </c>
      <c r="I52" s="41">
        <f>I51+I32</f>
        <v>53458.37</v>
      </c>
      <c r="J52" s="41">
        <f>J51+J32</f>
        <v>137719.66999999998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1733457</f>
        <v>1733457</v>
      </c>
      <c r="G57" s="18">
        <v>0</v>
      </c>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1733457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28200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28200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1101.71</v>
      </c>
      <c r="G96" s="18"/>
      <c r="H96" s="18"/>
      <c r="I96" s="18"/>
      <c r="J96" s="18">
        <v>335.83</v>
      </c>
      <c r="K96" s="24" t="s">
        <v>288</v>
      </c>
      <c r="L96" s="24" t="s">
        <v>288</v>
      </c>
      <c r="M96" s="8"/>
      <c r="N96" s="266"/>
    </row>
    <row r="97" spans="1:14" s="3" customFormat="1" ht="12.2" customHeight="1" x14ac:dyDescent="0.15">
      <c r="A97" s="1" t="s">
        <v>503</v>
      </c>
      <c r="B97" s="2" t="s">
        <v>315</v>
      </c>
      <c r="C97" s="6">
        <v>12</v>
      </c>
      <c r="D97" s="2" t="s">
        <v>430</v>
      </c>
      <c r="E97" s="6">
        <v>1600</v>
      </c>
      <c r="F97" s="24" t="s">
        <v>288</v>
      </c>
      <c r="G97" s="18">
        <f>865.95</f>
        <v>865.95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10745.44</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5291.98</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12892.22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30031.35</v>
      </c>
      <c r="G111" s="41">
        <f>SUM(G96:G110)</f>
        <v>865.95</v>
      </c>
      <c r="H111" s="41">
        <f>SUM(H96:H110)</f>
        <v>0</v>
      </c>
      <c r="I111" s="41">
        <f>SUM(I96:I110)</f>
        <v>0</v>
      </c>
      <c r="J111" s="41">
        <f>SUM(J96:J110)</f>
        <v>335.83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1791688.35</v>
      </c>
      <c r="G112" s="41">
        <f>G60+G111</f>
        <v>865.95</v>
      </c>
      <c r="H112" s="41">
        <f>H60+H79+H94+H111</f>
        <v>0</v>
      </c>
      <c r="I112" s="41">
        <f>I60+I111</f>
        <v>0</v>
      </c>
      <c r="J112" s="41">
        <f>J60+J111</f>
        <v>335.83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828402.54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263248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1091650.54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152006.96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v>1405.62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204.21+601.98</f>
        <v>806.19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153412.57999999999</v>
      </c>
      <c r="G136" s="41">
        <f>SUM(G123:G135)</f>
        <v>806.19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1245063.1200000001</v>
      </c>
      <c r="G140" s="41">
        <f>G121+SUM(G136:G137)</f>
        <v>806.19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33540.629999999997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9960+9930+1245+28543.53</f>
        <v>49678.53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35366.4+15383.82+6470.67</f>
        <v>57220.89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20678.490000000002</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27000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31862.49</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20678.490000000002</v>
      </c>
      <c r="G163" s="41">
        <f>SUM(G150:G162)</f>
        <v>57220.89</v>
      </c>
      <c r="H163" s="41">
        <f>SUM(H150:H162)</f>
        <v>142081.65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20678.490000000002</v>
      </c>
      <c r="G170" s="41">
        <f>G147+G163+SUM(G164:G169)</f>
        <v>57220.89</v>
      </c>
      <c r="H170" s="41">
        <f>H147+H163+SUM(H164:H169)</f>
        <v>142081.65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390.83</v>
      </c>
      <c r="H180" s="18"/>
      <c r="I180" s="18"/>
      <c r="J180" s="18">
        <v>75000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390.83</v>
      </c>
      <c r="H184" s="41">
        <f>SUM(H180:H183)</f>
        <v>0</v>
      </c>
      <c r="I184" s="41">
        <f>SUM(I180:I183)</f>
        <v>0</v>
      </c>
      <c r="J184" s="41">
        <f>SUM(J180:J183)</f>
        <v>75000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390.83</v>
      </c>
      <c r="H193" s="41">
        <f>+H184+SUM(H189:H192)</f>
        <v>0</v>
      </c>
      <c r="I193" s="41">
        <f>I178+I184+SUM(I189:I192)</f>
        <v>0</v>
      </c>
      <c r="J193" s="41">
        <f>J184</f>
        <v>75000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3057429.9600000004</v>
      </c>
      <c r="G194" s="47">
        <f>G112+G140+G170+G193</f>
        <v>59283.86</v>
      </c>
      <c r="H194" s="47">
        <f>H112+H140+H170+H193</f>
        <v>142081.65</v>
      </c>
      <c r="I194" s="47">
        <f>I112+I140+I170+I193</f>
        <v>0</v>
      </c>
      <c r="J194" s="47">
        <f>J112+J140+J193</f>
        <v>75335.83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469032.88</v>
      </c>
      <c r="G198" s="18">
        <v>246767.23</v>
      </c>
      <c r="H198" s="18">
        <v>4334.68</v>
      </c>
      <c r="I198" s="18">
        <v>34276.620000000003</v>
      </c>
      <c r="J198" s="18">
        <v>688.87</v>
      </c>
      <c r="K198" s="18">
        <v>0</v>
      </c>
      <c r="L198" s="19">
        <f>SUM(F198:K198)</f>
        <v>755100.28</v>
      </c>
      <c r="M198" s="8"/>
      <c r="N198" s="266"/>
    </row>
    <row r="199" spans="1:14" s="3" customFormat="1" ht="12.2" customHeight="1" x14ac:dyDescent="0.15">
      <c r="A199" s="1" t="s">
        <v>439</v>
      </c>
      <c r="B199" s="2" t="s">
        <v>341</v>
      </c>
      <c r="C199" s="2" t="s">
        <v>291</v>
      </c>
      <c r="D199" s="2" t="s">
        <v>431</v>
      </c>
      <c r="E199" s="6">
        <v>1200</v>
      </c>
      <c r="F199" s="18">
        <v>169323.93</v>
      </c>
      <c r="G199" s="18">
        <v>69302.25</v>
      </c>
      <c r="H199" s="18">
        <v>29354.63</v>
      </c>
      <c r="I199" s="18">
        <v>0</v>
      </c>
      <c r="J199" s="18">
        <v>0</v>
      </c>
      <c r="K199" s="18">
        <v>0</v>
      </c>
      <c r="L199" s="19">
        <f>SUM(F199:K199)</f>
        <v>267980.81</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1800</v>
      </c>
      <c r="G201" s="18">
        <v>280.20999999999998</v>
      </c>
      <c r="H201" s="18">
        <v>0</v>
      </c>
      <c r="I201" s="18">
        <v>0</v>
      </c>
      <c r="J201" s="18">
        <v>0</v>
      </c>
      <c r="K201" s="18">
        <v>0</v>
      </c>
      <c r="L201" s="19">
        <f>SUM(F201:K201)</f>
        <v>2080.21</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33211.57</v>
      </c>
      <c r="G203" s="18">
        <v>7864.58</v>
      </c>
      <c r="H203" s="18">
        <v>0</v>
      </c>
      <c r="I203" s="18">
        <v>0</v>
      </c>
      <c r="J203" s="18">
        <v>0</v>
      </c>
      <c r="K203" s="18">
        <v>0</v>
      </c>
      <c r="L203" s="19">
        <f t="shared" ref="L203:L209" si="0">SUM(F203:K203)</f>
        <v>41076.15</v>
      </c>
      <c r="M203" s="8"/>
      <c r="N203" s="266"/>
    </row>
    <row r="204" spans="1:14" s="3" customFormat="1" ht="12.2" customHeight="1" x14ac:dyDescent="0.15">
      <c r="A204" s="1" t="s">
        <v>443</v>
      </c>
      <c r="B204" s="2" t="s">
        <v>341</v>
      </c>
      <c r="C204" s="2" t="s">
        <v>295</v>
      </c>
      <c r="D204" s="2" t="s">
        <v>431</v>
      </c>
      <c r="E204" s="6">
        <v>2200</v>
      </c>
      <c r="F204" s="18">
        <v>32168</v>
      </c>
      <c r="G204" s="18">
        <v>10837.93</v>
      </c>
      <c r="H204" s="18">
        <v>34535.919999999998</v>
      </c>
      <c r="I204" s="18">
        <v>1042.5</v>
      </c>
      <c r="J204" s="18">
        <v>14007.14</v>
      </c>
      <c r="K204" s="18">
        <v>0</v>
      </c>
      <c r="L204" s="19">
        <f t="shared" si="0"/>
        <v>92591.49</v>
      </c>
      <c r="M204" s="8"/>
      <c r="N204" s="266"/>
    </row>
    <row r="205" spans="1:14" s="3" customFormat="1" ht="12.2" customHeight="1" x14ac:dyDescent="0.15">
      <c r="A205" s="1" t="s">
        <v>444</v>
      </c>
      <c r="B205" s="2" t="s">
        <v>341</v>
      </c>
      <c r="C205" s="2" t="s">
        <v>296</v>
      </c>
      <c r="D205" s="2" t="s">
        <v>431</v>
      </c>
      <c r="E205" s="6">
        <v>2300</v>
      </c>
      <c r="F205" s="18">
        <v>5577</v>
      </c>
      <c r="G205" s="18">
        <v>365.27</v>
      </c>
      <c r="H205" s="18">
        <f>22830.22+184463</f>
        <v>207293.22</v>
      </c>
      <c r="I205" s="18">
        <v>1070.8399999999999</v>
      </c>
      <c r="J205" s="18">
        <v>0</v>
      </c>
      <c r="K205" s="18">
        <v>305</v>
      </c>
      <c r="L205" s="19">
        <f t="shared" si="0"/>
        <v>214611.33</v>
      </c>
      <c r="M205" s="8"/>
      <c r="N205" s="266"/>
    </row>
    <row r="206" spans="1:14" s="3" customFormat="1" ht="12.2" customHeight="1" x14ac:dyDescent="0.15">
      <c r="A206" s="1" t="s">
        <v>445</v>
      </c>
      <c r="B206" s="2" t="s">
        <v>341</v>
      </c>
      <c r="C206" s="2" t="s">
        <v>297</v>
      </c>
      <c r="D206" s="2" t="s">
        <v>431</v>
      </c>
      <c r="E206" s="6">
        <v>2400</v>
      </c>
      <c r="F206" s="18">
        <v>110464.84</v>
      </c>
      <c r="G206" s="18">
        <v>47870.03</v>
      </c>
      <c r="H206" s="18">
        <v>1347.71</v>
      </c>
      <c r="I206" s="18">
        <v>1000</v>
      </c>
      <c r="J206" s="18">
        <v>1839</v>
      </c>
      <c r="K206" s="18">
        <v>2782.09</v>
      </c>
      <c r="L206" s="19">
        <f t="shared" si="0"/>
        <v>165303.66999999998</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42235.23</v>
      </c>
      <c r="G208" s="18">
        <v>16426.189999999999</v>
      </c>
      <c r="H208" s="18">
        <v>75486.570000000007</v>
      </c>
      <c r="I208" s="18">
        <v>51128.44</v>
      </c>
      <c r="J208" s="18">
        <v>5111.75</v>
      </c>
      <c r="K208" s="18">
        <v>0</v>
      </c>
      <c r="L208" s="19">
        <f t="shared" si="0"/>
        <v>190388.18</v>
      </c>
      <c r="M208" s="8"/>
      <c r="N208" s="266"/>
    </row>
    <row r="209" spans="1:14" s="3" customFormat="1" ht="12.2" customHeight="1" x14ac:dyDescent="0.15">
      <c r="A209" s="1" t="s">
        <v>448</v>
      </c>
      <c r="B209" s="2" t="s">
        <v>341</v>
      </c>
      <c r="C209" s="2" t="s">
        <v>300</v>
      </c>
      <c r="D209" s="2" t="s">
        <v>431</v>
      </c>
      <c r="E209" s="6">
        <v>2700</v>
      </c>
      <c r="F209" s="18">
        <v>25262.59</v>
      </c>
      <c r="G209" s="18">
        <v>1037.1300000000001</v>
      </c>
      <c r="H209" s="18">
        <v>7629.73</v>
      </c>
      <c r="I209" s="18">
        <v>3865.73</v>
      </c>
      <c r="J209" s="18">
        <v>36034.519999999997</v>
      </c>
      <c r="K209" s="18">
        <v>0</v>
      </c>
      <c r="L209" s="19">
        <f t="shared" si="0"/>
        <v>73829.7</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889076.03999999992</v>
      </c>
      <c r="G212" s="41">
        <f t="shared" si="1"/>
        <v>400750.82</v>
      </c>
      <c r="H212" s="41">
        <f t="shared" si="1"/>
        <v>359982.46</v>
      </c>
      <c r="I212" s="41">
        <f t="shared" si="1"/>
        <v>92384.12999999999</v>
      </c>
      <c r="J212" s="41">
        <f t="shared" si="1"/>
        <v>57681.279999999999</v>
      </c>
      <c r="K212" s="41">
        <f t="shared" si="1"/>
        <v>3087.09</v>
      </c>
      <c r="L212" s="41">
        <f t="shared" si="1"/>
        <v>1802961.8199999998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694647.6</v>
      </c>
      <c r="I234" s="18"/>
      <c r="J234" s="18"/>
      <c r="K234" s="18"/>
      <c r="L234" s="19">
        <f>SUM(F234:K234)</f>
        <v>694647.6</v>
      </c>
      <c r="M234" s="8"/>
      <c r="N234" s="266"/>
    </row>
    <row r="235" spans="1:14" s="3" customFormat="1" ht="12.2" customHeight="1" x14ac:dyDescent="0.15">
      <c r="A235" s="1" t="s">
        <v>439</v>
      </c>
      <c r="B235" s="2" t="s">
        <v>350</v>
      </c>
      <c r="C235" s="2" t="s">
        <v>291</v>
      </c>
      <c r="D235" s="2" t="s">
        <v>431</v>
      </c>
      <c r="E235" s="6">
        <v>1200</v>
      </c>
      <c r="F235" s="18"/>
      <c r="G235" s="18"/>
      <c r="H235" s="18">
        <v>62183.63</v>
      </c>
      <c r="I235" s="18"/>
      <c r="J235" s="18"/>
      <c r="K235" s="18"/>
      <c r="L235" s="19">
        <f>SUM(F235:K235)</f>
        <v>62183.63</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33450</v>
      </c>
      <c r="I245" s="18"/>
      <c r="J245" s="18"/>
      <c r="K245" s="18"/>
      <c r="L245" s="19">
        <f t="shared" si="4"/>
        <v>33450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790281.23</v>
      </c>
      <c r="I248" s="41">
        <f t="shared" si="5"/>
        <v>0</v>
      </c>
      <c r="J248" s="41">
        <f t="shared" si="5"/>
        <v>0</v>
      </c>
      <c r="K248" s="41">
        <f t="shared" si="5"/>
        <v>0</v>
      </c>
      <c r="L248" s="41">
        <f t="shared" si="5"/>
        <v>790281.23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889076.03999999992</v>
      </c>
      <c r="G258" s="41">
        <f t="shared" si="8"/>
        <v>400750.82</v>
      </c>
      <c r="H258" s="41">
        <f t="shared" si="8"/>
        <v>1150263.69</v>
      </c>
      <c r="I258" s="41">
        <f t="shared" si="8"/>
        <v>92384.12999999999</v>
      </c>
      <c r="J258" s="41">
        <f t="shared" si="8"/>
        <v>57681.279999999999</v>
      </c>
      <c r="K258" s="41">
        <f t="shared" si="8"/>
        <v>3087.09</v>
      </c>
      <c r="L258" s="41">
        <f t="shared" si="8"/>
        <v>2593243.0499999998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401775.42</v>
      </c>
      <c r="L261" s="19">
        <f>SUM(F261:K261)</f>
        <v>401775.42</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177340.99</v>
      </c>
      <c r="L262" s="19">
        <f>SUM(F262:K262)</f>
        <v>177340.99</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390.83</v>
      </c>
      <c r="L264" s="19">
        <f>SUM(F264:K264)</f>
        <v>390.83</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654507.23999999987</v>
      </c>
      <c r="L271" s="41">
        <f t="shared" si="9"/>
        <v>654507.23999999987</v>
      </c>
      <c r="M271" s="8"/>
      <c r="N271" s="266"/>
    </row>
    <row r="272" spans="1:14" s="34" customFormat="1" ht="12.2" customHeight="1" thickTop="1" x14ac:dyDescent="0.2">
      <c r="A272" s="43" t="s">
        <v>464</v>
      </c>
      <c r="B272" s="40">
        <v>10</v>
      </c>
      <c r="C272" s="40">
        <v>18</v>
      </c>
      <c r="D272" s="39" t="s">
        <v>431</v>
      </c>
      <c r="E272" s="40"/>
      <c r="F272" s="42">
        <f t="shared" ref="F272:L272" si="11">F258+F271</f>
        <v>889076.03999999992</v>
      </c>
      <c r="G272" s="42">
        <f t="shared" si="11"/>
        <v>400750.82</v>
      </c>
      <c r="H272" s="42">
        <f t="shared" si="11"/>
        <v>1150263.69</v>
      </c>
      <c r="I272" s="42">
        <f t="shared" si="11"/>
        <v>92384.12999999999</v>
      </c>
      <c r="J272" s="42">
        <f t="shared" si="11"/>
        <v>57681.279999999999</v>
      </c>
      <c r="K272" s="42">
        <f t="shared" si="11"/>
        <v>657594.32999999984</v>
      </c>
      <c r="L272" s="42">
        <f t="shared" si="11"/>
        <v>3247750.2899999996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28185.19</v>
      </c>
      <c r="G277" s="18">
        <v>5355.44</v>
      </c>
      <c r="H277" s="18">
        <v>0</v>
      </c>
      <c r="I277" s="18">
        <v>0</v>
      </c>
      <c r="J277" s="18">
        <v>21135</v>
      </c>
      <c r="K277" s="18">
        <v>0</v>
      </c>
      <c r="L277" s="19">
        <f>SUM(F277:K277)</f>
        <v>54675.63</v>
      </c>
      <c r="M277" s="8"/>
      <c r="N277" s="266"/>
    </row>
    <row r="278" spans="1:14" s="3" customFormat="1" ht="12.2" customHeight="1" x14ac:dyDescent="0.15">
      <c r="A278" s="1" t="s">
        <v>439</v>
      </c>
      <c r="B278" s="2" t="s">
        <v>357</v>
      </c>
      <c r="C278" s="2" t="s">
        <v>291</v>
      </c>
      <c r="D278" s="2" t="s">
        <v>431</v>
      </c>
      <c r="E278" s="6">
        <v>1200</v>
      </c>
      <c r="F278" s="18">
        <v>18017.47</v>
      </c>
      <c r="G278" s="18">
        <v>10526.06</v>
      </c>
      <c r="H278" s="18">
        <v>0</v>
      </c>
      <c r="I278" s="18">
        <v>0</v>
      </c>
      <c r="J278" s="18">
        <v>0</v>
      </c>
      <c r="K278" s="18">
        <v>0</v>
      </c>
      <c r="L278" s="19">
        <f>SUM(F278:K278)</f>
        <v>28543.53</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v>12948.27</v>
      </c>
      <c r="K282" s="18"/>
      <c r="L282" s="19">
        <f t="shared" ref="L282:L288" si="12">SUM(F282:K282)</f>
        <v>12948.27</v>
      </c>
      <c r="M282" s="8"/>
      <c r="N282" s="266"/>
    </row>
    <row r="283" spans="1:14" s="3" customFormat="1" ht="12.2" customHeight="1" x14ac:dyDescent="0.15">
      <c r="A283" s="1" t="s">
        <v>443</v>
      </c>
      <c r="B283" s="2" t="s">
        <v>357</v>
      </c>
      <c r="C283" s="2" t="s">
        <v>295</v>
      </c>
      <c r="D283" s="2" t="s">
        <v>431</v>
      </c>
      <c r="E283" s="6">
        <v>2200</v>
      </c>
      <c r="F283" s="18"/>
      <c r="G283" s="18"/>
      <c r="H283" s="18"/>
      <c r="I283" s="18"/>
      <c r="J283" s="18">
        <v>45397.17</v>
      </c>
      <c r="K283" s="18"/>
      <c r="L283" s="19">
        <f t="shared" si="12"/>
        <v>45397.17</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v>517.04999999999995</v>
      </c>
      <c r="I287" s="18"/>
      <c r="J287" s="18"/>
      <c r="K287" s="18"/>
      <c r="L287" s="19">
        <f t="shared" si="12"/>
        <v>517.04999999999995</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46202.66</v>
      </c>
      <c r="G291" s="42">
        <f t="shared" si="13"/>
        <v>15881.5</v>
      </c>
      <c r="H291" s="42">
        <f t="shared" si="13"/>
        <v>517.04999999999995</v>
      </c>
      <c r="I291" s="42">
        <f t="shared" si="13"/>
        <v>0</v>
      </c>
      <c r="J291" s="42">
        <f t="shared" si="13"/>
        <v>79480.44</v>
      </c>
      <c r="K291" s="42">
        <f t="shared" si="13"/>
        <v>0</v>
      </c>
      <c r="L291" s="41">
        <f t="shared" si="13"/>
        <v>142081.65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46202.66</v>
      </c>
      <c r="G339" s="41">
        <f t="shared" si="20"/>
        <v>15881.5</v>
      </c>
      <c r="H339" s="41">
        <f t="shared" si="20"/>
        <v>517.04999999999995</v>
      </c>
      <c r="I339" s="41">
        <f t="shared" si="20"/>
        <v>0</v>
      </c>
      <c r="J339" s="41">
        <f t="shared" si="20"/>
        <v>79480.44</v>
      </c>
      <c r="K339" s="41">
        <f t="shared" si="20"/>
        <v>0</v>
      </c>
      <c r="L339" s="41">
        <f t="shared" si="20"/>
        <v>142081.65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46202.66</v>
      </c>
      <c r="G353" s="41">
        <f>G339</f>
        <v>15881.5</v>
      </c>
      <c r="H353" s="41">
        <f>H339</f>
        <v>517.04999999999995</v>
      </c>
      <c r="I353" s="41">
        <f>I339</f>
        <v>0</v>
      </c>
      <c r="J353" s="41">
        <f>J339</f>
        <v>79480.44</v>
      </c>
      <c r="K353" s="47">
        <f>K339+K352</f>
        <v>0</v>
      </c>
      <c r="L353" s="41">
        <f>L339+L352</f>
        <v>142081.65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59283.86</v>
      </c>
      <c r="I359" s="18"/>
      <c r="J359" s="18"/>
      <c r="K359" s="18"/>
      <c r="L359" s="13">
        <f>SUM(F359:K359)</f>
        <v>59283.86</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59283.86</v>
      </c>
      <c r="I363" s="47">
        <f t="shared" si="22"/>
        <v>0</v>
      </c>
      <c r="J363" s="47">
        <f t="shared" si="22"/>
        <v>0</v>
      </c>
      <c r="K363" s="47">
        <f t="shared" si="22"/>
        <v>0</v>
      </c>
      <c r="L363" s="47">
        <f t="shared" si="22"/>
        <v>59283.86</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25000</v>
      </c>
      <c r="H390" s="18">
        <v>150.37</v>
      </c>
      <c r="I390" s="18"/>
      <c r="J390" s="24" t="s">
        <v>288</v>
      </c>
      <c r="K390" s="24" t="s">
        <v>288</v>
      </c>
      <c r="L390" s="56">
        <f t="shared" si="25"/>
        <v>25150.37</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v>49.51</v>
      </c>
      <c r="I393" s="18"/>
      <c r="J393" s="24" t="s">
        <v>288</v>
      </c>
      <c r="K393" s="24" t="s">
        <v>288</v>
      </c>
      <c r="L393" s="56">
        <f t="shared" si="25"/>
        <v>49.51</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25000</v>
      </c>
      <c r="H394" s="139">
        <f>SUM(H388:H393)</f>
        <v>199.88</v>
      </c>
      <c r="I394" s="65">
        <f>SUM(I388:I393)</f>
        <v>0</v>
      </c>
      <c r="J394" s="45" t="s">
        <v>288</v>
      </c>
      <c r="K394" s="45" t="s">
        <v>288</v>
      </c>
      <c r="L394" s="47">
        <f>SUM(L388:L393)</f>
        <v>25199.879999999997</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35000</v>
      </c>
      <c r="H398" s="18">
        <v>64.02</v>
      </c>
      <c r="I398" s="18"/>
      <c r="J398" s="24" t="s">
        <v>288</v>
      </c>
      <c r="K398" s="24" t="s">
        <v>288</v>
      </c>
      <c r="L398" s="56">
        <f t="shared" si="26"/>
        <v>35064.019999999997</v>
      </c>
      <c r="M398" s="8"/>
      <c r="N398" s="266"/>
    </row>
    <row r="399" spans="1:14" s="3" customFormat="1" ht="12.2" customHeight="1" x14ac:dyDescent="0.15">
      <c r="A399" s="79" t="s">
        <v>558</v>
      </c>
      <c r="B399" s="2" t="s">
        <v>381</v>
      </c>
      <c r="C399" s="6">
        <v>11</v>
      </c>
      <c r="D399" s="2" t="s">
        <v>432</v>
      </c>
      <c r="E399" s="6"/>
      <c r="F399" s="18"/>
      <c r="G399" s="18">
        <v>15000</v>
      </c>
      <c r="H399" s="18">
        <v>71.930000000000007</v>
      </c>
      <c r="I399" s="18"/>
      <c r="J399" s="24" t="s">
        <v>288</v>
      </c>
      <c r="K399" s="24" t="s">
        <v>288</v>
      </c>
      <c r="L399" s="56">
        <f t="shared" si="26"/>
        <v>15071.93</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135.94999999999999</v>
      </c>
      <c r="I402" s="47">
        <f>SUM(I396:I401)</f>
        <v>0</v>
      </c>
      <c r="J402" s="45" t="s">
        <v>288</v>
      </c>
      <c r="K402" s="45" t="s">
        <v>288</v>
      </c>
      <c r="L402" s="47">
        <f>SUM(L396:L401)</f>
        <v>50135.95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75000</v>
      </c>
      <c r="H409" s="47">
        <f>H394+H402+H408</f>
        <v>335.83</v>
      </c>
      <c r="I409" s="47">
        <f>I394+I402+I408</f>
        <v>0</v>
      </c>
      <c r="J409" s="24" t="s">
        <v>288</v>
      </c>
      <c r="K409" s="24" t="s">
        <v>288</v>
      </c>
      <c r="L409" s="47">
        <f>L394+L402+L408</f>
        <v>75335.829999999987</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f>31605.2+36373.2+55828.13</f>
        <v>123806.53</v>
      </c>
      <c r="G440" s="18">
        <f>5276.56+1581.17</f>
        <v>6857.7300000000005</v>
      </c>
      <c r="H440" s="18">
        <f>7055.41</f>
        <v>7055.41</v>
      </c>
      <c r="I440" s="56">
        <f t="shared" ref="I440:I446" si="33">SUM(F440:H440)</f>
        <v>137719.66999999998</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123806.53</v>
      </c>
      <c r="G447" s="13">
        <f>SUM(G440:G446)</f>
        <v>6857.7300000000005</v>
      </c>
      <c r="H447" s="13">
        <f>SUM(H440:H446)</f>
        <v>7055.41</v>
      </c>
      <c r="I447" s="13">
        <f>SUM(I440:I446)</f>
        <v>137719.66999999998</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123806.53</v>
      </c>
      <c r="G460" s="18">
        <v>6857.73</v>
      </c>
      <c r="H460" s="18">
        <v>7055.41</v>
      </c>
      <c r="I460" s="56">
        <f t="shared" si="34"/>
        <v>137719.66999999998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123806.53</v>
      </c>
      <c r="G461" s="83">
        <f>SUM(G455:G460)</f>
        <v>6857.73</v>
      </c>
      <c r="H461" s="83">
        <f>SUM(H455:H460)</f>
        <v>7055.41</v>
      </c>
      <c r="I461" s="83">
        <f>SUM(I455:I460)</f>
        <v>137719.66999999998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123806.53</v>
      </c>
      <c r="G462" s="42">
        <f>G453+G461</f>
        <v>6857.73</v>
      </c>
      <c r="H462" s="42">
        <f>H453+H461</f>
        <v>7055.41</v>
      </c>
      <c r="I462" s="42">
        <f>I453+I461</f>
        <v>137719.66999999998</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442943.59</v>
      </c>
      <c r="G466" s="18">
        <v>-19638.25</v>
      </c>
      <c r="H466" s="18">
        <v>-16302.32</v>
      </c>
      <c r="I466" s="18">
        <v>12638.86</v>
      </c>
      <c r="J466" s="18">
        <v>62383.839999999997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3029229.96+28200</f>
        <v>3057429.96</v>
      </c>
      <c r="G469" s="18">
        <v>59283.86</v>
      </c>
      <c r="H469" s="18">
        <v>142081.65</v>
      </c>
      <c r="I469" s="18"/>
      <c r="J469" s="18">
        <f>24.37+19.34+5.8+15000+71.93+35000+64.02+25000+150.37</f>
        <v>75335.829999999987</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3057429.96</v>
      </c>
      <c r="G471" s="53">
        <f>SUM(G469:G470)</f>
        <v>59283.86</v>
      </c>
      <c r="H471" s="53">
        <f>SUM(H469:H470)</f>
        <v>142081.65</v>
      </c>
      <c r="I471" s="53">
        <f>SUM(I469:I470)</f>
        <v>0</v>
      </c>
      <c r="J471" s="53">
        <f>SUM(J469:J470)</f>
        <v>75335.829999999987</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3251263.1-3512.81</f>
        <v>3247750.29</v>
      </c>
      <c r="G473" s="18">
        <v>59283.86</v>
      </c>
      <c r="H473" s="18">
        <v>142081.65</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3247750.29</v>
      </c>
      <c r="G475" s="53">
        <f>SUM(G473:G474)</f>
        <v>59283.86</v>
      </c>
      <c r="H475" s="53">
        <f>SUM(H473:H474)</f>
        <v>142081.65</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252623.25999999978</v>
      </c>
      <c r="G477" s="53">
        <f>(G466+G471)- G475</f>
        <v>-19638.25</v>
      </c>
      <c r="H477" s="53">
        <f>(H466+H471)- H475</f>
        <v>-16302.320000000007</v>
      </c>
      <c r="I477" s="53">
        <f>(I466+I471)- I475</f>
        <v>12638.86</v>
      </c>
      <c r="J477" s="53">
        <f>(J466+J471)- J475</f>
        <v>137719.66999999998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20</v>
      </c>
      <c r="H491" s="154">
        <v>20</v>
      </c>
      <c r="I491" s="154">
        <v>20</v>
      </c>
      <c r="J491" s="154"/>
      <c r="K491" s="24" t="s">
        <v>288</v>
      </c>
      <c r="L491" s="24" t="s">
        <v>288</v>
      </c>
      <c r="N491" s="265"/>
    </row>
    <row r="492" spans="1:14" s="52" customFormat="1" ht="12.2" customHeight="1" x14ac:dyDescent="0.2">
      <c r="A492" s="22" t="s">
        <v>615</v>
      </c>
      <c r="B492" s="75">
        <v>20</v>
      </c>
      <c r="C492" s="115">
        <v>2</v>
      </c>
      <c r="D492" s="2" t="s">
        <v>432</v>
      </c>
      <c r="E492" s="115"/>
      <c r="F492" s="155" t="s">
        <v>1673</v>
      </c>
      <c r="G492" s="155" t="s">
        <v>1675</v>
      </c>
      <c r="H492" s="154">
        <v>1</v>
      </c>
      <c r="I492" s="154">
        <v>1</v>
      </c>
      <c r="J492" s="154"/>
      <c r="K492" s="24" t="s">
        <v>288</v>
      </c>
      <c r="L492" s="24" t="s">
        <v>288</v>
      </c>
      <c r="N492" s="265"/>
    </row>
    <row r="493" spans="1:14" s="52" customFormat="1" ht="12.2" customHeight="1" x14ac:dyDescent="0.2">
      <c r="A493" s="22" t="s">
        <v>616</v>
      </c>
      <c r="B493" s="75">
        <v>20</v>
      </c>
      <c r="C493" s="115">
        <v>3</v>
      </c>
      <c r="D493" s="2" t="s">
        <v>432</v>
      </c>
      <c r="E493" s="115"/>
      <c r="F493" s="155" t="s">
        <v>1674</v>
      </c>
      <c r="G493" s="155" t="s">
        <v>1676</v>
      </c>
      <c r="H493" s="154">
        <v>0</v>
      </c>
      <c r="I493" s="154">
        <v>0</v>
      </c>
      <c r="J493" s="154"/>
      <c r="K493" s="24" t="s">
        <v>288</v>
      </c>
      <c r="L493" s="24" t="s">
        <v>288</v>
      </c>
      <c r="N493" s="265"/>
    </row>
    <row r="494" spans="1:14" s="52" customFormat="1" ht="12.2" customHeight="1" x14ac:dyDescent="0.2">
      <c r="A494" s="22" t="s">
        <v>617</v>
      </c>
      <c r="B494" s="75">
        <v>20</v>
      </c>
      <c r="C494" s="115">
        <v>4</v>
      </c>
      <c r="D494" s="2" t="s">
        <v>432</v>
      </c>
      <c r="E494" s="115"/>
      <c r="F494" s="18">
        <v>4571850</v>
      </c>
      <c r="G494" s="18">
        <v>550000</v>
      </c>
      <c r="H494" s="18">
        <v>738629</v>
      </c>
      <c r="I494" s="18">
        <v>1840000</v>
      </c>
      <c r="J494" s="18"/>
      <c r="K494" s="24" t="s">
        <v>288</v>
      </c>
      <c r="L494" s="24" t="s">
        <v>288</v>
      </c>
      <c r="N494" s="265"/>
    </row>
    <row r="495" spans="1:14" s="52" customFormat="1" ht="12.2" customHeight="1" x14ac:dyDescent="0.2">
      <c r="A495" s="22" t="s">
        <v>618</v>
      </c>
      <c r="B495" s="75">
        <v>20</v>
      </c>
      <c r="C495" s="115">
        <v>5</v>
      </c>
      <c r="D495" s="2" t="s">
        <v>432</v>
      </c>
      <c r="E495" s="115"/>
      <c r="F495" s="18">
        <v>3.2</v>
      </c>
      <c r="G495" s="18">
        <v>3.25</v>
      </c>
      <c r="H495" s="18">
        <v>3.25</v>
      </c>
      <c r="I495" s="18">
        <v>3.25</v>
      </c>
      <c r="J495" s="18"/>
      <c r="K495" s="24" t="s">
        <v>288</v>
      </c>
      <c r="L495" s="24" t="s">
        <v>288</v>
      </c>
      <c r="N495" s="265"/>
    </row>
    <row r="496" spans="1:14" s="52" customFormat="1" ht="12.2" customHeight="1" x14ac:dyDescent="0.2">
      <c r="A496" s="22" t="s">
        <v>619</v>
      </c>
      <c r="B496" s="75">
        <v>20</v>
      </c>
      <c r="C496" s="115">
        <v>6</v>
      </c>
      <c r="D496" s="2" t="s">
        <v>432</v>
      </c>
      <c r="E496" s="115"/>
      <c r="F496" s="18">
        <v>2730000</v>
      </c>
      <c r="G496" s="18">
        <v>357500</v>
      </c>
      <c r="H496" s="18">
        <v>315522.18</v>
      </c>
      <c r="I496" s="18">
        <v>1270000</v>
      </c>
      <c r="J496" s="18"/>
      <c r="K496" s="53">
        <f>SUM(F496:J496)</f>
        <v>4673022.18</v>
      </c>
      <c r="L496" s="24" t="s">
        <v>288</v>
      </c>
      <c r="N496" s="265"/>
    </row>
    <row r="497" spans="1:14" s="52" customFormat="1" ht="12.2" customHeight="1" x14ac:dyDescent="0.2">
      <c r="A497" s="22" t="s">
        <v>620</v>
      </c>
      <c r="B497" s="75">
        <v>20</v>
      </c>
      <c r="C497" s="115">
        <v>7</v>
      </c>
      <c r="D497" s="2" t="s">
        <v>432</v>
      </c>
      <c r="E497" s="115"/>
      <c r="F497" s="18">
        <v>0</v>
      </c>
      <c r="G497" s="18">
        <v>0</v>
      </c>
      <c r="H497" s="18">
        <v>0</v>
      </c>
      <c r="I497" s="18">
        <v>0</v>
      </c>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230000</v>
      </c>
      <c r="G498" s="18">
        <v>27500</v>
      </c>
      <c r="H498" s="18">
        <v>36931.449999999997</v>
      </c>
      <c r="I498" s="18">
        <v>95000</v>
      </c>
      <c r="J498" s="18"/>
      <c r="K498" s="53">
        <f t="shared" si="35"/>
        <v>389431.45</v>
      </c>
      <c r="L498" s="24" t="s">
        <v>288</v>
      </c>
      <c r="N498" s="265"/>
    </row>
    <row r="499" spans="1:14" s="52" customFormat="1" ht="12.2" customHeight="1" x14ac:dyDescent="0.2">
      <c r="A499" s="200" t="s">
        <v>622</v>
      </c>
      <c r="B499" s="201">
        <v>20</v>
      </c>
      <c r="C499" s="202">
        <v>9</v>
      </c>
      <c r="D499" s="203" t="s">
        <v>432</v>
      </c>
      <c r="E499" s="202"/>
      <c r="F499" s="204">
        <f>F496-F498</f>
        <v>2500000</v>
      </c>
      <c r="G499" s="204">
        <f>G496-G498</f>
        <v>330000</v>
      </c>
      <c r="H499" s="204">
        <f t="shared" ref="H499:I499" si="36">H496-H498</f>
        <v>278590.73</v>
      </c>
      <c r="I499" s="204">
        <f t="shared" si="36"/>
        <v>1175000</v>
      </c>
      <c r="J499" s="204"/>
      <c r="K499" s="205">
        <f t="shared" si="35"/>
        <v>4283590.7300000004</v>
      </c>
      <c r="L499" s="206" t="s">
        <v>288</v>
      </c>
      <c r="N499" s="265"/>
    </row>
    <row r="500" spans="1:14" s="52" customFormat="1" ht="12.2" customHeight="1" thickBot="1" x14ac:dyDescent="0.25">
      <c r="A500" s="22" t="s">
        <v>623</v>
      </c>
      <c r="B500" s="75">
        <v>20</v>
      </c>
      <c r="C500" s="115">
        <v>10</v>
      </c>
      <c r="D500" s="2" t="s">
        <v>432</v>
      </c>
      <c r="E500" s="115"/>
      <c r="F500" s="18">
        <v>403866.22</v>
      </c>
      <c r="G500" s="18">
        <v>75518.210000000006</v>
      </c>
      <c r="H500" s="18">
        <v>45344.12</v>
      </c>
      <c r="I500" s="18">
        <v>360330</v>
      </c>
      <c r="J500" s="18"/>
      <c r="K500" s="53">
        <f t="shared" si="35"/>
        <v>885058.55</v>
      </c>
      <c r="L500" s="24" t="s">
        <v>288</v>
      </c>
      <c r="N500" s="265"/>
    </row>
    <row r="501" spans="1:14" s="52" customFormat="1" ht="12.2" customHeight="1" thickTop="1" x14ac:dyDescent="0.2">
      <c r="A501" s="139" t="s">
        <v>624</v>
      </c>
      <c r="B501" s="44">
        <v>20</v>
      </c>
      <c r="C501" s="195">
        <v>11</v>
      </c>
      <c r="D501" s="39" t="s">
        <v>432</v>
      </c>
      <c r="E501" s="195"/>
      <c r="F501" s="42">
        <f>SUM(F499:F500)</f>
        <v>2903866.2199999997</v>
      </c>
      <c r="G501" s="42">
        <f>SUM(G499:G500)</f>
        <v>405518.21</v>
      </c>
      <c r="H501" s="42">
        <f>SUM(H499:H500)</f>
        <v>323934.84999999998</v>
      </c>
      <c r="I501" s="42">
        <f>SUM(I499:I500)</f>
        <v>1535330</v>
      </c>
      <c r="J501" s="42">
        <f>SUM(J499:J500)</f>
        <v>0</v>
      </c>
      <c r="K501" s="42">
        <f t="shared" si="35"/>
        <v>5168649.2799999993</v>
      </c>
      <c r="L501" s="45" t="s">
        <v>288</v>
      </c>
      <c r="N501" s="265"/>
    </row>
    <row r="502" spans="1:14" s="52" customFormat="1" ht="12.2" customHeight="1" x14ac:dyDescent="0.2">
      <c r="A502" s="200" t="s">
        <v>651</v>
      </c>
      <c r="B502" s="201">
        <v>20</v>
      </c>
      <c r="C502" s="202">
        <v>12</v>
      </c>
      <c r="D502" s="203" t="s">
        <v>432</v>
      </c>
      <c r="E502" s="202"/>
      <c r="F502" s="204">
        <v>230000</v>
      </c>
      <c r="G502" s="204">
        <f>22225.8+22502.52</f>
        <v>44728.32</v>
      </c>
      <c r="H502" s="204">
        <v>36931.449999999997</v>
      </c>
      <c r="I502" s="204">
        <v>95000</v>
      </c>
      <c r="J502" s="204"/>
      <c r="K502" s="205">
        <f t="shared" si="35"/>
        <v>406659.77</v>
      </c>
      <c r="L502" s="206" t="s">
        <v>288</v>
      </c>
      <c r="N502" s="265"/>
    </row>
    <row r="503" spans="1:14" s="52" customFormat="1" ht="12.2" customHeight="1" thickBot="1" x14ac:dyDescent="0.25">
      <c r="A503" s="22" t="s">
        <v>625</v>
      </c>
      <c r="B503" s="75">
        <v>20</v>
      </c>
      <c r="C503" s="115">
        <v>13</v>
      </c>
      <c r="D503" s="2" t="s">
        <v>432</v>
      </c>
      <c r="E503" s="115"/>
      <c r="F503" s="18">
        <v>94868.76</v>
      </c>
      <c r="G503" s="18">
        <f>5274.2+4997.48</f>
        <v>10271.68</v>
      </c>
      <c r="H503" s="18">
        <f>5299.48+4653.61</f>
        <v>9953.09</v>
      </c>
      <c r="I503" s="18">
        <f>26985+24562.5</f>
        <v>51547.5</v>
      </c>
      <c r="J503" s="18"/>
      <c r="K503" s="53">
        <f t="shared" si="35"/>
        <v>166641.03</v>
      </c>
      <c r="L503" s="24" t="s">
        <v>288</v>
      </c>
      <c r="N503" s="265"/>
    </row>
    <row r="504" spans="1:14" s="52" customFormat="1" ht="12.2" customHeight="1" thickTop="1" x14ac:dyDescent="0.2">
      <c r="A504" s="139" t="s">
        <v>626</v>
      </c>
      <c r="B504" s="44">
        <v>20</v>
      </c>
      <c r="C504" s="195">
        <v>14</v>
      </c>
      <c r="D504" s="39" t="s">
        <v>432</v>
      </c>
      <c r="E504" s="195"/>
      <c r="F504" s="42">
        <f>SUM(F502:F503)</f>
        <v>324868.76</v>
      </c>
      <c r="G504" s="42">
        <f>SUM(G502:G503)</f>
        <v>55000</v>
      </c>
      <c r="H504" s="42">
        <f>SUM(H502:H503)</f>
        <v>46884.539999999994</v>
      </c>
      <c r="I504" s="42">
        <f>SUM(I502:I503)</f>
        <v>146547.5</v>
      </c>
      <c r="J504" s="42">
        <f>SUM(J502:J503)</f>
        <v>0</v>
      </c>
      <c r="K504" s="42">
        <f t="shared" si="35"/>
        <v>573300.80000000005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F199+F278</f>
        <v>187341.4</v>
      </c>
      <c r="G522" s="18">
        <f t="shared" ref="G522:K522" si="37">G199+G278</f>
        <v>79828.31</v>
      </c>
      <c r="H522" s="18">
        <f t="shared" si="37"/>
        <v>29354.63</v>
      </c>
      <c r="I522" s="18">
        <f t="shared" si="37"/>
        <v>0</v>
      </c>
      <c r="J522" s="18">
        <f t="shared" si="37"/>
        <v>0</v>
      </c>
      <c r="K522" s="18">
        <f t="shared" si="37"/>
        <v>0</v>
      </c>
      <c r="L522" s="88">
        <f>SUM(F522:K522)</f>
        <v>296524.33999999997</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187341.4</v>
      </c>
      <c r="G525" s="108">
        <f t="shared" ref="G525:L525" si="38">SUM(G522:G524)</f>
        <v>79828.31</v>
      </c>
      <c r="H525" s="108">
        <f t="shared" si="38"/>
        <v>29354.63</v>
      </c>
      <c r="I525" s="108">
        <f t="shared" si="38"/>
        <v>0</v>
      </c>
      <c r="J525" s="108">
        <f t="shared" si="38"/>
        <v>0</v>
      </c>
      <c r="K525" s="108">
        <f t="shared" si="38"/>
        <v>0</v>
      </c>
      <c r="L525" s="89">
        <f t="shared" si="38"/>
        <v>296524.33999999997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9">SUM(G527:G529)</f>
        <v>0</v>
      </c>
      <c r="H530" s="89">
        <f t="shared" si="39"/>
        <v>0</v>
      </c>
      <c r="I530" s="89">
        <f t="shared" si="39"/>
        <v>0</v>
      </c>
      <c r="J530" s="89">
        <f t="shared" si="39"/>
        <v>0</v>
      </c>
      <c r="K530" s="89">
        <f t="shared" si="39"/>
        <v>0</v>
      </c>
      <c r="L530" s="89">
        <f t="shared" si="39"/>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15557.763192</v>
      </c>
      <c r="G532" s="18">
        <v>8825.4083879999998</v>
      </c>
      <c r="H532" s="18">
        <v>36.846000000000004</v>
      </c>
      <c r="I532" s="18">
        <v>19.634112000000002</v>
      </c>
      <c r="J532" s="18">
        <v>192.44826</v>
      </c>
      <c r="K532" s="18">
        <v>0</v>
      </c>
      <c r="L532" s="88">
        <f>SUM(F532:K532)</f>
        <v>24632.099952000004</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15557.763192</v>
      </c>
      <c r="G535" s="89">
        <f t="shared" ref="G535:L535" si="40">SUM(G532:G534)</f>
        <v>8825.4083879999998</v>
      </c>
      <c r="H535" s="89">
        <f t="shared" si="40"/>
        <v>36.846000000000004</v>
      </c>
      <c r="I535" s="89">
        <f t="shared" si="40"/>
        <v>19.634112000000002</v>
      </c>
      <c r="J535" s="89">
        <f t="shared" si="40"/>
        <v>192.44826</v>
      </c>
      <c r="K535" s="89">
        <f t="shared" si="40"/>
        <v>0</v>
      </c>
      <c r="L535" s="89">
        <f t="shared" si="40"/>
        <v>24632.099952000004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1">SUM(G537:G539)</f>
        <v>0</v>
      </c>
      <c r="H540" s="89">
        <f t="shared" si="41"/>
        <v>0</v>
      </c>
      <c r="I540" s="89">
        <f t="shared" si="41"/>
        <v>0</v>
      </c>
      <c r="J540" s="89">
        <f t="shared" si="41"/>
        <v>0</v>
      </c>
      <c r="K540" s="89">
        <f t="shared" si="41"/>
        <v>0</v>
      </c>
      <c r="L540" s="89">
        <f t="shared" si="41"/>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33450</v>
      </c>
      <c r="I544" s="18"/>
      <c r="J544" s="18"/>
      <c r="K544" s="18"/>
      <c r="L544" s="88">
        <f>SUM(F544:K544)</f>
        <v>33450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2">SUM(G542:G544)</f>
        <v>0</v>
      </c>
      <c r="H545" s="193">
        <f t="shared" si="42"/>
        <v>33450</v>
      </c>
      <c r="I545" s="193">
        <f t="shared" si="42"/>
        <v>0</v>
      </c>
      <c r="J545" s="193">
        <f t="shared" si="42"/>
        <v>0</v>
      </c>
      <c r="K545" s="193">
        <f t="shared" si="42"/>
        <v>0</v>
      </c>
      <c r="L545" s="193">
        <f t="shared" si="42"/>
        <v>33450</v>
      </c>
      <c r="M545" s="8"/>
      <c r="N545" s="266"/>
    </row>
    <row r="546" spans="1:14" s="3" customFormat="1" ht="12.2" customHeight="1" thickTop="1" x14ac:dyDescent="0.15">
      <c r="A546" s="98" t="s">
        <v>72</v>
      </c>
      <c r="B546" s="107">
        <v>21</v>
      </c>
      <c r="C546" s="107">
        <v>21</v>
      </c>
      <c r="D546" s="158" t="s">
        <v>432</v>
      </c>
      <c r="E546" s="107"/>
      <c r="F546" s="89">
        <f>F525+F530+F535+F540+F545</f>
        <v>202899.16319200001</v>
      </c>
      <c r="G546" s="89">
        <f t="shared" ref="G546:L546" si="43">G525+G530+G535+G540+G545</f>
        <v>88653.718387999994</v>
      </c>
      <c r="H546" s="89">
        <f t="shared" si="43"/>
        <v>62841.476000000002</v>
      </c>
      <c r="I546" s="89">
        <f t="shared" si="43"/>
        <v>19.634112000000002</v>
      </c>
      <c r="J546" s="89">
        <f t="shared" si="43"/>
        <v>192.44826</v>
      </c>
      <c r="K546" s="89">
        <f t="shared" si="43"/>
        <v>0</v>
      </c>
      <c r="L546" s="89">
        <f t="shared" si="43"/>
        <v>354606.43995199999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296524.33999999997</v>
      </c>
      <c r="G550" s="87">
        <f>L527</f>
        <v>0</v>
      </c>
      <c r="H550" s="87">
        <f>L532</f>
        <v>24632.099952000004</v>
      </c>
      <c r="I550" s="87">
        <f>L537</f>
        <v>0</v>
      </c>
      <c r="J550" s="87">
        <f>L542</f>
        <v>0</v>
      </c>
      <c r="K550" s="87">
        <f>SUM(F550:J550)</f>
        <v>321156.43995199999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33450</v>
      </c>
      <c r="K552" s="87">
        <f>SUM(F552:J552)</f>
        <v>33450</v>
      </c>
      <c r="L552" s="24" t="s">
        <v>288</v>
      </c>
      <c r="M552" s="8"/>
      <c r="N552" s="266"/>
    </row>
    <row r="553" spans="1:14" s="3" customFormat="1" ht="12.2" customHeight="1" thickTop="1" x14ac:dyDescent="0.15">
      <c r="A553" s="172" t="s">
        <v>340</v>
      </c>
      <c r="B553" s="44">
        <v>21</v>
      </c>
      <c r="C553" s="44">
        <v>25</v>
      </c>
      <c r="D553" s="39" t="s">
        <v>432</v>
      </c>
      <c r="E553" s="44"/>
      <c r="F553" s="89">
        <f t="shared" ref="F553:K553" si="44">SUM(F550:F552)</f>
        <v>296524.33999999997</v>
      </c>
      <c r="G553" s="89">
        <f t="shared" si="44"/>
        <v>0</v>
      </c>
      <c r="H553" s="89">
        <f t="shared" si="44"/>
        <v>24632.099952000004</v>
      </c>
      <c r="I553" s="89">
        <f t="shared" si="44"/>
        <v>0</v>
      </c>
      <c r="J553" s="89">
        <f t="shared" si="44"/>
        <v>33450</v>
      </c>
      <c r="K553" s="89">
        <f t="shared" si="44"/>
        <v>354606.43995199999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5">SUM(F558:F560)</f>
        <v>0</v>
      </c>
      <c r="G561" s="108">
        <f t="shared" si="45"/>
        <v>0</v>
      </c>
      <c r="H561" s="108">
        <f t="shared" si="45"/>
        <v>0</v>
      </c>
      <c r="I561" s="108">
        <f t="shared" si="45"/>
        <v>0</v>
      </c>
      <c r="J561" s="108">
        <f t="shared" si="45"/>
        <v>0</v>
      </c>
      <c r="K561" s="108">
        <f t="shared" si="45"/>
        <v>0</v>
      </c>
      <c r="L561" s="89">
        <f t="shared" si="45"/>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6">SUM(F563:F565)</f>
        <v>0</v>
      </c>
      <c r="G566" s="89">
        <f t="shared" si="46"/>
        <v>0</v>
      </c>
      <c r="H566" s="89">
        <f t="shared" si="46"/>
        <v>0</v>
      </c>
      <c r="I566" s="89">
        <f t="shared" si="46"/>
        <v>0</v>
      </c>
      <c r="J566" s="89">
        <f t="shared" si="46"/>
        <v>0</v>
      </c>
      <c r="K566" s="89">
        <f t="shared" si="46"/>
        <v>0</v>
      </c>
      <c r="L566" s="89">
        <f t="shared" si="46"/>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7">SUM(G568:G570)</f>
        <v>0</v>
      </c>
      <c r="H571" s="193">
        <f t="shared" si="47"/>
        <v>0</v>
      </c>
      <c r="I571" s="193">
        <f t="shared" si="47"/>
        <v>0</v>
      </c>
      <c r="J571" s="193">
        <f t="shared" si="47"/>
        <v>0</v>
      </c>
      <c r="K571" s="193">
        <f t="shared" si="47"/>
        <v>0</v>
      </c>
      <c r="L571" s="193">
        <f t="shared" si="47"/>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8">G561+G566+G571</f>
        <v>0</v>
      </c>
      <c r="H572" s="89">
        <f t="shared" si="48"/>
        <v>0</v>
      </c>
      <c r="I572" s="89">
        <f t="shared" si="48"/>
        <v>0</v>
      </c>
      <c r="J572" s="89">
        <f t="shared" si="48"/>
        <v>0</v>
      </c>
      <c r="K572" s="89">
        <f t="shared" si="48"/>
        <v>0</v>
      </c>
      <c r="L572" s="89">
        <f t="shared" si="48"/>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694647.6</v>
      </c>
      <c r="I576" s="87">
        <f>SUM(F576:H576)</f>
        <v>694647.6</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9">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9"/>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9"/>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919.51</v>
      </c>
      <c r="I580" s="87">
        <f t="shared" si="49"/>
        <v>919.51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v>55810</v>
      </c>
      <c r="I581" s="87">
        <f t="shared" si="49"/>
        <v>55810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9"/>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9"/>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9"/>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9"/>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9"/>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9"/>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9"/>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73829.7</v>
      </c>
      <c r="I592" s="18"/>
      <c r="J592" s="18"/>
      <c r="K592" s="104">
        <f t="shared" ref="K592:K598" si="50">SUM(H592:J592)</f>
        <v>73829.7</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v>33450</v>
      </c>
      <c r="K593" s="104">
        <f t="shared" si="50"/>
        <v>33450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50"/>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50"/>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50"/>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50"/>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0"/>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73829.7</v>
      </c>
      <c r="I599" s="108">
        <f>SUM(I592:I598)</f>
        <v>0</v>
      </c>
      <c r="J599" s="108">
        <f>SUM(J592:J598)</f>
        <v>33450</v>
      </c>
      <c r="K599" s="108">
        <f>SUM(K592:K598)</f>
        <v>107279.7</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57681.28+79480.44</f>
        <v>137161.72</v>
      </c>
      <c r="I605" s="18"/>
      <c r="J605" s="18"/>
      <c r="K605" s="104">
        <f>SUM(H605:J605)</f>
        <v>137161.72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137161.72</v>
      </c>
      <c r="I606" s="108">
        <f>SUM(I603:I605)</f>
        <v>0</v>
      </c>
      <c r="J606" s="108">
        <f>SUM(J603:J605)</f>
        <v>0</v>
      </c>
      <c r="K606" s="108">
        <f>SUM(K603:K605)</f>
        <v>137161.72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1">SUM(F612:F614)</f>
        <v>0</v>
      </c>
      <c r="G615" s="108">
        <f t="shared" si="51"/>
        <v>0</v>
      </c>
      <c r="H615" s="108">
        <f t="shared" si="51"/>
        <v>0</v>
      </c>
      <c r="I615" s="108">
        <f t="shared" si="51"/>
        <v>0</v>
      </c>
      <c r="J615" s="108">
        <f t="shared" si="51"/>
        <v>0</v>
      </c>
      <c r="K615" s="108">
        <f t="shared" si="51"/>
        <v>0</v>
      </c>
      <c r="L615" s="89">
        <f t="shared" si="51"/>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408691.76</v>
      </c>
      <c r="H618" s="109">
        <f>SUM(F52)</f>
        <v>408691.76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-19638.250000000015</v>
      </c>
      <c r="H619" s="109">
        <f>SUM(G52)</f>
        <v>-19638.25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153890.04</v>
      </c>
      <c r="H620" s="109">
        <f>SUM(H52)</f>
        <v>153890.03999999998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53458.37</v>
      </c>
      <c r="H621" s="109">
        <f>SUM(I52)</f>
        <v>53458.37</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137719.66999999998</v>
      </c>
      <c r="H622" s="109">
        <f>SUM(J52)</f>
        <v>137719.66999999998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252623.26</v>
      </c>
      <c r="H623" s="109">
        <f>F477</f>
        <v>252623.25999999978</v>
      </c>
      <c r="I623" s="121" t="s">
        <v>101</v>
      </c>
      <c r="J623" s="109">
        <f t="shared" ref="J623:J656" si="52">G623-H623</f>
        <v>2.3283064365386963E-10</v>
      </c>
      <c r="K623" s="109"/>
      <c r="L623" s="109"/>
      <c r="M623" s="8"/>
    </row>
    <row r="624" spans="1:14" s="3" customFormat="1" ht="12.2" customHeight="1" x14ac:dyDescent="0.15">
      <c r="A624" s="97"/>
      <c r="B624" s="105"/>
      <c r="C624" s="119"/>
      <c r="D624" s="119"/>
      <c r="E624" s="119"/>
      <c r="F624" s="119" t="s">
        <v>866</v>
      </c>
      <c r="G624" s="109">
        <f>G51</f>
        <v>-19638.25</v>
      </c>
      <c r="H624" s="109">
        <f>G477</f>
        <v>-19638.25</v>
      </c>
      <c r="I624" s="121" t="s">
        <v>102</v>
      </c>
      <c r="J624" s="109">
        <f t="shared" si="52"/>
        <v>0</v>
      </c>
      <c r="K624" s="109"/>
      <c r="L624" s="109"/>
      <c r="M624" s="8"/>
    </row>
    <row r="625" spans="1:13" s="3" customFormat="1" ht="12.2" customHeight="1" x14ac:dyDescent="0.15">
      <c r="A625" s="97"/>
      <c r="B625" s="105"/>
      <c r="C625" s="105"/>
      <c r="D625" s="105"/>
      <c r="E625" s="105"/>
      <c r="F625" s="120" t="s">
        <v>867</v>
      </c>
      <c r="G625" s="109">
        <f>H51</f>
        <v>-16302.32</v>
      </c>
      <c r="H625" s="109">
        <f>H477</f>
        <v>-16302.320000000007</v>
      </c>
      <c r="I625" s="121" t="s">
        <v>103</v>
      </c>
      <c r="J625" s="109">
        <f t="shared" si="52"/>
        <v>0</v>
      </c>
      <c r="K625" s="109"/>
      <c r="L625" s="109"/>
      <c r="M625" s="8"/>
    </row>
    <row r="626" spans="1:13" s="3" customFormat="1" ht="12.2" customHeight="1" x14ac:dyDescent="0.15">
      <c r="A626" s="97"/>
      <c r="B626" s="105"/>
      <c r="C626" s="105"/>
      <c r="D626" s="105"/>
      <c r="E626" s="105"/>
      <c r="F626" s="120" t="s">
        <v>868</v>
      </c>
      <c r="G626" s="109">
        <f>I51</f>
        <v>12638.86</v>
      </c>
      <c r="H626" s="109">
        <f>I477</f>
        <v>12638.86</v>
      </c>
      <c r="I626" s="121" t="s">
        <v>104</v>
      </c>
      <c r="J626" s="109">
        <f t="shared" si="52"/>
        <v>0</v>
      </c>
      <c r="K626" s="109"/>
      <c r="L626" s="109"/>
      <c r="M626" s="8"/>
    </row>
    <row r="627" spans="1:13" s="3" customFormat="1" ht="12.2" customHeight="1" x14ac:dyDescent="0.15">
      <c r="A627" s="22"/>
      <c r="B627" s="105"/>
      <c r="C627" s="105"/>
      <c r="D627" s="105"/>
      <c r="E627" s="105"/>
      <c r="F627" s="120" t="s">
        <v>869</v>
      </c>
      <c r="G627" s="109">
        <f>J51</f>
        <v>137719.66999999998</v>
      </c>
      <c r="H627" s="109">
        <f>J477</f>
        <v>137719.66999999998</v>
      </c>
      <c r="I627" s="140" t="s">
        <v>105</v>
      </c>
      <c r="J627" s="109">
        <f t="shared" si="52"/>
        <v>0</v>
      </c>
      <c r="K627" s="85"/>
      <c r="L627" s="88"/>
      <c r="M627" s="8"/>
    </row>
    <row r="628" spans="1:13" s="3" customFormat="1" ht="12.2" customHeight="1" x14ac:dyDescent="0.15">
      <c r="A628" s="22"/>
      <c r="B628" s="105"/>
      <c r="C628" s="105"/>
      <c r="D628" s="105"/>
      <c r="E628" s="105"/>
      <c r="F628" s="120" t="s">
        <v>658</v>
      </c>
      <c r="G628" s="109">
        <f>F194</f>
        <v>3057429.9600000004</v>
      </c>
      <c r="H628" s="104">
        <f>SUM(F469)</f>
        <v>3057429.96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59283.86</v>
      </c>
      <c r="H629" s="104">
        <f>SUM(G469)</f>
        <v>59283.86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142081.65</v>
      </c>
      <c r="H630" s="104">
        <f>SUM(H469)</f>
        <v>142081.65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75335.83</v>
      </c>
      <c r="H632" s="104">
        <f>SUM(J469)</f>
        <v>75335.829999999987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3247750.2899999996</v>
      </c>
      <c r="H633" s="104">
        <f>SUM(F473)</f>
        <v>3247750.29</v>
      </c>
      <c r="I633" s="140" t="s">
        <v>111</v>
      </c>
      <c r="J633" s="109">
        <f t="shared" si="52"/>
        <v>0</v>
      </c>
      <c r="K633" s="85"/>
      <c r="L633" s="88"/>
      <c r="M633" s="8"/>
    </row>
    <row r="634" spans="1:13" s="3" customFormat="1" ht="12.2" customHeight="1" x14ac:dyDescent="0.15">
      <c r="A634" s="22"/>
      <c r="B634" s="105"/>
      <c r="C634" s="105"/>
      <c r="D634" s="105"/>
      <c r="E634" s="105"/>
      <c r="F634" s="120" t="s">
        <v>395</v>
      </c>
      <c r="G634" s="109">
        <f>SUM(L353)</f>
        <v>142081.65</v>
      </c>
      <c r="H634" s="104">
        <f>SUM(H473)</f>
        <v>142081.65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59283.86</v>
      </c>
      <c r="H636" s="104">
        <f>SUM(G473)</f>
        <v>59283.86</v>
      </c>
      <c r="I636" s="140" t="s">
        <v>114</v>
      </c>
      <c r="J636" s="109">
        <f t="shared" si="52"/>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2"/>
        <v>0</v>
      </c>
      <c r="K637" s="85"/>
      <c r="L637" s="88"/>
      <c r="M637" s="8"/>
    </row>
    <row r="638" spans="1:13" s="3" customFormat="1" ht="12.2" customHeight="1" x14ac:dyDescent="0.15">
      <c r="A638" s="161"/>
      <c r="B638" s="162"/>
      <c r="C638" s="162"/>
      <c r="D638" s="162"/>
      <c r="E638" s="162"/>
      <c r="F638" s="163" t="s">
        <v>477</v>
      </c>
      <c r="G638" s="151">
        <f>SUM(L409)</f>
        <v>75335.829999999987</v>
      </c>
      <c r="H638" s="164">
        <f>SUM(J469)</f>
        <v>75335.829999999987</v>
      </c>
      <c r="I638" s="165" t="s">
        <v>110</v>
      </c>
      <c r="J638" s="151">
        <f t="shared" si="52"/>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2"/>
        <v>0</v>
      </c>
      <c r="K639" s="166"/>
      <c r="L639" s="167"/>
      <c r="M639" s="8"/>
    </row>
    <row r="640" spans="1:13" s="3" customFormat="1" ht="12.2" customHeight="1" x14ac:dyDescent="0.15">
      <c r="A640" s="22"/>
      <c r="B640" s="105"/>
      <c r="C640" s="105"/>
      <c r="D640" s="105"/>
      <c r="E640" s="105"/>
      <c r="F640" s="120" t="s">
        <v>118</v>
      </c>
      <c r="G640" s="109">
        <f>SUM(F447)</f>
        <v>123806.53</v>
      </c>
      <c r="H640" s="104">
        <f>SUM(F462)</f>
        <v>123806.53</v>
      </c>
      <c r="I640" s="140" t="s">
        <v>841</v>
      </c>
      <c r="J640" s="109">
        <f t="shared" si="52"/>
        <v>0</v>
      </c>
      <c r="K640" s="85"/>
      <c r="L640" s="88"/>
      <c r="M640" s="8"/>
    </row>
    <row r="641" spans="1:13" s="3" customFormat="1" ht="12.2" customHeight="1" x14ac:dyDescent="0.15">
      <c r="A641" s="22"/>
      <c r="B641" s="105"/>
      <c r="C641" s="105"/>
      <c r="D641" s="105"/>
      <c r="E641" s="105"/>
      <c r="F641" s="120" t="s">
        <v>119</v>
      </c>
      <c r="G641" s="109">
        <f>SUM(G447)</f>
        <v>6857.7300000000005</v>
      </c>
      <c r="H641" s="104">
        <f>SUM(G462)</f>
        <v>6857.73</v>
      </c>
      <c r="I641" s="140" t="s">
        <v>842</v>
      </c>
      <c r="J641" s="109">
        <f t="shared" si="52"/>
        <v>0</v>
      </c>
      <c r="K641" s="85"/>
      <c r="L641" s="88"/>
      <c r="M641" s="8"/>
    </row>
    <row r="642" spans="1:13" s="3" customFormat="1" ht="12.2" customHeight="1" x14ac:dyDescent="0.15">
      <c r="A642" s="22"/>
      <c r="B642" s="105"/>
      <c r="C642" s="105"/>
      <c r="D642" s="105"/>
      <c r="E642" s="105"/>
      <c r="F642" s="120" t="s">
        <v>120</v>
      </c>
      <c r="G642" s="109">
        <f>SUM(H447)</f>
        <v>7055.41</v>
      </c>
      <c r="H642" s="104">
        <f>SUM(H462)</f>
        <v>7055.41</v>
      </c>
      <c r="I642" s="140" t="s">
        <v>843</v>
      </c>
      <c r="J642" s="109">
        <f t="shared" si="52"/>
        <v>0</v>
      </c>
      <c r="K642" s="85"/>
      <c r="L642" s="88"/>
      <c r="M642" s="8"/>
    </row>
    <row r="643" spans="1:13" s="3" customFormat="1" ht="12.2" customHeight="1" x14ac:dyDescent="0.15">
      <c r="A643" s="22"/>
      <c r="B643" s="105"/>
      <c r="C643" s="105"/>
      <c r="D643" s="105"/>
      <c r="E643" s="105"/>
      <c r="F643" s="120" t="s">
        <v>121</v>
      </c>
      <c r="G643" s="109">
        <f>SUM(I447)</f>
        <v>137719.66999999998</v>
      </c>
      <c r="H643" s="104">
        <f>SUM(I462)</f>
        <v>137719.66999999998</v>
      </c>
      <c r="I643" s="140" t="s">
        <v>844</v>
      </c>
      <c r="J643" s="109">
        <f t="shared" si="52"/>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2"/>
        <v>0</v>
      </c>
      <c r="K644" s="85"/>
      <c r="L644" s="88"/>
      <c r="M644" s="8"/>
    </row>
    <row r="645" spans="1:13" s="3" customFormat="1" ht="12.2" customHeight="1" x14ac:dyDescent="0.15">
      <c r="A645" s="22"/>
      <c r="B645" s="105"/>
      <c r="C645" s="105"/>
      <c r="D645" s="105"/>
      <c r="E645" s="105"/>
      <c r="F645" s="120" t="s">
        <v>663</v>
      </c>
      <c r="G645" s="109">
        <f>J96</f>
        <v>335.83</v>
      </c>
      <c r="H645" s="104">
        <f>H409</f>
        <v>335.83</v>
      </c>
      <c r="I645" s="140" t="s">
        <v>480</v>
      </c>
      <c r="J645" s="109">
        <f t="shared" si="52"/>
        <v>0</v>
      </c>
      <c r="K645" s="85"/>
      <c r="L645" s="88"/>
      <c r="M645" s="8"/>
    </row>
    <row r="646" spans="1:13" s="3" customFormat="1" ht="12.2" customHeight="1" x14ac:dyDescent="0.15">
      <c r="A646" s="22"/>
      <c r="B646" s="105"/>
      <c r="C646" s="105"/>
      <c r="D646" s="105"/>
      <c r="E646" s="105"/>
      <c r="F646" s="120" t="s">
        <v>664</v>
      </c>
      <c r="G646" s="109">
        <f>J184</f>
        <v>75000</v>
      </c>
      <c r="H646" s="104">
        <f>G409</f>
        <v>75000</v>
      </c>
      <c r="I646" s="140" t="s">
        <v>481</v>
      </c>
      <c r="J646" s="109">
        <f t="shared" si="52"/>
        <v>0</v>
      </c>
      <c r="K646" s="85"/>
      <c r="L646" s="88"/>
      <c r="M646" s="8"/>
    </row>
    <row r="647" spans="1:13" s="3" customFormat="1" ht="12.2" customHeight="1" x14ac:dyDescent="0.15">
      <c r="A647" s="22"/>
      <c r="B647" s="105"/>
      <c r="C647" s="105"/>
      <c r="D647" s="105"/>
      <c r="E647" s="105"/>
      <c r="F647" s="120" t="s">
        <v>662</v>
      </c>
      <c r="G647" s="109">
        <f>J194</f>
        <v>75335.83</v>
      </c>
      <c r="H647" s="104">
        <f>L409</f>
        <v>75335.829999999987</v>
      </c>
      <c r="I647" s="140" t="s">
        <v>477</v>
      </c>
      <c r="J647" s="109">
        <f t="shared" si="52"/>
        <v>0</v>
      </c>
      <c r="K647" s="85"/>
      <c r="L647" s="88"/>
      <c r="M647" s="8"/>
    </row>
    <row r="648" spans="1:13" s="3" customFormat="1" ht="12.2" customHeight="1" x14ac:dyDescent="0.15">
      <c r="A648" s="22"/>
      <c r="B648" s="105"/>
      <c r="C648" s="105"/>
      <c r="D648" s="105"/>
      <c r="E648" s="105"/>
      <c r="F648" s="120" t="s">
        <v>51</v>
      </c>
      <c r="G648" s="109">
        <f>K599</f>
        <v>107279.7</v>
      </c>
      <c r="H648" s="104">
        <f>L209+L227+L245</f>
        <v>107279.7</v>
      </c>
      <c r="I648" s="140" t="s">
        <v>396</v>
      </c>
      <c r="J648" s="109">
        <f t="shared" si="52"/>
        <v>0</v>
      </c>
      <c r="K648" s="85"/>
      <c r="L648" s="88"/>
      <c r="M648" s="8"/>
    </row>
    <row r="649" spans="1:13" s="3" customFormat="1" ht="12.2" customHeight="1" x14ac:dyDescent="0.15">
      <c r="A649" s="22"/>
      <c r="B649" s="105"/>
      <c r="C649" s="105"/>
      <c r="D649" s="105"/>
      <c r="E649" s="105"/>
      <c r="F649" s="120" t="s">
        <v>52</v>
      </c>
      <c r="G649" s="109">
        <f>K606</f>
        <v>137161.72</v>
      </c>
      <c r="H649" s="104">
        <f>(J258+J339)-(J256+J337)</f>
        <v>137161.72</v>
      </c>
      <c r="I649" s="140" t="s">
        <v>699</v>
      </c>
      <c r="J649" s="109">
        <f t="shared" si="52"/>
        <v>0</v>
      </c>
      <c r="K649" s="85"/>
      <c r="L649" s="88"/>
      <c r="M649" s="8"/>
    </row>
    <row r="650" spans="1:13" s="3" customFormat="1" ht="12.2" customHeight="1" x14ac:dyDescent="0.15">
      <c r="A650" s="22"/>
      <c r="B650" s="105"/>
      <c r="C650" s="105"/>
      <c r="D650" s="105"/>
      <c r="E650" s="105"/>
      <c r="F650" s="120" t="s">
        <v>387</v>
      </c>
      <c r="G650" s="109">
        <f>L209</f>
        <v>73829.7</v>
      </c>
      <c r="H650" s="104">
        <f>H599</f>
        <v>73829.7</v>
      </c>
      <c r="I650" s="140" t="s">
        <v>388</v>
      </c>
      <c r="J650" s="109">
        <f t="shared" si="52"/>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2"/>
        <v>0</v>
      </c>
      <c r="K651" s="85"/>
      <c r="L651" s="88"/>
      <c r="M651" s="8"/>
    </row>
    <row r="652" spans="1:13" s="3" customFormat="1" ht="12.2" customHeight="1" x14ac:dyDescent="0.15">
      <c r="A652" s="22"/>
      <c r="B652" s="105"/>
      <c r="C652" s="105"/>
      <c r="D652" s="105"/>
      <c r="E652" s="105"/>
      <c r="F652" s="120" t="s">
        <v>393</v>
      </c>
      <c r="G652" s="109">
        <f>L245</f>
        <v>33450</v>
      </c>
      <c r="H652" s="104">
        <f>J599</f>
        <v>33450</v>
      </c>
      <c r="I652" s="140" t="s">
        <v>390</v>
      </c>
      <c r="J652" s="109">
        <f t="shared" si="52"/>
        <v>0</v>
      </c>
      <c r="K652" s="85"/>
      <c r="L652" s="88"/>
      <c r="M652" s="8"/>
    </row>
    <row r="653" spans="1:13" s="3" customFormat="1" ht="12.2" customHeight="1" x14ac:dyDescent="0.15">
      <c r="A653" s="22"/>
      <c r="B653" s="105"/>
      <c r="C653" s="105"/>
      <c r="D653" s="105"/>
      <c r="E653" s="105"/>
      <c r="F653" s="120" t="s">
        <v>665</v>
      </c>
      <c r="G653" s="109">
        <f>G180</f>
        <v>390.83</v>
      </c>
      <c r="H653" s="104">
        <f>K264+K346</f>
        <v>390.83</v>
      </c>
      <c r="I653" s="140" t="s">
        <v>397</v>
      </c>
      <c r="J653" s="109">
        <f t="shared" si="52"/>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2"/>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2"/>
        <v>0</v>
      </c>
      <c r="K655" s="85"/>
      <c r="L655" s="88"/>
      <c r="M655" s="8"/>
    </row>
    <row r="656" spans="1:13" s="3" customFormat="1" ht="12.2" customHeight="1" x14ac:dyDescent="0.15">
      <c r="A656" s="22"/>
      <c r="B656" s="105"/>
      <c r="C656" s="105"/>
      <c r="D656" s="105"/>
      <c r="E656" s="105"/>
      <c r="F656" s="120" t="s">
        <v>668</v>
      </c>
      <c r="G656" s="109">
        <f>J180+J182</f>
        <v>75000</v>
      </c>
      <c r="H656" s="104">
        <f>K267+K348</f>
        <v>75000</v>
      </c>
      <c r="I656" s="140" t="s">
        <v>400</v>
      </c>
      <c r="J656" s="109">
        <f t="shared" si="52"/>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2004327.3299999998</v>
      </c>
      <c r="G661" s="19">
        <f>(L230+L310+L360)</f>
        <v>0</v>
      </c>
      <c r="H661" s="19">
        <f>(L248+L329+L361)</f>
        <v>790281.23</v>
      </c>
      <c r="I661" s="19">
        <f>SUM(F661:H661)</f>
        <v>2794608.5599999996</v>
      </c>
      <c r="J661" s="13"/>
      <c r="K661" s="13"/>
      <c r="L661" s="13"/>
      <c r="M661" s="9"/>
    </row>
    <row r="662" spans="1:13" s="3" customFormat="1" ht="12.2" customHeight="1" x14ac:dyDescent="0.2">
      <c r="A662" s="1" t="s">
        <v>127</v>
      </c>
      <c r="F662" s="19">
        <f>(L359/IF(SUM(L359:L361)=0,1,SUM(L359:L361))*(SUM(G97:G110)))</f>
        <v>865.95</v>
      </c>
      <c r="G662" s="19">
        <f>(L360/IF(SUM(L359:L361)=0,1,SUM(L359:L361))*(SUM(G97:G110)))</f>
        <v>0</v>
      </c>
      <c r="H662" s="19">
        <f>(L361/IF(SUM(L359:L361)=0,1,SUM(L359:L361))*(SUM(G97:G110)))</f>
        <v>0</v>
      </c>
      <c r="I662" s="19">
        <f>SUM(F662:H662)</f>
        <v>865.95</v>
      </c>
      <c r="J662"/>
      <c r="K662" s="13"/>
      <c r="L662" s="13"/>
      <c r="M662" s="8"/>
    </row>
    <row r="663" spans="1:13" s="3" customFormat="1" ht="12.2" customHeight="1" x14ac:dyDescent="0.2">
      <c r="A663" s="1" t="s">
        <v>128</v>
      </c>
      <c r="F663" s="19">
        <f>(L209+L288)-(J209+J288)</f>
        <v>37795.18</v>
      </c>
      <c r="G663" s="19">
        <f>(L227+L307)-(J227+J307)</f>
        <v>0</v>
      </c>
      <c r="H663" s="19">
        <f>(L245+L326)-(J245+J326)</f>
        <v>33450</v>
      </c>
      <c r="I663" s="19">
        <f>SUM(F663:H663)</f>
        <v>71245.179999999993</v>
      </c>
      <c r="J663"/>
      <c r="K663" s="13"/>
      <c r="L663" s="13"/>
      <c r="M663" s="9"/>
    </row>
    <row r="664" spans="1:13" s="3" customFormat="1" ht="12.2" customHeight="1" x14ac:dyDescent="0.15">
      <c r="A664" s="198" t="s">
        <v>129</v>
      </c>
      <c r="B664" s="169"/>
      <c r="C664" s="169"/>
      <c r="D664" s="169"/>
      <c r="E664" s="169"/>
      <c r="F664" s="199">
        <f>SUM(F576:F588)+SUM(H603:H605)+SUM(L612)</f>
        <v>137161.72</v>
      </c>
      <c r="G664" s="199">
        <f>SUM(G576:G588)+SUM(I603:I605)+L613</f>
        <v>0</v>
      </c>
      <c r="H664" s="199">
        <f>SUM(H576:H588)+SUM(J603:J605)+L614</f>
        <v>751377.11</v>
      </c>
      <c r="I664" s="19">
        <f>SUM(F664:H664)</f>
        <v>888538.83</v>
      </c>
      <c r="J664" s="13"/>
      <c r="K664" s="13"/>
      <c r="L664" s="13"/>
      <c r="M664" s="9"/>
    </row>
    <row r="665" spans="1:13" s="3" customFormat="1" ht="12.2" customHeight="1" x14ac:dyDescent="0.15">
      <c r="A665" s="1" t="s">
        <v>130</v>
      </c>
      <c r="F665" s="19">
        <f>F661-SUM(F662:F664)</f>
        <v>1828504.4799999997</v>
      </c>
      <c r="G665" s="19">
        <f>G661-SUM(G662:G664)</f>
        <v>0</v>
      </c>
      <c r="H665" s="19">
        <f>H661-SUM(H662:H664)</f>
        <v>5454.1199999999953</v>
      </c>
      <c r="I665" s="19">
        <f>I661-SUM(I662:I664)</f>
        <v>1833958.5999999996</v>
      </c>
      <c r="J665" s="13"/>
      <c r="K665" s="13"/>
      <c r="L665" s="13"/>
      <c r="M665" s="8"/>
    </row>
    <row r="666" spans="1:13" s="3" customFormat="1" ht="12.2" customHeight="1" x14ac:dyDescent="0.2">
      <c r="A666" s="1" t="s">
        <v>131</v>
      </c>
      <c r="F666" s="246">
        <v>84.62</v>
      </c>
      <c r="G666" s="247"/>
      <c r="H666" s="247"/>
      <c r="I666" s="19">
        <f>SUM(F666:H666)</f>
        <v>84.62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21608.42</v>
      </c>
      <c r="G668" s="19" t="e">
        <f>ROUND(G665/G666,2)</f>
        <v>#DIV/0!</v>
      </c>
      <c r="H668" s="19" t="e">
        <f>ROUND(H665/H666,2)</f>
        <v>#DIV/0!</v>
      </c>
      <c r="I668" s="19">
        <f>ROUND(I665/I666,2)</f>
        <v>21672.87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-5454.12</v>
      </c>
      <c r="I670" s="19">
        <f>SUM(F670:H670)</f>
        <v>-5454.12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21608.42</v>
      </c>
      <c r="G673" s="19" t="e">
        <f>ROUND((G665+G670)/(G666+G671),2)</f>
        <v>#DIV/0!</v>
      </c>
      <c r="H673" s="19" t="e">
        <f>ROUND((H665+H670)/(H666+H671),2)</f>
        <v>#DIV/0!</v>
      </c>
      <c r="I673" s="19">
        <f>ROUND((I665+I670)/(I666+I671),2)</f>
        <v>21608.42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JeCLAWo9UMNu4oTot2hbo+d1DzjcX/M0Z84LzV/8fRXnRuH0haU2wx/qzHcgFaodPIcs6gRy+Wpqa1Hsv3IehQ==" saltValue="kjTXSUFmOD899HLMZSNHqg==" spinCount="100000"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C35" sqref="C35"/>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31862.49</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27000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f>12993.49+472</f>
        <v>13465.49</v>
      </c>
      <c r="F22" s="348"/>
    </row>
    <row r="23" spans="2:8" x14ac:dyDescent="0.25">
      <c r="B23" s="348"/>
      <c r="C23" s="348"/>
      <c r="D23" s="348"/>
      <c r="E23" s="348"/>
      <c r="F23" s="348"/>
    </row>
    <row r="24" spans="2:8" ht="26.25" customHeight="1" x14ac:dyDescent="0.25">
      <c r="B24" s="348"/>
      <c r="C24" s="350" t="s">
        <v>1661</v>
      </c>
      <c r="D24" s="348"/>
      <c r="E24" s="343"/>
      <c r="F24" s="348"/>
    </row>
    <row r="25" spans="2:8" ht="18" x14ac:dyDescent="0.25">
      <c r="B25" s="348"/>
      <c r="C25" s="351"/>
      <c r="D25" s="348"/>
      <c r="E25" s="348"/>
      <c r="F25" s="348"/>
    </row>
    <row r="26" spans="2:8" ht="27.75" customHeight="1" x14ac:dyDescent="0.25">
      <c r="B26" s="348"/>
      <c r="C26" s="350" t="s">
        <v>1662</v>
      </c>
      <c r="D26" s="348"/>
      <c r="E26" s="343">
        <v>13465.49</v>
      </c>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f>18869+26528</f>
        <v>45397</v>
      </c>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Unity School District</v>
      </c>
      <c r="C5" s="364"/>
      <c r="D5" s="364"/>
      <c r="E5" s="364"/>
      <c r="F5" s="364"/>
    </row>
    <row r="8" spans="1:9" ht="18" x14ac:dyDescent="0.25">
      <c r="A8" s="319" t="s">
        <v>1576</v>
      </c>
      <c r="F8" s="326" t="s">
        <v>1594</v>
      </c>
    </row>
    <row r="9" spans="1:9" ht="15" x14ac:dyDescent="0.2">
      <c r="A9" s="317" t="s">
        <v>1577</v>
      </c>
      <c r="B9" s="320">
        <f>'DOE25'!G97</f>
        <v>865.95</v>
      </c>
      <c r="F9" s="317" t="s">
        <v>1590</v>
      </c>
    </row>
    <row r="10" spans="1:9" ht="15" x14ac:dyDescent="0.2">
      <c r="A10" s="317" t="s">
        <v>1578</v>
      </c>
      <c r="B10" s="320">
        <f>'DOE25'!G112-'DOE25'!G97</f>
        <v>0</v>
      </c>
      <c r="F10" s="317" t="s">
        <v>1591</v>
      </c>
    </row>
    <row r="11" spans="1:9" ht="15" x14ac:dyDescent="0.2">
      <c r="A11" s="317" t="s">
        <v>1579</v>
      </c>
      <c r="B11" s="320">
        <f>'DOE25'!G140</f>
        <v>806.19</v>
      </c>
      <c r="F11" s="317" t="s">
        <v>1592</v>
      </c>
    </row>
    <row r="12" spans="1:9" ht="15" x14ac:dyDescent="0.2">
      <c r="A12" s="317" t="s">
        <v>1580</v>
      </c>
      <c r="B12" s="320">
        <f>'DOE25'!G170</f>
        <v>57220.89</v>
      </c>
      <c r="F12" s="317" t="s">
        <v>1593</v>
      </c>
    </row>
    <row r="13" spans="1:9" ht="15" x14ac:dyDescent="0.2">
      <c r="A13" s="317" t="s">
        <v>1581</v>
      </c>
      <c r="B13" s="320">
        <f>'DOE25'!G193-'DOE25'!G180</f>
        <v>0</v>
      </c>
      <c r="F13" s="317" t="s">
        <v>1603</v>
      </c>
    </row>
    <row r="14" spans="1:9" ht="18" x14ac:dyDescent="0.25">
      <c r="A14" s="319" t="s">
        <v>732</v>
      </c>
      <c r="B14" s="321">
        <f>SUM(B9:B13)</f>
        <v>58893.03</v>
      </c>
    </row>
    <row r="16" spans="1:9" ht="18" x14ac:dyDescent="0.25">
      <c r="A16" s="319" t="s">
        <v>786</v>
      </c>
      <c r="F16" s="326" t="s">
        <v>1595</v>
      </c>
    </row>
    <row r="17" spans="1:6" ht="15" x14ac:dyDescent="0.2">
      <c r="A17" s="317" t="s">
        <v>1582</v>
      </c>
      <c r="B17" s="320">
        <f>'DOE25'!L363-'DOE25'!L362</f>
        <v>59283.86</v>
      </c>
      <c r="F17" s="317" t="s">
        <v>1596</v>
      </c>
    </row>
    <row r="18" spans="1:6" ht="15" x14ac:dyDescent="0.2">
      <c r="A18" s="317" t="s">
        <v>1583</v>
      </c>
      <c r="B18" s="330">
        <v>0</v>
      </c>
      <c r="F18" s="326" t="s">
        <v>1620</v>
      </c>
    </row>
    <row r="19" spans="1:6" ht="18" x14ac:dyDescent="0.25">
      <c r="A19" s="319" t="s">
        <v>725</v>
      </c>
      <c r="B19" s="321">
        <f>SUM(B17:B18)</f>
        <v>59283.86</v>
      </c>
    </row>
    <row r="21" spans="1:6" ht="18.75" thickBot="1" x14ac:dyDescent="0.3">
      <c r="A21" s="319" t="s">
        <v>1584</v>
      </c>
    </row>
    <row r="22" spans="1:6" ht="18.75" thickTop="1" x14ac:dyDescent="0.25">
      <c r="A22" s="319" t="s">
        <v>1585</v>
      </c>
      <c r="B22" s="325">
        <f>B14-B19</f>
        <v>-390.83000000000175</v>
      </c>
      <c r="F22" s="317" t="s">
        <v>1597</v>
      </c>
    </row>
    <row r="26" spans="1:6" ht="18" x14ac:dyDescent="0.25">
      <c r="A26" s="319" t="s">
        <v>186</v>
      </c>
    </row>
    <row r="27" spans="1:6" ht="15" x14ac:dyDescent="0.2">
      <c r="A27" s="317" t="s">
        <v>1586</v>
      </c>
      <c r="B27" s="320">
        <f>'DOE25'!G180</f>
        <v>390.83</v>
      </c>
      <c r="F27" s="317" t="s">
        <v>1598</v>
      </c>
    </row>
    <row r="28" spans="1:6" ht="15" x14ac:dyDescent="0.2">
      <c r="A28" s="317" t="s">
        <v>1588</v>
      </c>
      <c r="B28" s="320">
        <f>'DOE25'!L362</f>
        <v>0</v>
      </c>
      <c r="F28" s="317" t="s">
        <v>1599</v>
      </c>
    </row>
    <row r="31" spans="1:6" ht="15" x14ac:dyDescent="0.2">
      <c r="A31" s="317" t="s">
        <v>1628</v>
      </c>
      <c r="B31" s="320">
        <f>'DOE25'!G466</f>
        <v>-19638.25</v>
      </c>
      <c r="F31" s="317" t="s">
        <v>1600</v>
      </c>
    </row>
    <row r="33" spans="1:6" ht="15" x14ac:dyDescent="0.2">
      <c r="A33" s="317" t="s">
        <v>1629</v>
      </c>
      <c r="B33" s="320">
        <f>'DOE25'!G477</f>
        <v>-19638.25</v>
      </c>
      <c r="F33" s="317" t="s">
        <v>1601</v>
      </c>
    </row>
    <row r="36" spans="1:6" ht="15" x14ac:dyDescent="0.2">
      <c r="A36" s="317" t="s">
        <v>1587</v>
      </c>
      <c r="B36" s="331">
        <v>7346.27</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E46" sqref="E4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Unity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497218.07</v>
      </c>
      <c r="C9" s="229">
        <f>'DOE25'!G198+'DOE25'!G216+'DOE25'!G234+'DOE25'!G277+'DOE25'!G296+'DOE25'!G315</f>
        <v>252122.67</v>
      </c>
    </row>
    <row r="10" spans="1:3" x14ac:dyDescent="0.2">
      <c r="A10" t="s">
        <v>775</v>
      </c>
      <c r="B10" s="240">
        <f>467083.5+1949.38+28185.19</f>
        <v>497218.07</v>
      </c>
      <c r="C10" s="240">
        <f>122709.39+4620.17+1537.36+6399.66+27364.44+83266.66+124.9+744.65+408.68+1747.48+3148.28+5.33+45.67</f>
        <v>252122.66999999998</v>
      </c>
    </row>
    <row r="11" spans="1:3" x14ac:dyDescent="0.2">
      <c r="A11" t="s">
        <v>776</v>
      </c>
      <c r="B11" s="240"/>
      <c r="C11" s="240"/>
    </row>
    <row r="12" spans="1:3" x14ac:dyDescent="0.2">
      <c r="A12" t="s">
        <v>777</v>
      </c>
      <c r="B12" s="240">
        <v>0</v>
      </c>
      <c r="C12" s="240"/>
    </row>
    <row r="13" spans="1:3" x14ac:dyDescent="0.2">
      <c r="A13" t="str">
        <f>IF(B9=B13,IF(C9=C13,"Check Total OK","Check Total Error"),"Check Total Error")</f>
        <v>Check Total OK</v>
      </c>
      <c r="B13" s="231">
        <f>SUM(B10:B12)</f>
        <v>497218.07</v>
      </c>
      <c r="C13" s="231">
        <f>SUM(C10:C12)</f>
        <v>252122.66999999998</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187341.4</v>
      </c>
      <c r="C18" s="229">
        <f>'DOE25'!G199+'DOE25'!G217+'DOE25'!G235+'DOE25'!G278+'DOE25'!G297+'DOE25'!G316</f>
        <v>79828.31</v>
      </c>
    </row>
    <row r="19" spans="1:3" x14ac:dyDescent="0.2">
      <c r="A19" t="s">
        <v>775</v>
      </c>
      <c r="B19" s="240">
        <f>40760.53+15677.5+18017.47</f>
        <v>74455.5</v>
      </c>
      <c r="C19" s="240">
        <v>31726</v>
      </c>
    </row>
    <row r="20" spans="1:3" x14ac:dyDescent="0.2">
      <c r="A20" t="s">
        <v>776</v>
      </c>
      <c r="B20" s="240">
        <v>112885.9</v>
      </c>
      <c r="C20" s="240">
        <v>48102.31</v>
      </c>
    </row>
    <row r="21" spans="1:3" x14ac:dyDescent="0.2">
      <c r="A21" t="s">
        <v>777</v>
      </c>
      <c r="B21" s="240"/>
      <c r="C21" s="240"/>
    </row>
    <row r="22" spans="1:3" x14ac:dyDescent="0.2">
      <c r="A22" t="str">
        <f>IF(B18=B22,IF(C18=C22,"Check Total OK","Check Total Error"),"Check Total Error")</f>
        <v>Check Total OK</v>
      </c>
      <c r="B22" s="231">
        <f>SUM(B19:B21)</f>
        <v>187341.4</v>
      </c>
      <c r="C22" s="231">
        <f>SUM(C19:C21)</f>
        <v>79828.31</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1800</v>
      </c>
      <c r="C36" s="235">
        <f>'DOE25'!G201+'DOE25'!G219+'DOE25'!G237+'DOE25'!G280+'DOE25'!G299+'DOE25'!G318</f>
        <v>280.20999999999998</v>
      </c>
    </row>
    <row r="37" spans="1:3" x14ac:dyDescent="0.2">
      <c r="A37" t="s">
        <v>775</v>
      </c>
      <c r="B37" s="240"/>
      <c r="C37" s="240"/>
    </row>
    <row r="38" spans="1:3" x14ac:dyDescent="0.2">
      <c r="A38" t="s">
        <v>776</v>
      </c>
      <c r="B38" s="240"/>
      <c r="C38" s="240"/>
    </row>
    <row r="39" spans="1:3" x14ac:dyDescent="0.2">
      <c r="A39" t="s">
        <v>777</v>
      </c>
      <c r="B39" s="240">
        <v>1800</v>
      </c>
      <c r="C39" s="240">
        <v>280.20999999999998</v>
      </c>
    </row>
    <row r="40" spans="1:3" x14ac:dyDescent="0.2">
      <c r="A40" t="str">
        <f>IF(B36=B40,IF(C36=C40,"Check Total OK","Check Total Error"),"Check Total Error")</f>
        <v>Check Total OK</v>
      </c>
      <c r="B40" s="231">
        <f>SUM(B37:B39)</f>
        <v>1800</v>
      </c>
      <c r="C40" s="231">
        <f>SUM(C37:C39)</f>
        <v>280.20999999999998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Unity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1781992.53</v>
      </c>
      <c r="D5" s="20">
        <f>SUM('DOE25'!L198:L201)+SUM('DOE25'!L216:L219)+SUM('DOE25'!L234:L237)-F5-G5-H5</f>
        <v>1781303.66</v>
      </c>
      <c r="E5" s="243"/>
      <c r="F5" s="244"/>
      <c r="G5" s="53">
        <f>SUM('DOE25'!J198:J201)+SUM('DOE25'!J216:J219)+SUM('DOE25'!J234:J237)</f>
        <v>688.87</v>
      </c>
      <c r="H5" s="53">
        <f>SUM('DOE25'!K198:K201)+SUM('DOE25'!K216:K219)+SUM('DOE25'!K234:K237)</f>
        <v>0</v>
      </c>
      <c r="I5" s="256"/>
    </row>
    <row r="6" spans="1:9" x14ac:dyDescent="0.2">
      <c r="A6" s="32">
        <v>2100</v>
      </c>
      <c r="B6" t="s">
        <v>796</v>
      </c>
      <c r="C6" s="275">
        <f t="shared" si="0"/>
        <v>41076.15</v>
      </c>
      <c r="D6" s="20">
        <f>'DOE25'!L203+'DOE25'!L221+'DOE25'!L239-F6-G6-H6</f>
        <v>41076.15</v>
      </c>
      <c r="E6" s="243"/>
      <c r="F6" s="244"/>
      <c r="G6" s="53">
        <f>'DOE25'!J203+'DOE25'!J221+'DOE25'!J239</f>
        <v>0</v>
      </c>
      <c r="H6" s="53">
        <f>'DOE25'!K203+'DOE25'!K221+'DOE25'!K239</f>
        <v>0</v>
      </c>
      <c r="I6" s="256"/>
    </row>
    <row r="7" spans="1:9" x14ac:dyDescent="0.2">
      <c r="A7" s="32">
        <v>2200</v>
      </c>
      <c r="B7" t="s">
        <v>821</v>
      </c>
      <c r="C7" s="275">
        <f t="shared" si="0"/>
        <v>92591.49</v>
      </c>
      <c r="D7" s="20">
        <f>'DOE25'!L204+'DOE25'!L222+'DOE25'!L240-F7-G7-H7</f>
        <v>78584.350000000006</v>
      </c>
      <c r="E7" s="243"/>
      <c r="F7" s="244"/>
      <c r="G7" s="53">
        <f>'DOE25'!J204+'DOE25'!J222+'DOE25'!J240</f>
        <v>14007.14</v>
      </c>
      <c r="H7" s="53">
        <f>'DOE25'!K204+'DOE25'!K222+'DOE25'!K240</f>
        <v>0</v>
      </c>
      <c r="I7" s="256"/>
    </row>
    <row r="8" spans="1:9" x14ac:dyDescent="0.2">
      <c r="A8" s="32">
        <v>2300</v>
      </c>
      <c r="B8" t="s">
        <v>797</v>
      </c>
      <c r="C8" s="275">
        <f t="shared" si="0"/>
        <v>150995.04999999999</v>
      </c>
      <c r="D8" s="243"/>
      <c r="E8" s="20">
        <f>'DOE25'!L205+'DOE25'!L223+'DOE25'!L241-F8-G8-H8-D9-D11</f>
        <v>150690.04999999999</v>
      </c>
      <c r="F8" s="244"/>
      <c r="G8" s="53">
        <f>'DOE25'!J205+'DOE25'!J223+'DOE25'!J241</f>
        <v>0</v>
      </c>
      <c r="H8" s="53">
        <f>'DOE25'!K205+'DOE25'!K223+'DOE25'!K241</f>
        <v>305</v>
      </c>
      <c r="I8" s="256"/>
    </row>
    <row r="9" spans="1:9" ht="14.25" x14ac:dyDescent="0.2">
      <c r="A9" s="32">
        <v>2310</v>
      </c>
      <c r="B9" s="185" t="s">
        <v>888</v>
      </c>
      <c r="C9" s="275">
        <f t="shared" si="0"/>
        <v>11699.51</v>
      </c>
      <c r="D9" s="244">
        <f>1125+1452+2500+58.37+249.54+55.85+0.16+1.35+1856+3025.4+1070.84+305</f>
        <v>11699.51</v>
      </c>
      <c r="E9" s="243"/>
      <c r="F9" s="253"/>
      <c r="G9" s="253"/>
      <c r="H9" s="253"/>
      <c r="I9" s="256"/>
    </row>
    <row r="10" spans="1:9" ht="14.25" x14ac:dyDescent="0.2">
      <c r="A10" s="32">
        <v>2317</v>
      </c>
      <c r="B10" s="185" t="s">
        <v>889</v>
      </c>
      <c r="C10" s="275">
        <f t="shared" si="0"/>
        <v>11000</v>
      </c>
      <c r="D10" s="243"/>
      <c r="E10" s="244">
        <v>11000</v>
      </c>
      <c r="F10" s="253"/>
      <c r="G10" s="253"/>
      <c r="H10" s="253"/>
      <c r="I10" s="256"/>
    </row>
    <row r="11" spans="1:9" ht="14.25" x14ac:dyDescent="0.2">
      <c r="A11" s="32">
        <v>2321</v>
      </c>
      <c r="B11" s="185" t="s">
        <v>890</v>
      </c>
      <c r="C11" s="275">
        <f t="shared" si="0"/>
        <v>51916.77</v>
      </c>
      <c r="D11" s="244">
        <v>51916.77</v>
      </c>
      <c r="E11" s="243"/>
      <c r="F11" s="253"/>
      <c r="G11" s="253"/>
      <c r="H11" s="253"/>
      <c r="I11" s="256"/>
    </row>
    <row r="12" spans="1:9" x14ac:dyDescent="0.2">
      <c r="A12" s="32">
        <v>2400</v>
      </c>
      <c r="B12" t="s">
        <v>711</v>
      </c>
      <c r="C12" s="275">
        <f t="shared" si="0"/>
        <v>165303.66999999998</v>
      </c>
      <c r="D12" s="20">
        <f>'DOE25'!L206+'DOE25'!L224+'DOE25'!L242-F12-G12-H12</f>
        <v>160682.57999999999</v>
      </c>
      <c r="E12" s="243"/>
      <c r="F12" s="244"/>
      <c r="G12" s="53">
        <f>'DOE25'!J206+'DOE25'!J224+'DOE25'!J242</f>
        <v>1839</v>
      </c>
      <c r="H12" s="53">
        <f>'DOE25'!K206+'DOE25'!K224+'DOE25'!K242</f>
        <v>2782.09</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190388.18</v>
      </c>
      <c r="D14" s="20">
        <f>'DOE25'!L208+'DOE25'!L226+'DOE25'!L244-F14-G14-H14</f>
        <v>185276.43</v>
      </c>
      <c r="E14" s="243"/>
      <c r="F14" s="244"/>
      <c r="G14" s="53">
        <f>'DOE25'!J208+'DOE25'!J226+'DOE25'!J244</f>
        <v>5111.75</v>
      </c>
      <c r="H14" s="53">
        <f>'DOE25'!K208+'DOE25'!K226+'DOE25'!K244</f>
        <v>0</v>
      </c>
      <c r="I14" s="256"/>
    </row>
    <row r="15" spans="1:9" x14ac:dyDescent="0.2">
      <c r="A15" s="32">
        <v>2700</v>
      </c>
      <c r="B15" t="s">
        <v>799</v>
      </c>
      <c r="C15" s="275">
        <f t="shared" si="0"/>
        <v>107279.69999999998</v>
      </c>
      <c r="D15" s="20">
        <f>'DOE25'!L209+'DOE25'!L227+'DOE25'!L245-F15-G15-H15</f>
        <v>71245.179999999993</v>
      </c>
      <c r="E15" s="243"/>
      <c r="F15" s="244"/>
      <c r="G15" s="53">
        <f>'DOE25'!J209+'DOE25'!J227+'DOE25'!J245</f>
        <v>36034.519999999997</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579116.40999999992</v>
      </c>
      <c r="D25" s="243"/>
      <c r="E25" s="243"/>
      <c r="F25" s="255"/>
      <c r="G25" s="253"/>
      <c r="H25" s="253"/>
      <c r="I25" s="254">
        <f>'DOE25'!L261+'DOE25'!L262+'DOE25'!L342+'DOE25'!L343</f>
        <v>579116.40999999992</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59283.86</v>
      </c>
      <c r="D29" s="283">
        <f>'DOE25'!L359+'DOE25'!L360+'DOE25'!L361-'DOE25'!I368-F29-G29-H29</f>
        <v>0</v>
      </c>
      <c r="E29" s="243"/>
      <c r="F29" s="244">
        <v>59283.86</v>
      </c>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142081.65</v>
      </c>
      <c r="D31" s="20">
        <f>'DOE25'!L291+'DOE25'!L310+'DOE25'!L329+'DOE25'!L334+'DOE25'!L335+'DOE25'!L336-F31-G31-H31</f>
        <v>62601.209999999992</v>
      </c>
      <c r="E31" s="243"/>
      <c r="F31" s="244"/>
      <c r="G31" s="53">
        <f>'DOE25'!J291+'DOE25'!J310+'DOE25'!J329+'DOE25'!J334+'DOE25'!J335+'DOE25'!J336</f>
        <v>79480.44</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2444385.8400000003</v>
      </c>
      <c r="E33" s="245">
        <f t="shared" si="1"/>
        <v>161690.04999999999</v>
      </c>
      <c r="F33" s="245">
        <f t="shared" si="1"/>
        <v>59283.86</v>
      </c>
      <c r="G33" s="245">
        <f t="shared" si="1"/>
        <v>137161.72</v>
      </c>
      <c r="H33" s="245">
        <f t="shared" si="1"/>
        <v>3087.09</v>
      </c>
      <c r="I33" s="245">
        <f t="shared" si="1"/>
        <v>579116.40999999992</v>
      </c>
    </row>
    <row r="35" spans="1:9" ht="12" thickBot="1" x14ac:dyDescent="0.25">
      <c r="B35" s="251" t="s">
        <v>831</v>
      </c>
      <c r="D35" s="252">
        <f>E33</f>
        <v>161690.04999999999</v>
      </c>
      <c r="E35" s="248"/>
      <c r="F35" s="335" t="s">
        <v>1632</v>
      </c>
      <c r="G35" s="336"/>
      <c r="H35" s="336"/>
      <c r="I35" s="336"/>
    </row>
    <row r="36" spans="1:9" ht="12" thickTop="1" x14ac:dyDescent="0.2">
      <c r="B36" t="s">
        <v>810</v>
      </c>
      <c r="D36" s="20">
        <f>D33</f>
        <v>2444385.8400000003</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K31" sqref="K3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Unity School District</v>
      </c>
      <c r="B2" s="126">
        <f>'DOE25'!B2</f>
        <v>539</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1945043.47</v>
      </c>
      <c r="G4" s="302">
        <f>'DOE25'!L212+'DOE25'!L291</f>
        <v>1945043.4699999997</v>
      </c>
      <c r="H4" s="355">
        <f>F4-G4</f>
        <v>0</v>
      </c>
      <c r="I4" s="372" t="str">
        <f>IF(H4=0,"","ISSUES!! Please review page 7 and 11 totals in comparison with total on this page")</f>
        <v/>
      </c>
      <c r="N4"/>
    </row>
    <row r="5" spans="1:18" x14ac:dyDescent="0.2">
      <c r="A5" s="21" t="s">
        <v>1455</v>
      </c>
      <c r="B5" s="303">
        <f>IFERROR(VLOOKUP(A5,'School Tables'!$C$3:$D$365,2,FALSE),"")</f>
        <v>20180</v>
      </c>
      <c r="C5" s="296" t="str">
        <f>IFERROR(INDEX('School Tables'!$B$3:$B$365,MATCH('School Level Expenditures'!B5,'School Tables'!$D$3:$D$365,0)),"")</f>
        <v>Unity</v>
      </c>
      <c r="D5" s="293">
        <v>1802961.82</v>
      </c>
      <c r="E5" s="293">
        <v>142081.65</v>
      </c>
      <c r="F5" s="306">
        <f>D5+E5</f>
        <v>1945043.47</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1802961.82</v>
      </c>
      <c r="E21" s="353">
        <f>SUM(E5:E20)</f>
        <v>142081.65</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790281.23</v>
      </c>
      <c r="G36" s="302">
        <f>'DOE25'!L248+'DOE25'!L329</f>
        <v>790281.23</v>
      </c>
      <c r="H36" s="355">
        <f>IF(AND(D43='DOE25'!L248,'School Level Expenditures'!E43='DOE25'!L329),'School Level Expenditures'!F36-'School Level Expenditures'!G36,"Does not match page 7 or 11 totals!!")</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790281.23</v>
      </c>
      <c r="E37" s="293"/>
      <c r="F37" s="306">
        <f t="shared" ref="F37:F42" si="2">D37+E37</f>
        <v>790281.23</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790281.23</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23" activePane="bottomLeft" state="frozen"/>
      <selection activeCell="F46" sqref="F46"/>
      <selection pane="bottomLeft" activeCell="I72" sqref="I7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Unity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162067.70000000001</v>
      </c>
      <c r="D8" s="95">
        <f>'DOE25'!G9</f>
        <v>0</v>
      </c>
      <c r="E8" s="95">
        <f>'DOE25'!H9</f>
        <v>0</v>
      </c>
      <c r="F8" s="95">
        <f>'DOE25'!I9</f>
        <v>53458.37</v>
      </c>
      <c r="G8" s="95">
        <f>'DOE25'!J9</f>
        <v>137719.66999999998</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3512.81</v>
      </c>
      <c r="D11" s="95">
        <f>'DOE25'!G12</f>
        <v>-113493.35</v>
      </c>
      <c r="E11" s="95">
        <f>'DOE25'!H12</f>
        <v>0</v>
      </c>
      <c r="F11" s="95">
        <f>'DOE25'!I12</f>
        <v>0</v>
      </c>
      <c r="G11" s="95">
        <f>'DOE25'!J12</f>
        <v>0</v>
      </c>
      <c r="H11" s="124"/>
      <c r="I11" s="124"/>
    </row>
    <row r="12" spans="1:9" x14ac:dyDescent="0.2">
      <c r="A12" s="1" t="s">
        <v>143</v>
      </c>
      <c r="B12" s="6">
        <v>140</v>
      </c>
      <c r="C12" s="95">
        <f>'DOE25'!F13</f>
        <v>201148.35</v>
      </c>
      <c r="D12" s="95">
        <f>'DOE25'!G13</f>
        <v>92656.43</v>
      </c>
      <c r="E12" s="95">
        <f>'DOE25'!H13</f>
        <v>153890.04</v>
      </c>
      <c r="F12" s="95">
        <f>'DOE25'!I13</f>
        <v>0</v>
      </c>
      <c r="G12" s="95">
        <f>'DOE25'!J13</f>
        <v>0</v>
      </c>
      <c r="H12" s="124"/>
      <c r="I12" s="124"/>
    </row>
    <row r="13" spans="1:9" x14ac:dyDescent="0.2">
      <c r="A13" s="1" t="s">
        <v>144</v>
      </c>
      <c r="B13" s="6">
        <v>150</v>
      </c>
      <c r="C13" s="95">
        <f>'DOE25'!F14</f>
        <v>40585.380000000005</v>
      </c>
      <c r="D13" s="95">
        <f>'DOE25'!G14</f>
        <v>1198.67</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1377.52</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408691.76</v>
      </c>
      <c r="D18" s="41">
        <f>SUM(D8:D17)</f>
        <v>-19638.250000000015</v>
      </c>
      <c r="E18" s="41">
        <f>SUM(E8:E17)</f>
        <v>153890.04</v>
      </c>
      <c r="F18" s="41">
        <f>SUM(F8:F17)</f>
        <v>53458.37</v>
      </c>
      <c r="G18" s="41">
        <f>SUM(G8:G17)</f>
        <v>137719.66999999998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2071.04</v>
      </c>
      <c r="D21" s="95">
        <f>'DOE25'!G22</f>
        <v>0</v>
      </c>
      <c r="E21" s="95">
        <f>'DOE25'!H22</f>
        <v>130645.04</v>
      </c>
      <c r="F21" s="95">
        <f>'DOE25'!I22</f>
        <v>39137.26</v>
      </c>
      <c r="G21" s="95">
        <f>'DOE25'!J22</f>
        <v>0</v>
      </c>
      <c r="H21" s="124"/>
      <c r="I21" s="124"/>
    </row>
    <row r="22" spans="1:9" x14ac:dyDescent="0.2">
      <c r="A22" s="1" t="s">
        <v>151</v>
      </c>
      <c r="B22" s="6">
        <v>410</v>
      </c>
      <c r="C22" s="95">
        <f>'DOE25'!F23</f>
        <v>0</v>
      </c>
      <c r="D22" s="95">
        <f>'DOE25'!G23</f>
        <v>0</v>
      </c>
      <c r="E22" s="95">
        <f>'DOE25'!H23</f>
        <v>4029.22</v>
      </c>
      <c r="F22" s="95">
        <f>'DOE25'!I23</f>
        <v>0</v>
      </c>
      <c r="G22" s="95">
        <f>'DOE25'!J23</f>
        <v>0</v>
      </c>
      <c r="H22" s="124"/>
      <c r="I22" s="124"/>
    </row>
    <row r="23" spans="1:9" x14ac:dyDescent="0.2">
      <c r="A23" s="1" t="s">
        <v>152</v>
      </c>
      <c r="B23" s="6">
        <v>420</v>
      </c>
      <c r="C23" s="95">
        <f>'DOE25'!F24</f>
        <v>97996.28</v>
      </c>
      <c r="D23" s="95">
        <f>'DOE25'!G24</f>
        <v>0</v>
      </c>
      <c r="E23" s="95">
        <f>'DOE25'!H24</f>
        <v>35518.100000000006</v>
      </c>
      <c r="F23" s="95">
        <f>'DOE25'!I24</f>
        <v>1682.25</v>
      </c>
      <c r="G23" s="95">
        <f>'DOE25'!J24</f>
        <v>0</v>
      </c>
      <c r="H23" s="124"/>
      <c r="I23" s="124"/>
    </row>
    <row r="24" spans="1:9" x14ac:dyDescent="0.2">
      <c r="A24" s="1" t="s">
        <v>153</v>
      </c>
      <c r="B24" s="6">
        <v>430</v>
      </c>
      <c r="C24" s="95">
        <f>'DOE25'!F25</f>
        <v>45728.580000000009</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10272.6</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156068.5</v>
      </c>
      <c r="D31" s="41">
        <f>SUM(D21:D30)</f>
        <v>0</v>
      </c>
      <c r="E31" s="41">
        <f>SUM(E21:E30)</f>
        <v>170192.36</v>
      </c>
      <c r="F31" s="41">
        <f>SUM(F21:F30)</f>
        <v>40819.51</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49918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-19638.25</v>
      </c>
      <c r="E47" s="95">
        <f>'DOE25'!H48</f>
        <v>-16302.32</v>
      </c>
      <c r="F47" s="95">
        <f>'DOE25'!I48</f>
        <v>12638.86</v>
      </c>
      <c r="G47" s="95">
        <f>'DOE25'!J48</f>
        <v>137719.66999999998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52705.26</v>
      </c>
      <c r="D49" s="24" t="s">
        <v>288</v>
      </c>
      <c r="E49" s="24" t="s">
        <v>288</v>
      </c>
      <c r="F49" s="24" t="s">
        <v>288</v>
      </c>
      <c r="G49" s="24" t="s">
        <v>288</v>
      </c>
      <c r="H49" s="124"/>
      <c r="I49" s="124"/>
    </row>
    <row r="50" spans="1:9" ht="12.75" thickTop="1" thickBot="1" x14ac:dyDescent="0.25">
      <c r="A50" s="38" t="s">
        <v>884</v>
      </c>
      <c r="B50" s="48"/>
      <c r="C50" s="41">
        <f>SUM(C34:C49)</f>
        <v>252623.26</v>
      </c>
      <c r="D50" s="41">
        <f>SUM(D34:D49)</f>
        <v>-19638.25</v>
      </c>
      <c r="E50" s="41">
        <f>SUM(E34:E49)</f>
        <v>-16302.32</v>
      </c>
      <c r="F50" s="41">
        <f>SUM(F34:F49)</f>
        <v>12638.86</v>
      </c>
      <c r="G50" s="41">
        <f>SUM(G34:G49)</f>
        <v>137719.66999999998</v>
      </c>
      <c r="H50" s="124"/>
      <c r="I50" s="124"/>
    </row>
    <row r="51" spans="1:9" ht="12" thickTop="1" x14ac:dyDescent="0.2">
      <c r="A51" s="38" t="s">
        <v>885</v>
      </c>
      <c r="B51" s="2"/>
      <c r="C51" s="41">
        <f>C50+C31</f>
        <v>408691.76</v>
      </c>
      <c r="D51" s="41">
        <f>D50+D31</f>
        <v>-19638.25</v>
      </c>
      <c r="E51" s="41">
        <f>E50+E31</f>
        <v>153890.03999999998</v>
      </c>
      <c r="F51" s="41">
        <f>F50+F31</f>
        <v>53458.37</v>
      </c>
      <c r="G51" s="41">
        <f>G50+G31</f>
        <v>137719.66999999998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1733457</v>
      </c>
      <c r="D56" s="95">
        <f>'DOE25'!G60</f>
        <v>0</v>
      </c>
      <c r="E56" s="95">
        <f>'DOE25'!H60</f>
        <v>0</v>
      </c>
      <c r="F56" s="95">
        <f>'DOE25'!I60</f>
        <v>0</v>
      </c>
      <c r="G56" s="95">
        <f>'DOE25'!J60</f>
        <v>0</v>
      </c>
      <c r="H56"/>
      <c r="I56"/>
    </row>
    <row r="57" spans="1:9" x14ac:dyDescent="0.2">
      <c r="A57" s="1" t="s">
        <v>164</v>
      </c>
      <c r="B57" s="6" t="s">
        <v>165</v>
      </c>
      <c r="C57" s="95">
        <f>'DOE25'!F79</f>
        <v>28200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1101.71</v>
      </c>
      <c r="D59" s="95">
        <f>'DOE25'!G96</f>
        <v>0</v>
      </c>
      <c r="E59" s="95">
        <f>'DOE25'!H96</f>
        <v>0</v>
      </c>
      <c r="F59" s="95">
        <f>'DOE25'!I96</f>
        <v>0</v>
      </c>
      <c r="G59" s="95">
        <f>'DOE25'!J96</f>
        <v>335.83</v>
      </c>
      <c r="H59"/>
      <c r="I59"/>
    </row>
    <row r="60" spans="1:9" x14ac:dyDescent="0.2">
      <c r="A60" s="1" t="s">
        <v>170</v>
      </c>
      <c r="B60" s="118" t="s">
        <v>171</v>
      </c>
      <c r="C60" s="24" t="s">
        <v>288</v>
      </c>
      <c r="D60" s="95">
        <f>'DOE25'!G97</f>
        <v>865.95</v>
      </c>
      <c r="E60" s="24" t="s">
        <v>288</v>
      </c>
      <c r="F60" s="24" t="s">
        <v>288</v>
      </c>
      <c r="G60" s="24" t="s">
        <v>288</v>
      </c>
      <c r="H60"/>
      <c r="I60"/>
    </row>
    <row r="61" spans="1:9" ht="12" thickBot="1" x14ac:dyDescent="0.25">
      <c r="A61" s="1" t="s">
        <v>172</v>
      </c>
      <c r="B61" s="118" t="s">
        <v>173</v>
      </c>
      <c r="C61" s="95">
        <f>SUM('DOE25'!F98:F110)</f>
        <v>28929.64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58231.35</v>
      </c>
      <c r="D62" s="130">
        <f>SUM(D57:D61)</f>
        <v>865.95</v>
      </c>
      <c r="E62" s="130">
        <f>SUM(E57:E61)</f>
        <v>0</v>
      </c>
      <c r="F62" s="130">
        <f>SUM(F57:F61)</f>
        <v>0</v>
      </c>
      <c r="G62" s="130">
        <f>SUM(G57:G61)</f>
        <v>335.83</v>
      </c>
      <c r="H62"/>
      <c r="I62"/>
    </row>
    <row r="63" spans="1:9" ht="12" thickTop="1" x14ac:dyDescent="0.2">
      <c r="A63" s="29" t="s">
        <v>175</v>
      </c>
      <c r="B63" s="6"/>
      <c r="C63" s="22">
        <f>C56+C62</f>
        <v>1791688.35</v>
      </c>
      <c r="D63" s="22">
        <f>D56+D62</f>
        <v>865.95</v>
      </c>
      <c r="E63" s="22">
        <f>E56+E62</f>
        <v>0</v>
      </c>
      <c r="F63" s="22">
        <f>F56+F62</f>
        <v>0</v>
      </c>
      <c r="G63" s="22">
        <f>G56+G62</f>
        <v>335.83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828402.54</v>
      </c>
      <c r="D66" s="24" t="s">
        <v>288</v>
      </c>
      <c r="E66" s="24" t="s">
        <v>288</v>
      </c>
      <c r="F66" s="24" t="s">
        <v>288</v>
      </c>
      <c r="G66" s="24" t="s">
        <v>288</v>
      </c>
      <c r="H66"/>
      <c r="I66"/>
    </row>
    <row r="67" spans="1:9" x14ac:dyDescent="0.2">
      <c r="A67" s="1" t="s">
        <v>770</v>
      </c>
      <c r="B67" s="6">
        <v>3112</v>
      </c>
      <c r="C67" s="95">
        <f>'DOE25'!F118</f>
        <v>263248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1091650.54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152006.96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1405.62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806.19</v>
      </c>
      <c r="E77" s="95">
        <f>SUM('DOE25'!H131:H135)</f>
        <v>0</v>
      </c>
      <c r="F77" s="95">
        <f>SUM('DOE25'!I131:I135)</f>
        <v>0</v>
      </c>
      <c r="G77" s="95">
        <f>SUM('DOE25'!J131:J135)</f>
        <v>0</v>
      </c>
      <c r="H77"/>
      <c r="I77"/>
    </row>
    <row r="78" spans="1:9" ht="12.75" thickTop="1" thickBot="1" x14ac:dyDescent="0.25">
      <c r="A78" s="29" t="s">
        <v>259</v>
      </c>
      <c r="B78" s="6"/>
      <c r="C78" s="130">
        <f>SUM(C72:C77)</f>
        <v>153412.57999999999</v>
      </c>
      <c r="D78" s="130">
        <f>SUM(D72:D77)</f>
        <v>806.19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1245063.1200000001</v>
      </c>
      <c r="D81" s="130">
        <f>SUM(D79:D80)+D78+D70</f>
        <v>806.19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20678.490000000002</v>
      </c>
      <c r="D88" s="333">
        <f>SUM('DOE25'!G153:G162)</f>
        <v>57220.89</v>
      </c>
      <c r="E88" s="333">
        <f>SUM('DOE25'!H153:H162)</f>
        <v>142081.65</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20678.490000000002</v>
      </c>
      <c r="D91" s="131">
        <f>SUM(D85:D90)</f>
        <v>57220.89</v>
      </c>
      <c r="E91" s="131">
        <f>SUM(E85:E90)</f>
        <v>142081.65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390.83</v>
      </c>
      <c r="E96" s="95">
        <f>'DOE25'!H180</f>
        <v>0</v>
      </c>
      <c r="F96" s="95">
        <f>'DOE25'!I180</f>
        <v>0</v>
      </c>
      <c r="G96" s="95">
        <f>'DOE25'!J180</f>
        <v>75000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390.83</v>
      </c>
      <c r="E103" s="86">
        <f>SUM(E93:E102)</f>
        <v>0</v>
      </c>
      <c r="F103" s="86">
        <f>SUM(F93:F102)</f>
        <v>0</v>
      </c>
      <c r="G103" s="86">
        <f>SUM(G93:G102)</f>
        <v>75000</v>
      </c>
    </row>
    <row r="104" spans="1:7" ht="12.75" thickTop="1" thickBot="1" x14ac:dyDescent="0.25">
      <c r="A104" s="33" t="s">
        <v>761</v>
      </c>
      <c r="C104" s="86">
        <f>C63+C81+C91+C103</f>
        <v>3057429.9600000004</v>
      </c>
      <c r="D104" s="86">
        <f>D63+D81+D91+D103</f>
        <v>59283.86</v>
      </c>
      <c r="E104" s="86">
        <f>E63+E81+E91+E103</f>
        <v>142081.65</v>
      </c>
      <c r="F104" s="86">
        <f>F63+F81+F91+F103</f>
        <v>0</v>
      </c>
      <c r="G104" s="86">
        <f>G63+G81+G103</f>
        <v>75335.83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1449747.88</v>
      </c>
      <c r="D109" s="24" t="s">
        <v>288</v>
      </c>
      <c r="E109" s="95">
        <f>('DOE25'!L277)+('DOE25'!L296)+('DOE25'!L315)</f>
        <v>54675.63</v>
      </c>
      <c r="F109" s="24" t="s">
        <v>288</v>
      </c>
      <c r="G109" s="24" t="s">
        <v>288</v>
      </c>
    </row>
    <row r="110" spans="1:7" x14ac:dyDescent="0.2">
      <c r="A110" t="s">
        <v>198</v>
      </c>
      <c r="B110" s="32" t="s">
        <v>199</v>
      </c>
      <c r="C110" s="95">
        <f>('DOE25'!L199)+('DOE25'!L217)+('DOE25'!L235)</f>
        <v>330164.44</v>
      </c>
      <c r="D110" s="24" t="s">
        <v>288</v>
      </c>
      <c r="E110" s="95">
        <f>('DOE25'!L278)+('DOE25'!L297)+('DOE25'!L316)</f>
        <v>28543.53</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2080.21</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1781992.5299999998</v>
      </c>
      <c r="D115" s="86">
        <f>SUM(D109:D114)</f>
        <v>0</v>
      </c>
      <c r="E115" s="86">
        <f>SUM(E109:E114)</f>
        <v>83219.16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41076.15</v>
      </c>
      <c r="D118" s="24" t="s">
        <v>288</v>
      </c>
      <c r="E118" s="95">
        <f>+('DOE25'!L282)+('DOE25'!L301)+('DOE25'!L320)</f>
        <v>12948.27</v>
      </c>
      <c r="F118" s="24" t="s">
        <v>288</v>
      </c>
      <c r="G118" s="24" t="s">
        <v>288</v>
      </c>
    </row>
    <row r="119" spans="1:7" x14ac:dyDescent="0.2">
      <c r="A119" t="s">
        <v>208</v>
      </c>
      <c r="B119" s="32" t="s">
        <v>209</v>
      </c>
      <c r="C119" s="95">
        <f>('DOE25'!L204)+('DOE25'!L222)+('DOE25'!L240)</f>
        <v>92591.49</v>
      </c>
      <c r="D119" s="24" t="s">
        <v>288</v>
      </c>
      <c r="E119" s="95">
        <f>+('DOE25'!L283)+('DOE25'!L302)+('DOE25'!L321)</f>
        <v>45397.17</v>
      </c>
      <c r="F119" s="24" t="s">
        <v>288</v>
      </c>
      <c r="G119" s="24" t="s">
        <v>288</v>
      </c>
    </row>
    <row r="120" spans="1:7" x14ac:dyDescent="0.2">
      <c r="A120" t="s">
        <v>210</v>
      </c>
      <c r="B120" s="32" t="s">
        <v>211</v>
      </c>
      <c r="C120" s="95">
        <f>('DOE25'!L205)+('DOE25'!L223)+('DOE25'!L241)</f>
        <v>214611.33</v>
      </c>
      <c r="D120" s="24" t="s">
        <v>288</v>
      </c>
      <c r="E120" s="95">
        <f>+('DOE25'!L284)+('DOE25'!L303)+('DOE25'!L322)</f>
        <v>0</v>
      </c>
      <c r="F120" s="24" t="s">
        <v>288</v>
      </c>
      <c r="G120" s="24" t="s">
        <v>288</v>
      </c>
    </row>
    <row r="121" spans="1:7" x14ac:dyDescent="0.2">
      <c r="A121" t="s">
        <v>212</v>
      </c>
      <c r="B121" s="32" t="s">
        <v>213</v>
      </c>
      <c r="C121" s="95">
        <f>('DOE25'!L206)+('DOE25'!L224)+('DOE25'!L242)</f>
        <v>165303.66999999998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190388.18</v>
      </c>
      <c r="D123" s="24" t="s">
        <v>288</v>
      </c>
      <c r="E123" s="95">
        <f>+('DOE25'!L287)+('DOE25'!L306)+('DOE25'!L325)</f>
        <v>517.04999999999995</v>
      </c>
      <c r="F123" s="24" t="s">
        <v>288</v>
      </c>
      <c r="G123" s="24" t="s">
        <v>288</v>
      </c>
    </row>
    <row r="124" spans="1:7" x14ac:dyDescent="0.2">
      <c r="A124" t="s">
        <v>218</v>
      </c>
      <c r="B124" s="32" t="s">
        <v>219</v>
      </c>
      <c r="C124" s="95">
        <f>('DOE25'!L209)+('DOE25'!L227)+('DOE25'!L245+'DOE25'!L255)</f>
        <v>107279.7</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59283.86</v>
      </c>
      <c r="E127" s="24" t="s">
        <v>288</v>
      </c>
      <c r="F127" s="24" t="s">
        <v>288</v>
      </c>
      <c r="G127" s="24" t="s">
        <v>288</v>
      </c>
    </row>
    <row r="128" spans="1:7" ht="12.75" thickTop="1" thickBot="1" x14ac:dyDescent="0.25">
      <c r="A128" s="33" t="s">
        <v>226</v>
      </c>
      <c r="C128" s="86">
        <f>SUM(C118:C127)</f>
        <v>811250.5199999999</v>
      </c>
      <c r="D128" s="86">
        <f>SUM(D118:D127)</f>
        <v>59283.86</v>
      </c>
      <c r="E128" s="86">
        <f>SUM(E118:E127)</f>
        <v>58862.490000000005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401775.42</v>
      </c>
      <c r="D131" s="24" t="s">
        <v>288</v>
      </c>
      <c r="E131" s="129">
        <f>'DOE25'!L342</f>
        <v>0</v>
      </c>
      <c r="F131" s="24" t="s">
        <v>288</v>
      </c>
      <c r="G131" s="24" t="s">
        <v>288</v>
      </c>
    </row>
    <row r="132" spans="1:7" x14ac:dyDescent="0.2">
      <c r="A132" t="s">
        <v>230</v>
      </c>
      <c r="B132" s="32">
        <v>5120</v>
      </c>
      <c r="C132" s="95">
        <f>'DOE25'!L262</f>
        <v>177340.99</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390.83</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25199.879999999997</v>
      </c>
      <c r="D138" s="24" t="s">
        <v>288</v>
      </c>
      <c r="E138" s="24" t="s">
        <v>288</v>
      </c>
      <c r="F138" s="24" t="s">
        <v>288</v>
      </c>
      <c r="G138" s="24" t="s">
        <v>288</v>
      </c>
    </row>
    <row r="139" spans="1:7" x14ac:dyDescent="0.2">
      <c r="A139" t="s">
        <v>239</v>
      </c>
      <c r="B139" s="32">
        <v>5252</v>
      </c>
      <c r="C139" s="95">
        <f>'DOE25'!L402</f>
        <v>50135.95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-335.82999999998719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654507.23999999987</v>
      </c>
      <c r="D144" s="141">
        <f>SUM(D130:D143)</f>
        <v>0</v>
      </c>
      <c r="E144" s="141">
        <f>SUM(E130:E143)</f>
        <v>0</v>
      </c>
      <c r="F144" s="141">
        <f>SUM(F130:F143)</f>
        <v>0</v>
      </c>
      <c r="G144" s="141">
        <f>SUM(G130:G143)</f>
        <v>0</v>
      </c>
    </row>
    <row r="145" spans="1:9" ht="12.75" thickTop="1" thickBot="1" x14ac:dyDescent="0.25">
      <c r="A145" s="33" t="s">
        <v>244</v>
      </c>
      <c r="C145" s="86">
        <f>(C115+C128+C144)</f>
        <v>3247750.2899999996</v>
      </c>
      <c r="D145" s="86">
        <f>(D115+D128+D144)</f>
        <v>59283.86</v>
      </c>
      <c r="E145" s="86">
        <f>(E115+E128+E144)</f>
        <v>142081.65000000002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20</v>
      </c>
      <c r="E151" s="153">
        <f>'DOE25'!I491</f>
        <v>20</v>
      </c>
      <c r="F151" s="153">
        <f>'DOE25'!J491</f>
        <v>0</v>
      </c>
      <c r="G151" s="24" t="s">
        <v>288</v>
      </c>
    </row>
    <row r="152" spans="1:9" x14ac:dyDescent="0.2">
      <c r="A152" s="136" t="s">
        <v>28</v>
      </c>
      <c r="B152" s="152" t="str">
        <f>'DOE25'!F492</f>
        <v>7-12</v>
      </c>
      <c r="C152" s="152" t="str">
        <f>'DOE25'!G492</f>
        <v>7-13</v>
      </c>
      <c r="D152" s="152">
        <f>'DOE25'!H492</f>
        <v>1</v>
      </c>
      <c r="E152" s="152">
        <f>'DOE25'!I492</f>
        <v>1</v>
      </c>
      <c r="F152" s="152">
        <f>'DOE25'!J492</f>
        <v>0</v>
      </c>
      <c r="G152" s="24" t="s">
        <v>288</v>
      </c>
    </row>
    <row r="153" spans="1:9" x14ac:dyDescent="0.2">
      <c r="A153" s="136" t="s">
        <v>29</v>
      </c>
      <c r="B153" s="152" t="str">
        <f>'DOE25'!F493</f>
        <v>8-32</v>
      </c>
      <c r="C153" s="152" t="str">
        <f>'DOE25'!G493</f>
        <v>7-33</v>
      </c>
      <c r="D153" s="152">
        <f>'DOE25'!H493</f>
        <v>0</v>
      </c>
      <c r="E153" s="152">
        <f>'DOE25'!I493</f>
        <v>0</v>
      </c>
      <c r="F153" s="152">
        <f>'DOE25'!J493</f>
        <v>0</v>
      </c>
      <c r="G153" s="24" t="s">
        <v>288</v>
      </c>
    </row>
    <row r="154" spans="1:9" x14ac:dyDescent="0.2">
      <c r="A154" s="136" t="s">
        <v>30</v>
      </c>
      <c r="B154" s="137">
        <f>'DOE25'!F494</f>
        <v>4571850</v>
      </c>
      <c r="C154" s="137">
        <f>'DOE25'!G494</f>
        <v>550000</v>
      </c>
      <c r="D154" s="137">
        <f>'DOE25'!H494</f>
        <v>738629</v>
      </c>
      <c r="E154" s="137">
        <f>'DOE25'!I494</f>
        <v>1840000</v>
      </c>
      <c r="F154" s="137">
        <f>'DOE25'!J494</f>
        <v>0</v>
      </c>
      <c r="G154" s="24" t="s">
        <v>288</v>
      </c>
    </row>
    <row r="155" spans="1:9" x14ac:dyDescent="0.2">
      <c r="A155" s="136" t="s">
        <v>31</v>
      </c>
      <c r="B155" s="137">
        <f>'DOE25'!F495</f>
        <v>3.2</v>
      </c>
      <c r="C155" s="137">
        <f>'DOE25'!G495</f>
        <v>3.25</v>
      </c>
      <c r="D155" s="137">
        <f>'DOE25'!H495</f>
        <v>3.25</v>
      </c>
      <c r="E155" s="137">
        <f>'DOE25'!I495</f>
        <v>3.25</v>
      </c>
      <c r="F155" s="137">
        <f>'DOE25'!J495</f>
        <v>0</v>
      </c>
      <c r="G155" s="24" t="s">
        <v>288</v>
      </c>
    </row>
    <row r="156" spans="1:9" x14ac:dyDescent="0.2">
      <c r="A156" s="22" t="s">
        <v>32</v>
      </c>
      <c r="B156" s="137">
        <f>'DOE25'!F496</f>
        <v>2730000</v>
      </c>
      <c r="C156" s="137">
        <f>'DOE25'!G496</f>
        <v>357500</v>
      </c>
      <c r="D156" s="137">
        <f>'DOE25'!H496</f>
        <v>315522.18</v>
      </c>
      <c r="E156" s="137">
        <f>'DOE25'!I496</f>
        <v>1270000</v>
      </c>
      <c r="F156" s="137">
        <f>'DOE25'!J496</f>
        <v>0</v>
      </c>
      <c r="G156" s="138">
        <f>SUM(B156:F156)</f>
        <v>4673022.18</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230000</v>
      </c>
      <c r="C158" s="137">
        <f>'DOE25'!G498</f>
        <v>27500</v>
      </c>
      <c r="D158" s="137">
        <f>'DOE25'!H498</f>
        <v>36931.449999999997</v>
      </c>
      <c r="E158" s="137">
        <f>'DOE25'!I498</f>
        <v>95000</v>
      </c>
      <c r="F158" s="137">
        <f>'DOE25'!J498</f>
        <v>0</v>
      </c>
      <c r="G158" s="138">
        <f t="shared" si="0"/>
        <v>389431.45</v>
      </c>
    </row>
    <row r="159" spans="1:9" x14ac:dyDescent="0.2">
      <c r="A159" s="22" t="s">
        <v>35</v>
      </c>
      <c r="B159" s="137">
        <f>'DOE25'!F499</f>
        <v>2500000</v>
      </c>
      <c r="C159" s="137">
        <f>'DOE25'!G499</f>
        <v>330000</v>
      </c>
      <c r="D159" s="137">
        <f>'DOE25'!H499</f>
        <v>278590.73</v>
      </c>
      <c r="E159" s="137">
        <f>'DOE25'!I499</f>
        <v>1175000</v>
      </c>
      <c r="F159" s="137">
        <f>'DOE25'!J499</f>
        <v>0</v>
      </c>
      <c r="G159" s="138">
        <f t="shared" si="0"/>
        <v>4283590.7300000004</v>
      </c>
    </row>
    <row r="160" spans="1:9" x14ac:dyDescent="0.2">
      <c r="A160" s="22" t="s">
        <v>36</v>
      </c>
      <c r="B160" s="137">
        <f>'DOE25'!F500</f>
        <v>403866.22</v>
      </c>
      <c r="C160" s="137">
        <f>'DOE25'!G500</f>
        <v>75518.210000000006</v>
      </c>
      <c r="D160" s="137">
        <f>'DOE25'!H500</f>
        <v>45344.12</v>
      </c>
      <c r="E160" s="137">
        <f>'DOE25'!I500</f>
        <v>360330</v>
      </c>
      <c r="F160" s="137">
        <f>'DOE25'!J500</f>
        <v>0</v>
      </c>
      <c r="G160" s="138">
        <f t="shared" si="0"/>
        <v>885058.55</v>
      </c>
    </row>
    <row r="161" spans="1:7" x14ac:dyDescent="0.2">
      <c r="A161" s="22" t="s">
        <v>37</v>
      </c>
      <c r="B161" s="137">
        <f>'DOE25'!F501</f>
        <v>2903866.2199999997</v>
      </c>
      <c r="C161" s="137">
        <f>'DOE25'!G501</f>
        <v>405518.21</v>
      </c>
      <c r="D161" s="137">
        <f>'DOE25'!H501</f>
        <v>323934.84999999998</v>
      </c>
      <c r="E161" s="137">
        <f>'DOE25'!I501</f>
        <v>1535330</v>
      </c>
      <c r="F161" s="137">
        <f>'DOE25'!J501</f>
        <v>0</v>
      </c>
      <c r="G161" s="138">
        <f t="shared" si="0"/>
        <v>5168649.2799999993</v>
      </c>
    </row>
    <row r="162" spans="1:7" x14ac:dyDescent="0.2">
      <c r="A162" s="22" t="s">
        <v>38</v>
      </c>
      <c r="B162" s="137">
        <f>'DOE25'!F502</f>
        <v>230000</v>
      </c>
      <c r="C162" s="137">
        <f>'DOE25'!G502</f>
        <v>44728.32</v>
      </c>
      <c r="D162" s="137">
        <f>'DOE25'!H502</f>
        <v>36931.449999999997</v>
      </c>
      <c r="E162" s="137">
        <f>'DOE25'!I502</f>
        <v>95000</v>
      </c>
      <c r="F162" s="137">
        <f>'DOE25'!J502</f>
        <v>0</v>
      </c>
      <c r="G162" s="138">
        <f t="shared" si="0"/>
        <v>406659.77</v>
      </c>
    </row>
    <row r="163" spans="1:7" x14ac:dyDescent="0.2">
      <c r="A163" s="22" t="s">
        <v>39</v>
      </c>
      <c r="B163" s="137">
        <f>'DOE25'!F503</f>
        <v>94868.76</v>
      </c>
      <c r="C163" s="137">
        <f>'DOE25'!G503</f>
        <v>10271.68</v>
      </c>
      <c r="D163" s="137">
        <f>'DOE25'!H503</f>
        <v>9953.09</v>
      </c>
      <c r="E163" s="137">
        <f>'DOE25'!I503</f>
        <v>51547.5</v>
      </c>
      <c r="F163" s="137">
        <f>'DOE25'!J503</f>
        <v>0</v>
      </c>
      <c r="G163" s="138">
        <f t="shared" si="0"/>
        <v>166641.03</v>
      </c>
    </row>
    <row r="164" spans="1:7" x14ac:dyDescent="0.2">
      <c r="A164" s="22" t="s">
        <v>246</v>
      </c>
      <c r="B164" s="137">
        <f>'DOE25'!F504</f>
        <v>324868.76</v>
      </c>
      <c r="C164" s="137">
        <f>'DOE25'!G504</f>
        <v>55000</v>
      </c>
      <c r="D164" s="137">
        <f>'DOE25'!H504</f>
        <v>46884.539999999994</v>
      </c>
      <c r="E164" s="137">
        <f>'DOE25'!I504</f>
        <v>146547.5</v>
      </c>
      <c r="F164" s="137">
        <f>'DOE25'!J504</f>
        <v>0</v>
      </c>
      <c r="G164" s="138">
        <f t="shared" si="0"/>
        <v>573300.80000000005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Unity School District</v>
      </c>
    </row>
    <row r="3" spans="1:4" x14ac:dyDescent="0.2">
      <c r="B3" s="188" t="s">
        <v>1666</v>
      </c>
    </row>
    <row r="4" spans="1:4" x14ac:dyDescent="0.2">
      <c r="B4" t="s">
        <v>61</v>
      </c>
      <c r="C4" s="179">
        <f>IF('DOE25'!F666+'DOE25'!F671=0,0,ROUND('DOE25'!F673,0))</f>
        <v>21608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21608</v>
      </c>
    </row>
    <row r="9" spans="1:4" x14ac:dyDescent="0.2">
      <c r="A9" s="187" t="s">
        <v>94</v>
      </c>
      <c r="B9" s="188" t="s">
        <v>1671</v>
      </c>
      <c r="C9" s="181" t="s">
        <v>720</v>
      </c>
      <c r="D9" s="181" t="s">
        <v>721</v>
      </c>
    </row>
    <row r="10" spans="1:4" x14ac:dyDescent="0.2">
      <c r="A10">
        <v>1100</v>
      </c>
      <c r="B10" t="s">
        <v>702</v>
      </c>
      <c r="C10" s="179">
        <f>ROUND('DOE25'!L198+'DOE25'!L216+'DOE25'!L234+'DOE25'!L277+'DOE25'!L296+'DOE25'!L315,0)</f>
        <v>1504424</v>
      </c>
      <c r="D10" s="182">
        <f>ROUND((C10/$C$28)*100,1)</f>
        <v>50.6</v>
      </c>
    </row>
    <row r="11" spans="1:4" x14ac:dyDescent="0.2">
      <c r="A11">
        <v>1200</v>
      </c>
      <c r="B11" t="s">
        <v>703</v>
      </c>
      <c r="C11" s="179">
        <f>ROUND('DOE25'!L199+'DOE25'!L217+'DOE25'!L235+'DOE25'!L278+'DOE25'!L297+'DOE25'!L316,0)</f>
        <v>358708</v>
      </c>
      <c r="D11" s="182">
        <f>ROUND((C11/$C$28)*100,1)</f>
        <v>12.1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2080</v>
      </c>
      <c r="D13" s="182">
        <f>ROUND((C13/$C$28)*100,1)</f>
        <v>0.1</v>
      </c>
    </row>
    <row r="14" spans="1:4" x14ac:dyDescent="0.2">
      <c r="D14" s="182"/>
    </row>
    <row r="15" spans="1:4" x14ac:dyDescent="0.2">
      <c r="A15">
        <v>2100</v>
      </c>
      <c r="B15" t="s">
        <v>706</v>
      </c>
      <c r="C15" s="179">
        <f>ROUND('DOE25'!L203+'DOE25'!L221+'DOE25'!L239+'DOE25'!L282+'DOE25'!L301+'DOE25'!L320,0)</f>
        <v>54024</v>
      </c>
      <c r="D15" s="182">
        <f t="shared" ref="D15:D27" si="0">ROUND((C15/$C$28)*100,1)</f>
        <v>1.8</v>
      </c>
    </row>
    <row r="16" spans="1:4" x14ac:dyDescent="0.2">
      <c r="A16">
        <v>2200</v>
      </c>
      <c r="B16" t="s">
        <v>707</v>
      </c>
      <c r="C16" s="179">
        <f>ROUND('DOE25'!L204+'DOE25'!L222+'DOE25'!L240+'DOE25'!L283+'DOE25'!L302+'DOE25'!L321,0)</f>
        <v>137989</v>
      </c>
      <c r="D16" s="182">
        <f t="shared" si="0"/>
        <v>4.5999999999999996</v>
      </c>
    </row>
    <row r="17" spans="1:4" x14ac:dyDescent="0.2">
      <c r="A17" s="183" t="s">
        <v>723</v>
      </c>
      <c r="B17" t="s">
        <v>738</v>
      </c>
      <c r="C17" s="179">
        <f>ROUND('DOE25'!L205+'DOE25'!L210+'DOE25'!L223+'DOE25'!L228+'DOE25'!L241+'DOE25'!L246+'DOE25'!L284+'DOE25'!L289+'DOE25'!L303+'DOE25'!L308+'DOE25'!L322+'DOE25'!L327,0)</f>
        <v>214611</v>
      </c>
      <c r="D17" s="182">
        <f t="shared" si="0"/>
        <v>7.2</v>
      </c>
    </row>
    <row r="18" spans="1:4" x14ac:dyDescent="0.2">
      <c r="A18">
        <v>2400</v>
      </c>
      <c r="B18" t="s">
        <v>711</v>
      </c>
      <c r="C18" s="179">
        <f>ROUND('DOE25'!L206+'DOE25'!L224+'DOE25'!L242+'DOE25'!L285+'DOE25'!L304+'DOE25'!L323,0)</f>
        <v>165304</v>
      </c>
      <c r="D18" s="182">
        <f t="shared" si="0"/>
        <v>5.6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190905</v>
      </c>
      <c r="D20" s="182">
        <f t="shared" si="0"/>
        <v>6.4</v>
      </c>
    </row>
    <row r="21" spans="1:4" x14ac:dyDescent="0.2">
      <c r="A21">
        <v>2700</v>
      </c>
      <c r="B21" t="s">
        <v>710</v>
      </c>
      <c r="C21" s="179">
        <f>ROUND('DOE25'!L209+'DOE25'!L227+'DOE25'!L245+'DOE25'!L288+'DOE25'!L307+'DOE25'!L326,0)</f>
        <v>107280</v>
      </c>
      <c r="D21" s="182">
        <f t="shared" si="0"/>
        <v>3.6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177341</v>
      </c>
      <c r="D25" s="182">
        <f t="shared" si="0"/>
        <v>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58418.05</v>
      </c>
      <c r="D27" s="182">
        <f t="shared" si="0"/>
        <v>2</v>
      </c>
    </row>
    <row r="28" spans="1:4" x14ac:dyDescent="0.2">
      <c r="B28" s="187" t="s">
        <v>719</v>
      </c>
      <c r="C28" s="180">
        <f>SUM(C10:C27)</f>
        <v>2971084.05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2971084.05</v>
      </c>
    </row>
    <row r="31" spans="1:4" x14ac:dyDescent="0.2">
      <c r="B31" s="33"/>
      <c r="C31" s="180"/>
    </row>
    <row r="32" spans="1:4" x14ac:dyDescent="0.2">
      <c r="A32">
        <v>5100</v>
      </c>
      <c r="B32" s="33" t="s">
        <v>726</v>
      </c>
      <c r="C32" s="180">
        <f>ROUND('DOE25'!L261+'DOE25'!L342,0)</f>
        <v>401775</v>
      </c>
    </row>
    <row r="34" spans="1:4" x14ac:dyDescent="0.2">
      <c r="A34" s="187" t="s">
        <v>94</v>
      </c>
      <c r="B34" s="188" t="s">
        <v>1667</v>
      </c>
      <c r="C34" s="181" t="s">
        <v>720</v>
      </c>
      <c r="D34" s="181" t="s">
        <v>721</v>
      </c>
    </row>
    <row r="35" spans="1:4" x14ac:dyDescent="0.2">
      <c r="A35">
        <v>1100</v>
      </c>
      <c r="B35" s="185" t="s">
        <v>727</v>
      </c>
      <c r="C35" s="179">
        <f>ROUND('DOE25'!F60+'DOE25'!G60+'DOE25'!H60+'DOE25'!I60+'DOE25'!J60,0)</f>
        <v>1733457</v>
      </c>
      <c r="D35" s="182">
        <f t="shared" ref="D35:D40" si="1">ROUND((C35/$C$41)*100,1)</f>
        <v>53.2</v>
      </c>
    </row>
    <row r="36" spans="1:4" x14ac:dyDescent="0.2">
      <c r="B36" s="185" t="s">
        <v>739</v>
      </c>
      <c r="C36" s="179">
        <f>SUM('DOE25'!F112:J112)-SUM('DOE25'!G97:G110)+('DOE25'!F175+'DOE25'!F176+'DOE25'!I175+'DOE25'!I176)-C35</f>
        <v>58567.180000000168</v>
      </c>
      <c r="D36" s="182">
        <f t="shared" si="1"/>
        <v>1.8</v>
      </c>
    </row>
    <row r="37" spans="1:4" x14ac:dyDescent="0.2">
      <c r="A37" s="183" t="s">
        <v>835</v>
      </c>
      <c r="B37" s="185" t="s">
        <v>728</v>
      </c>
      <c r="C37" s="179">
        <f>ROUND('DOE25'!F117+'DOE25'!F118,0)</f>
        <v>1091651</v>
      </c>
      <c r="D37" s="182">
        <f t="shared" si="1"/>
        <v>33.5</v>
      </c>
    </row>
    <row r="38" spans="1:4" x14ac:dyDescent="0.2">
      <c r="A38" s="183" t="s">
        <v>734</v>
      </c>
      <c r="B38" s="185" t="s">
        <v>729</v>
      </c>
      <c r="C38" s="179">
        <f>ROUND(SUM('DOE25'!F140:J140)-SUM('DOE25'!F117:F119),0)</f>
        <v>154219</v>
      </c>
      <c r="D38" s="182">
        <f t="shared" si="1"/>
        <v>4.7</v>
      </c>
    </row>
    <row r="39" spans="1:4" x14ac:dyDescent="0.2">
      <c r="A39">
        <v>4000</v>
      </c>
      <c r="B39" s="185" t="s">
        <v>730</v>
      </c>
      <c r="C39" s="179">
        <f>ROUND('DOE25'!F170+'DOE25'!G170+'DOE25'!H170+'DOE25'!I170,0)</f>
        <v>219981</v>
      </c>
      <c r="D39" s="182">
        <f t="shared" si="1"/>
        <v>6.8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3257875.18</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Unity School District</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2021-05-05T12:20:34Z</cp:lastPrinted>
  <dcterms:created xsi:type="dcterms:W3CDTF">1997-12-04T19:04:30Z</dcterms:created>
  <dcterms:modified xsi:type="dcterms:W3CDTF">2021-12-27T15:17:14Z</dcterms:modified>
</cp:coreProperties>
</file>