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19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H24" i="14" s="1"/>
  <c r="I24" i="14" s="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E110" i="2" s="1"/>
  <c r="L279" i="1"/>
  <c r="L280" i="1"/>
  <c r="L282" i="1"/>
  <c r="L283" i="1"/>
  <c r="E119" i="2" s="1"/>
  <c r="L284" i="1"/>
  <c r="L285" i="1"/>
  <c r="L286" i="1"/>
  <c r="L287" i="1"/>
  <c r="E123" i="2" s="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2"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G339" i="1" s="1"/>
  <c r="G353" i="1" s="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H409" i="1" s="1"/>
  <c r="H645" i="1" s="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J656" i="1" s="1"/>
  <c r="G62" i="2"/>
  <c r="I170" i="1"/>
  <c r="K353" i="1" l="1"/>
  <c r="G553" i="1"/>
  <c r="G477" i="1"/>
  <c r="C13" i="10"/>
  <c r="J258" i="1"/>
  <c r="J272" i="1" s="1"/>
  <c r="A40" i="12"/>
  <c r="D50" i="2"/>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C81" i="2" l="1"/>
  <c r="H661" i="1"/>
  <c r="H665" i="1" s="1"/>
  <c r="H668" i="1" s="1"/>
  <c r="F194" i="1"/>
  <c r="G628" i="1" s="1"/>
  <c r="J628" i="1" s="1"/>
  <c r="D51" i="2"/>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<sst xmlns="http://schemas.openxmlformats.org/spreadsheetml/2006/main" count="5572" uniqueCount="1673">
  <si>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</si>
  <si>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</si>
  <si>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</si>
  <si>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</si>
  <si>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</si>
  <si>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</si>
  <si>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</si>
  <si>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</si>
  <si>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</si>
  <si>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</si>
  <si>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</si>
  <si>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</si>
  <si>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</si>
  <si>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</si>
  <si>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</si>
  <si>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</si>
  <si>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</si>
  <si>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</si>
  <si>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</si>
  <si>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</si>
  <si>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</si>
  <si>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</si>
  <si>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</si>
  <si>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</si>
  <si>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</si>
  <si>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</si>
  <si>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</si>
  <si>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</si>
  <si>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</si>
  <si>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</si>
  <si>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</si>
  <si>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</si>
  <si>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</si>
  <si>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</si>
  <si>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</si>
  <si>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</si>
  <si>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</si>
  <si>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</si>
  <si>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</si>
  <si>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</si>
  <si>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</si>
  <si>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</si>
  <si>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</si>
  <si>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</si>
  <si>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</si>
  <si>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</si>
  <si>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</si>
  <si>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</si>
  <si>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</si>
  <si>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</si>
  <si>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</si>
  <si>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</si>
  <si>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</si>
  <si>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</si>
  <si>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</si>
  <si>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</si>
  <si>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</si>
  <si>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</si>
  <si>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</si>
  <si>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</si>
  <si>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</si>
  <si>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</si>
  <si>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</si>
  <si>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</si>
  <si>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</si>
  <si>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</si>
  <si>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</si>
  <si>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</si>
  <si>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</si>
  <si>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</si>
  <si>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</si>
  <si>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</si>
  <si>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</si>
  <si>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</si>
  <si>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</si>
  <si>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</si>
  <si>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</si>
  <si>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</si>
  <si>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</si>
  <si>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</si>
  <si>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</si>
  <si>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</si>
  <si>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</si>
  <si>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</si>
  <si>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</si>
  <si>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</si>
  <si>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</si>
  <si>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</si>
  <si>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</si>
  <si>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</si>
  <si>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</si>
  <si>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</si>
  <si>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</si>
  <si>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</si>
  <si>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</si>
  <si>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</si>
  <si>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</si>
  <si>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</si>
  <si>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</si>
  <si>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</si>
  <si>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</si>
  <si>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</si>
  <si>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</si>
  <si>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</si>
  <si>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</si>
  <si>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</si>
  <si>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</si>
  <si>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</si>
  <si>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</si>
  <si>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</si>
  <si>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</si>
  <si>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</si>
  <si>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</si>
  <si>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</si>
  <si>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</si>
  <si>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</si>
  <si>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</si>
  <si>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</si>
  <si>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</si>
  <si>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</si>
  <si>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</si>
  <si>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</si>
  <si>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</si>
  <si>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</si>
  <si>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</si>
  <si>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</si>
  <si>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</si>
  <si>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</si>
  <si>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</si>
  <si>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</si>
  <si>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</si>
  <si>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</si>
  <si>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</si>
  <si>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</si>
  <si>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</si>
  <si>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</si>
  <si>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</si>
  <si>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</si>
  <si>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</si>
  <si>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</si>
  <si>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</si>
  <si>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</si>
  <si>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</si>
  <si>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</si>
  <si>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</si>
  <si>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</si>
  <si>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</si>
  <si>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</si>
  <si>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</si>
  <si>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</si>
  <si>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</si>
  <si>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</si>
  <si>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</si>
  <si>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</si>
  <si>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</si>
  <si>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</si>
  <si>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</si>
  <si>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</si>
  <si>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</si>
  <si>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</si>
  <si>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</si>
  <si>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</si>
  <si>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</si>
  <si>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</si>
  <si>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</si>
  <si>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</si>
  <si>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</si>
  <si>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</si>
  <si>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</si>
  <si>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</si>
  <si>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</si>
  <si>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</si>
  <si>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</si>
  <si>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</si>
  <si>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</si>
  <si>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</si>
  <si>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</si>
  <si>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</si>
  <si>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</si>
  <si>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</si>
  <si>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</si>
  <si>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</si>
  <si>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</si>
  <si>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</si>
  <si>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</si>
  <si>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</si>
  <si>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</si>
  <si>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</si>
  <si>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</si>
  <si>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</si>
  <si>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</si>
  <si>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</si>
  <si>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</si>
  <si>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</si>
  <si>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</si>
  <si>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</si>
  <si>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</si>
  <si>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</si>
  <si>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</si>
  <si>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</si>
  <si>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</si>
  <si>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</si>
  <si>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</si>
  <si>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</si>
  <si>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</si>
  <si>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</si>
  <si>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</si>
  <si>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</si>
  <si>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</si>
  <si>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</si>
  <si>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</si>
  <si>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</si>
  <si>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</si>
  <si>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</si>
  <si>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</si>
  <si>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</si>
  <si>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</si>
  <si>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</si>
  <si>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</si>
  <si>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</si>
  <si>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</si>
  <si>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</si>
  <si>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</si>
  <si>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</si>
  <si>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</si>
  <si>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</si>
  <si>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</si>
  <si>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</si>
  <si>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</si>
  <si>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</si>
  <si>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</si>
  <si>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</si>
  <si>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</si>
  <si>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</si>
  <si>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</si>
  <si>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</si>
  <si>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</si>
  <si>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</si>
  <si>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</si>
  <si>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</si>
  <si>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</si>
  <si>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</si>
  <si>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</si>
  <si>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</si>
  <si>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</si>
  <si>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</si>
  <si>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</si>
  <si>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</si>
  <si>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</si>
  <si>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</si>
  <si>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</si>
  <si>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</si>
  <si>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</si>
  <si>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</si>
  <si>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</si>
  <si>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</si>
  <si>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</si>
  <si>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</si>
  <si>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</si>
  <si>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</si>
  <si>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</si>
  <si>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</si>
  <si>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</si>
  <si>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</si>
  <si>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</si>
  <si>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</si>
  <si>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</si>
  <si>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</si>
  <si>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</si>
  <si>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</si>
  <si>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</si>
  <si>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</si>
  <si>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</si>
  <si>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</si>
  <si>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</si>
  <si>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</si>
  <si>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</si>
  <si>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</si>
  <si>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</si>
  <si>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</si>
  <si>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</si>
  <si>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</si>
  <si>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</si>
  <si>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</si>
  <si>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</si>
  <si>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</si>
  <si>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</si>
  <si>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</si>
  <si>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</si>
  <si>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</si>
  <si>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</si>
  <si>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</si>
  <si>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</si>
  <si>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</si>
  <si>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</si>
  <si>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</si>
  <si>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</si>
  <si>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</si>
  <si>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</si>
  <si>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</si>
  <si>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</si>
  <si>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</si>
  <si>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</si>
  <si>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</si>
  <si>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</si>
  <si>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</si>
  <si>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</si>
  <si>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</si>
  <si>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</si>
  <si>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</si>
  <si>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</si>
  <si>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</si>
  <si>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</si>
  <si>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</si>
  <si>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</si>
  <si>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</si>
  <si>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</si>
  <si>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</si>
  <si>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</si>
  <si>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</si>
  <si>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</si>
  <si>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</si>
  <si>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</si>
  <si>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</si>
  <si>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</si>
  <si>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</si>
  <si>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</si>
  <si>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</si>
  <si>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</si>
  <si>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</si>
  <si>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</si>
  <si>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</si>
  <si>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</si>
  <si>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</si>
  <si>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</si>
  <si>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</si>
  <si>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</si>
  <si>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</si>
  <si>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</si>
  <si>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</si>
  <si>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</si>
  <si>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</si>
  <si>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</si>
  <si>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</si>
  <si>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</si>
  <si>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</si>
  <si>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</si>
  <si>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</si>
  <si>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</si>
  <si>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</si>
  <si>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</si>
  <si>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</si>
  <si>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</si>
  <si>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</si>
  <si>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</si>
  <si>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</si>
  <si>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</si>
  <si>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</si>
  <si>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</si>
  <si>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</si>
  <si>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</si>
  <si>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</si>
  <si>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</si>
  <si>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</si>
  <si>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</si>
  <si>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</si>
  <si>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</si>
  <si>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</si>
  <si>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</si>
  <si>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</si>
  <si>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</si>
  <si>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</si>
  <si>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</si>
  <si>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</si>
  <si>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</si>
  <si>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</si>
  <si>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</si>
  <si>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</si>
  <si>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</si>
  <si>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</si>
  <si>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</si>
  <si>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</si>
  <si>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</si>
  <si>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</si>
  <si>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</si>
  <si>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</si>
  <si>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</si>
  <si>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</si>
  <si>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</si>
  <si>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</si>
  <si>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</si>
  <si>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</si>
  <si>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</si>
  <si>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</si>
  <si>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</si>
  <si>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</si>
  <si>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</si>
  <si>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</si>
  <si>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</si>
  <si>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</si>
  <si>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</si>
  <si>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</si>
  <si>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</si>
  <si>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</si>
  <si>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</si>
  <si>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</si>
  <si>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</si>
  <si>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</si>
  <si>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</si>
  <si>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</si>
  <si>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</si>
  <si>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</si>
  <si>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</si>
  <si>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</si>
  <si>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</si>
  <si>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</si>
  <si>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</si>
  <si>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</si>
  <si>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</si>
  <si>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</si>
  <si>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</si>
  <si>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</si>
  <si>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</si>
  <si>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</si>
  <si>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</si>
  <si>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</si>
  <si>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</si>
  <si>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</si>
  <si>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</si>
  <si>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</si>
  <si>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</si>
  <si>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</si>
  <si>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</si>
  <si>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</si>
  <si>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</si>
  <si>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</si>
  <si>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</si>
  <si>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</si>
  <si>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</si>
  <si>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</si>
  <si>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</si>
  <si>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</si>
  <si>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</si>
  <si>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</si>
  <si>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</si>
  <si>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</si>
  <si>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</si>
  <si>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</si>
  <si>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</si>
  <si>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</si>
  <si>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</si>
  <si>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</si>
  <si>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</si>
  <si>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</si>
  <si>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</si>
  <si>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</si>
  <si>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</si>
  <si>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</si>
  <si>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</si>
  <si>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</si>
  <si>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</si>
  <si>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</si>
  <si>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</si>
  <si>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</si>
  <si>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</si>
  <si>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</si>
  <si>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</si>
  <si>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</si>
  <si>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</si>
  <si>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</si>
  <si>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</si>
  <si>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</si>
  <si>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</si>
  <si>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</si>
  <si>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</si>
  <si>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</si>
  <si>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</si>
  <si>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</si>
  <si>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</si>
  <si>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</si>
  <si>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</si>
  <si>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</si>
  <si>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</si>
  <si>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</si>
  <si>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</si>
  <si>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</si>
  <si>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</si>
  <si>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</si>
  <si>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</si>
  <si>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</si>
  <si>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</si>
  <si>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</si>
  <si>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</si>
  <si>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</si>
  <si>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</si>
  <si>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</si>
  <si>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</si>
  <si>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</si>
  <si>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</si>
  <si>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</si>
  <si>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</si>
  <si>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</si>
  <si>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</si>
  <si>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</si>
  <si>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</si>
  <si>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</si>
  <si>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</si>
  <si>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</si>
  <si>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</si>
  <si>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</si>
  <si>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</si>
  <si>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</si>
  <si>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</si>
  <si>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</si>
  <si>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</si>
  <si>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</si>
  <si>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</si>
  <si>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</si>
  <si>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</si>
  <si>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</si>
  <si>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</si>
  <si>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</si>
  <si>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</si>
  <si>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</si>
  <si>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</si>
  <si>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</si>
  <si>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</si>
  <si>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</si>
  <si>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</si>
  <si>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</si>
  <si>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</si>
  <si>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</si>
  <si>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</si>
  <si>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</si>
  <si>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</si>
  <si>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</si>
  <si>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</si>
  <si>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</si>
  <si>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</si>
  <si>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</si>
  <si>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</si>
  <si>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</si>
  <si>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</si>
  <si>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</si>
  <si>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</si>
  <si>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</si>
  <si>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</si>
  <si>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</si>
  <si>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</si>
  <si>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</si>
  <si>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</si>
  <si>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</si>
  <si>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</si>
  <si>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</si>
  <si>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</si>
  <si>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</si>
  <si>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</si>
  <si>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</si>
  <si>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</si>
  <si>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</si>
  <si>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</si>
  <si>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</si>
  <si>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</si>
  <si>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</si>
  <si>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</si>
  <si>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</si>
  <si>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</si>
  <si>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</si>
  <si>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</si>
  <si>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</si>
  <si>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</si>
  <si>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</si>
  <si>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</si>
  <si>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</si>
  <si>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</si>
  <si>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</si>
  <si>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</si>
  <si>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</si>
  <si>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</si>
  <si>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</si>
  <si>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</si>
  <si>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</si>
  <si>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</si>
  <si>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</si>
  <si>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</si>
  <si>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</si>
  <si>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</si>
  <si>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</si>
  <si>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</si>
  <si>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</si>
  <si>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</si>
  <si>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</si>
  <si>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</si>
  <si>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</si>
  <si>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</si>
  <si>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</si>
  <si>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</si>
  <si>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</si>
  <si>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</si>
  <si>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</si>
  <si>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</si>
  <si>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</si>
  <si>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</si>
  <si>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</si>
  <si>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</si>
  <si>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</si>
  <si>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</si>
  <si>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</si>
  <si>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</si>
  <si>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</si>
  <si>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</si>
  <si>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</si>
  <si>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</si>
  <si>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</si>
  <si>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</si>
  <si>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</si>
  <si>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</si>
  <si>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</si>
  <si>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</si>
  <si>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</si>
  <si>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</si>
  <si>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</si>
  <si>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</si>
  <si>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</si>
  <si>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</si>
  <si>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</si>
  <si>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</si>
  <si>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</si>
  <si>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</si>
  <si>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</si>
  <si>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</si>
  <si>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</si>
  <si>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</si>
  <si>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</si>
  <si>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</si>
  <si>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</si>
  <si>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</si>
  <si>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</si>
  <si>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</si>
  <si>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</si>
  <si>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</si>
  <si>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</si>
  <si>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</si>
  <si>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</si>
  <si>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</si>
  <si>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</si>
  <si>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</si>
  <si>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</si>
  <si>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</si>
  <si>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</si>
  <si>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</si>
  <si>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</si>
  <si>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</si>
  <si>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</si>
  <si>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</si>
  <si>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</si>
  <si>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</si>
  <si>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</si>
  <si>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</si>
  <si>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</si>
  <si>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</si>
  <si>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</si>
  <si>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</si>
  <si>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</si>
  <si>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</si>
  <si>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</si>
  <si>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</si>
  <si>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</si>
  <si>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</si>
  <si>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</si>
  <si>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</si>
  <si>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</si>
  <si>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</si>
  <si>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</si>
  <si>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</si>
  <si>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</si>
  <si>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</si>
  <si>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</si>
  <si>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</si>
  <si>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</si>
  <si>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</si>
  <si>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</si>
  <si>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</si>
  <si>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</si>
  <si>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</si>
  <si>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</si>
  <si>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</si>
  <si>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</si>
  <si>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</si>
  <si>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</si>
  <si>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</si>
  <si>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</si>
  <si>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</si>
  <si>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</si>
  <si>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</si>
  <si>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</si>
  <si>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</si>
  <si>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</si>
  <si>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</si>
  <si>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</si>
  <si>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</si>
  <si>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</si>
  <si>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</si>
  <si>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</si>
  <si>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</si>
  <si>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</si>
  <si>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</si>
  <si>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</si>
  <si>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</si>
  <si>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</si>
  <si>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</si>
  <si>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</si>
  <si>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</si>
  <si>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</si>
  <si>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</si>
  <si>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</si>
  <si>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</si>
  <si>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</si>
  <si>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</si>
  <si>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</si>
  <si>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</si>
  <si>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</si>
  <si>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</si>
  <si>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</si>
  <si>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</si>
  <si>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</si>
  <si>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</si>
  <si>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</si>
  <si>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</si>
  <si>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</si>
  <si>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</si>
  <si>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</si>
  <si>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</si>
  <si>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</si>
  <si>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</si>
  <si>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</si>
  <si>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</si>
  <si>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</si>
  <si>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</si>
  <si>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</si>
  <si>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</si>
  <si>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</si>
  <si>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</si>
  <si>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</si>
  <si>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</si>
  <si>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</si>
  <si>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</si>
  <si>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</si>
  <si>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</si>
  <si>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</si>
  <si>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</si>
  <si>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</si>
  <si>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</si>
  <si>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</si>
  <si>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</si>
  <si>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</si>
  <si>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</si>
  <si>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</si>
  <si>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</si>
  <si>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</si>
  <si>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</si>
  <si>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</si>
  <si>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</si>
  <si>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</si>
  <si>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</si>
  <si>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</si>
  <si>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</si>
  <si>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</si>
  <si>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</si>
  <si>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</si>
  <si>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</si>
  <si>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</si>
  <si>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</si>
  <si>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</si>
  <si>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</si>
  <si>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</si>
  <si>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</si>
  <si>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</si>
  <si>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</si>
  <si>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</si>
  <si>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</si>
  <si>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</si>
  <si>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</si>
  <si>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</si>
  <si>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</si>
  <si>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</si>
  <si>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</si>
  <si>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</si>
  <si>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</si>
  <si>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</si>
  <si>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</si>
  <si>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</si>
  <si>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</si>
  <si>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</si>
  <si>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</si>
  <si>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</si>
  <si>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</si>
  <si>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</si>
  <si>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</si>
  <si>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</si>
  <si>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</si>
  <si>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</si>
  <si>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</si>
  <si>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</si>
  <si>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</si>
  <si>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</si>
  <si>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</si>
  <si>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</si>
  <si>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</si>
  <si>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</si>
  <si>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</si>
  <si>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</si>
  <si>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</si>
  <si>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</si>
  <si>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</si>
  <si>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</si>
  <si>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</si>
  <si>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</si>
  <si>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</si>
  <si>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</si>
  <si>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</si>
  <si>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</si>
  <si>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</si>
  <si>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</si>
  <si>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</si>
  <si>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</si>
  <si>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</si>
  <si>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</si>
  <si>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</si>
  <si>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</si>
  <si>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</si>
  <si>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</si>
  <si>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</si>
  <si>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</si>
  <si>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</si>
  <si>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</si>
  <si>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</si>
  <si>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</si>
  <si>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</si>
  <si>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</si>
  <si>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</si>
  <si>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</si>
  <si>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</si>
  <si>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</si>
  <si>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</si>
  <si>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</si>
  <si>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</si>
  <si>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</si>
  <si>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</si>
  <si>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</si>
  <si>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</si>
  <si>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</si>
  <si>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</si>
  <si>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</si>
  <si>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</si>
  <si>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</si>
  <si>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</si>
  <si>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</si>
  <si>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</si>
  <si>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</si>
  <si>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</si>
  <si>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</si>
  <si>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</si>
  <si>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</si>
  <si>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</si>
  <si>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</si>
  <si>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</si>
  <si>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</si>
  <si>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</si>
  <si>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</si>
  <si>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</si>
  <si>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</si>
  <si>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</si>
  <si>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</si>
  <si>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</si>
  <si>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</si>
  <si>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</si>
  <si>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</si>
  <si>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</si>
  <si>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</si>
  <si>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</si>
  <si>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</si>
  <si>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</si>
  <si>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</si>
  <si>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</si>
  <si>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</si>
  <si>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</si>
  <si>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</si>
  <si>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</si>
  <si>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</si>
  <si>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</si>
  <si>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</si>
  <si>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</si>
  <si>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</si>
  <si>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</si>
  <si>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</si>
  <si>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</si>
  <si>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</si>
  <si>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</si>
  <si>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</si>
  <si>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</si>
  <si>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</si>
  <si>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</si>
  <si>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</si>
  <si>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</si>
  <si>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</si>
  <si>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</si>
  <si>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</si>
  <si>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</si>
  <si>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</si>
  <si>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</si>
  <si>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</si>
  <si>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</si>
  <si>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</si>
  <si>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</si>
  <si>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</si>
  <si>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</si>
  <si>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</si>
  <si>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</si>
  <si>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</si>
  <si>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</si>
  <si>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</si>
  <si>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</si>
  <si>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</si>
  <si>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</si>
  <si>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</si>
  <si>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</si>
  <si>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</si>
  <si>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</si>
  <si>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</si>
  <si>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</si>
  <si>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</si>
  <si>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</si>
  <si>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</si>
  <si>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</si>
  <si>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</si>
  <si>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</si>
  <si>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</si>
  <si>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</si>
  <si>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</si>
  <si>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</si>
  <si>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</si>
  <si>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</si>
  <si>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</si>
  <si>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</si>
  <si>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</si>
  <si>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</si>
  <si>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</si>
  <si>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</si>
  <si>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</si>
  <si>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</si>
  <si>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</si>
  <si>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</si>
  <si>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</si>
  <si>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</si>
  <si>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</si>
  <si>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</si>
  <si>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</si>
  <si>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</si>
  <si>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</si>
  <si>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</si>
  <si>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</si>
  <si>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</si>
  <si>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</si>
  <si>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</si>
  <si>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</si>
  <si>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</si>
  <si>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</si>
  <si>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</si>
  <si>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</si>
  <si>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</si>
  <si>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</si>
  <si>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</si>
  <si>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</si>
  <si>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</si>
  <si>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</si>
  <si>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</si>
  <si>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</si>
  <si>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</si>
  <si>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</si>
  <si>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</si>
  <si>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</si>
  <si>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</si>
  <si>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</si>
  <si>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</si>
  <si>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</si>
  <si>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</si>
  <si>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</si>
  <si>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</si>
  <si>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</si>
  <si>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</si>
  <si>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</si>
  <si>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</si>
  <si>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</si>
  <si>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</si>
  <si>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</si>
  <si>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</si>
  <si>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</si>
  <si>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</si>
  <si>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</si>
  <si>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</si>
  <si>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</si>
  <si>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</si>
  <si>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</si>
  <si>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</si>
  <si>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</si>
  <si>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</si>
  <si>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</si>
  <si>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</si>
  <si>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</si>
  <si>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</si>
  <si>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</si>
  <si>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</si>
  <si>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</si>
  <si>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</si>
  <si>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</si>
  <si>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</si>
  <si>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</si>
  <si>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</si>
  <si>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</si>
  <si>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</si>
  <si>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</si>
  <si>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</si>
  <si>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</si>
  <si>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</si>
  <si>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</si>
  <si>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</si>
  <si>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</si>
  <si>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</si>
  <si>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</si>
  <si>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</si>
  <si>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</si>
  <si>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</si>
  <si>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</si>
  <si>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</si>
  <si>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</si>
  <si>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</si>
  <si>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</si>
  <si>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</si>
  <si>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</si>
  <si>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</si>
  <si>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</si>
  <si>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</si>
  <si>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</si>
  <si>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</si>
  <si>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</si>
  <si>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</si>
  <si>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</si>
  <si>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</si>
  <si>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</si>
  <si>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</si>
  <si>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</si>
  <si>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</si>
  <si>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</si>
  <si>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</si>
  <si>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</si>
  <si>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</si>
  <si>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</si>
  <si>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</si>
  <si>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</si>
  <si>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</si>
  <si>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</si>
  <si>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</si>
  <si>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</si>
  <si>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</si>
  <si>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</si>
  <si>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</si>
  <si>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</si>
  <si>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</si>
  <si>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</si>
  <si>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</si>
  <si>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</si>
  <si>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</si>
  <si>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</si>
  <si>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</si>
  <si>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</si>
  <si>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</si>
  <si>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</si>
  <si>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</si>
  <si>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</si>
  <si>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</si>
  <si>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</si>
  <si>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</si>
  <si>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</si>
  <si>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</si>
  <si>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</si>
  <si>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</si>
  <si>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</si>
  <si>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</si>
  <si>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</si>
  <si>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</si>
  <si>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</si>
  <si>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</si>
  <si>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</si>
  <si>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</si>
  <si>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</si>
  <si>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</si>
  <si>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</si>
  <si>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</si>
  <si>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</si>
  <si>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</si>
  <si>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</si>
  <si>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</si>
  <si>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</si>
  <si>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</si>
  <si>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</si>
  <si>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</si>
  <si>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</si>
  <si>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</si>
  <si>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</si>
  <si>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</si>
  <si>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</si>
  <si>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</si>
  <si>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</si>
  <si>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</si>
  <si>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</si>
  <si>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</si>
  <si>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</si>
  <si>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</si>
  <si>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</si>
  <si>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</si>
  <si>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</si>
  <si>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</si>
  <si>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</si>
  <si>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</si>
  <si>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</si>
  <si>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</si>
  <si>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</si>
  <si>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</si>
  <si>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</si>
  <si>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</si>
  <si>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</si>
  <si>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</si>
  <si>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</si>
  <si>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</si>
  <si>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</si>
  <si>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</si>
  <si>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</si>
  <si>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</si>
  <si>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</si>
  <si>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</si>
  <si>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</si>
  <si>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</si>
  <si>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</si>
  <si>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</si>
  <si>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</si>
  <si>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</si>
  <si>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</si>
  <si>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</si>
  <si>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</si>
  <si>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</si>
  <si>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</si>
  <si>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</si>
  <si>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</si>
  <si>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</si>
  <si>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</si>
  <si>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</si>
  <si>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</si>
  <si>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</si>
  <si>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</si>
  <si>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</si>
  <si>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</si>
  <si>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</si>
  <si>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</si>
  <si>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</si>
  <si>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</si>
  <si>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</si>
  <si>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</si>
  <si>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</si>
  <si>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</si>
  <si>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</si>
  <si>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</si>
  <si>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</si>
  <si>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</si>
  <si>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</si>
  <si>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</si>
  <si>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</si>
  <si>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</si>
  <si>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</si>
  <si>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</si>
  <si>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</si>
  <si>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</si>
  <si>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</si>
  <si>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</si>
  <si>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</si>
  <si>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</si>
  <si>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</si>
  <si>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</si>
  <si>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</si>
  <si>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</si>
  <si>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</si>
  <si>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</si>
  <si>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</si>
  <si>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</si>
  <si>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</si>
  <si>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</si>
  <si>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</si>
  <si>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</si>
  <si>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</si>
  <si>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</si>
  <si>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</si>
  <si>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</si>
  <si>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</si>
  <si>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</si>
  <si>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</si>
  <si>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</si>
  <si>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</si>
  <si>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</si>
  <si>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</si>
  <si>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</si>
  <si>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</si>
  <si>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</si>
  <si>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</si>
  <si>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</si>
  <si>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</si>
  <si>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</si>
  <si>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</si>
  <si>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</si>
  <si>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</si>
  <si>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</si>
  <si>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</si>
  <si>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</si>
  <si>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</si>
  <si>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</si>
  <si>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</si>
  <si>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</si>
  <si>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</si>
  <si>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</si>
  <si>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</si>
  <si>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</si>
  <si>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</si>
  <si>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</si>
  <si>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</si>
  <si>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</si>
  <si>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</si>
  <si>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</si>
  <si>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</si>
  <si>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</si>
  <si>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</si>
  <si>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</si>
  <si>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</si>
  <si>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</si>
  <si>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</si>
  <si>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</si>
  <si>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</si>
  <si>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</si>
  <si>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</si>
  <si>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</si>
  <si>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</si>
  <si>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</si>
  <si>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</si>
  <si>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</si>
  <si>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</si>
  <si>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</si>
  <si>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</si>
  <si>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</si>
  <si>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</si>
  <si>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</si>
  <si>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</si>
  <si>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</si>
  <si>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</si>
  <si>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</si>
  <si>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</si>
  <si>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</si>
  <si>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</si>
  <si>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</si>
  <si>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</si>
  <si>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</si>
  <si>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</si>
  <si>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</si>
  <si>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</si>
  <si>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</si>
  <si>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</si>
  <si>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</si>
  <si>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</si>
  <si>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</si>
  <si>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</si>
  <si>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</si>
  <si>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</si>
  <si>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</si>
  <si>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</si>
  <si>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</si>
  <si>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</si>
  <si>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</si>
  <si>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</si>
  <si>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</si>
  <si>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</si>
  <si>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</si>
  <si>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</si>
  <si>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</si>
  <si>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</si>
  <si>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</si>
  <si>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</si>
  <si>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</si>
  <si>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</si>
  <si>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</si>
  <si>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</si>
  <si>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</si>
  <si>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</si>
  <si>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</si>
  <si>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</si>
  <si>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</si>
  <si>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</si>
  <si>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</si>
  <si>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</si>
  <si>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</si>
  <si>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</si>
  <si>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</si>
  <si>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</si>
  <si>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</si>
  <si>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</si>
  <si>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</si>
  <si>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</si>
  <si>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</si>
  <si>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</si>
  <si>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</si>
  <si>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</si>
  <si>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</si>
  <si>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</si>
  <si>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</si>
  <si>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</si>
  <si>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</si>
  <si>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</si>
  <si>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</si>
  <si>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</si>
  <si>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</si>
  <si>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</si>
  <si>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</si>
  <si>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</si>
  <si>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</si>
  <si>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</si>
  <si>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</si>
  <si>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</si>
  <si>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</si>
  <si>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</si>
  <si>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</si>
  <si>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</si>
  <si>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</si>
  <si>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</si>
  <si>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</si>
  <si>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</si>
  <si>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</si>
  <si>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</si>
  <si>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</si>
  <si>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</si>
  <si>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</si>
  <si>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</si>
  <si>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</si>
  <si>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</si>
  <si>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</si>
  <si>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</si>
  <si>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</si>
  <si>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</si>
  <si>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</si>
  <si>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</si>
  <si>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</si>
  <si>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</si>
  <si>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</si>
  <si>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</si>
  <si>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</si>
  <si>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</si>
  <si>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</si>
  <si>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</si>
  <si>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</si>
  <si>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</si>
  <si>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</si>
  <si>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</si>
  <si>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</si>
  <si>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</si>
  <si>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</si>
  <si>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</si>
  <si>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</si>
  <si>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</si>
  <si>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</si>
  <si>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</si>
  <si>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</si>
  <si>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</si>
  <si>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</si>
  <si>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</si>
  <si>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</si>
  <si>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</si>
  <si>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</si>
  <si>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</si>
  <si>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</si>
  <si>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</si>
  <si>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</si>
  <si>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</si>
  <si>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</si>
  <si>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</si>
  <si>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</si>
  <si>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</si>
  <si>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</si>
  <si>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</si>
  <si>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</si>
  <si>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</si>
  <si>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</si>
  <si>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</si>
  <si>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</si>
  <si>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</si>
  <si>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</si>
  <si>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</si>
  <si>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</si>
  <si>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</si>
  <si>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</si>
  <si>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</si>
  <si>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</si>
  <si>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</si>
  <si>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</si>
  <si>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</si>
  <si>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</si>
  <si>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</si>
  <si>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</si>
  <si>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</si>
  <si>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</si>
  <si>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</si>
  <si>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</si>
  <si>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</si>
  <si>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</si>
  <si>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</si>
  <si>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</si>
  <si>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</si>
  <si>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</si>
  <si>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</si>
  <si>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</si>
  <si>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</si>
  <si>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</si>
  <si>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</si>
  <si>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</si>
  <si>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</si>
  <si>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</si>
  <si>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</si>
  <si>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</si>
  <si>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</si>
  <si>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</si>
  <si>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</si>
  <si>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</si>
  <si>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</si>
  <si>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</si>
  <si>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</si>
  <si>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</si>
  <si>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</si>
  <si>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</si>
  <si>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</si>
  <si>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</si>
  <si>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</si>
  <si>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</si>
  <si>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</si>
  <si>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</si>
  <si>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</si>
  <si>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</si>
  <si>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</si>
  <si>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</si>
  <si>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</si>
  <si>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</si>
  <si>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</si>
  <si>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</si>
  <si>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</si>
  <si>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</si>
  <si>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</si>
  <si>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</si>
  <si>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</si>
  <si>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</si>
  <si>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</si>
  <si>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</si>
  <si>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</si>
  <si>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</si>
  <si>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</si>
  <si>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</si>
  <si>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</si>
  <si>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</si>
  <si>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</si>
  <si>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</si>
  <si>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</si>
  <si>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</si>
  <si>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</si>
  <si>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</si>
  <si>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</si>
  <si>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</si>
  <si>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</si>
  <si>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</si>
  <si>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</si>
  <si>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</si>
  <si>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</si>
  <si>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</si>
  <si>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</si>
  <si>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</si>
  <si>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</si>
  <si>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</si>
  <si>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</si>
  <si>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</si>
  <si>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</si>
  <si>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</si>
  <si>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</si>
  <si>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</si>
  <si>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</si>
  <si>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</si>
  <si>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</si>
  <si>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</si>
  <si>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</si>
  <si>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</si>
  <si>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</si>
  <si>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</si>
  <si>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</si>
  <si>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</si>
  <si>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</si>
  <si>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</si>
  <si>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</si>
  <si>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</si>
  <si>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</si>
  <si>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</si>
  <si>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</si>
  <si>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</si>
  <si>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</si>
  <si>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</si>
  <si>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</si>
  <si>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</si>
  <si>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</si>
  <si>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</si>
  <si>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</si>
  <si>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</si>
  <si>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</si>
  <si>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</si>
  <si>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</si>
  <si>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</si>
  <si>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</si>
  <si>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</si>
  <si>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</si>
  <si>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</si>
  <si>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</si>
  <si>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</si>
  <si>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</si>
  <si>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</si>
  <si>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</si>
  <si>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</si>
  <si>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</si>
  <si>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</si>
  <si>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</si>
  <si>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</si>
  <si>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</si>
  <si>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</si>
  <si>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</si>
  <si>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</si>
  <si>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</si>
  <si>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</si>
  <si>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</si>
  <si>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</si>
  <si>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</si>
  <si>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</si>
  <si>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</si>
  <si>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</si>
  <si>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</si>
  <si>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</si>
  <si>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</si>
  <si>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</si>
  <si>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</si>
  <si>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</si>
  <si>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</si>
  <si>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</si>
  <si>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</si>
  <si>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</si>
  <si>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</si>
  <si>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</si>
  <si>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</si>
  <si>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</si>
  <si>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</si>
  <si>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</si>
  <si>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</si>
  <si>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</si>
  <si>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</si>
  <si>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</si>
  <si>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</si>
  <si>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</si>
  <si>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</si>
  <si>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</si>
  <si>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</si>
  <si>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</si>
  <si>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</si>
  <si>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</si>
  <si>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</si>
  <si>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</si>
  <si>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</si>
  <si>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</si>
  <si>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</si>
  <si>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</si>
  <si>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</si>
  <si>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</si>
  <si>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</si>
  <si>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</si>
  <si>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</si>
  <si>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</si>
  <si>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</si>
  <si>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</si>
  <si>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</si>
  <si>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</si>
  <si>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</si>
  <si>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</si>
  <si>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</si>
  <si>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</si>
  <si>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</si>
  <si>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</si>
  <si>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</si>
  <si>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</si>
  <si>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</si>
  <si>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</si>
  <si>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</si>
  <si>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</si>
  <si>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</si>
  <si>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</si>
  <si>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</si>
  <si>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</si>
  <si>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</si>
  <si>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</si>
  <si>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</si>
  <si>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</si>
  <si>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</si>
  <si>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</si>
  <si>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</si>
  <si>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</si>
  <si>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</si>
  <si>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</si>
  <si>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</si>
  <si>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</si>
  <si>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</si>
  <si>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</si>
  <si>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</si>
  <si>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</si>
  <si>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</si>
  <si>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</si>
  <si>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</si>
  <si>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</si>
  <si>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</si>
  <si>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</si>
  <si>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</si>
  <si>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</si>
  <si>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</si>
  <si>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</si>
  <si>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</si>
  <si>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</si>
  <si>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</si>
  <si>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</si>
  <si>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</si>
  <si>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</si>
  <si>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</si>
  <si>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</si>
  <si>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</si>
  <si>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</si>
  <si>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</si>
  <si>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</si>
  <si>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</si>
  <si>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</si>
  <si>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</si>
  <si>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</si>
  <si>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</si>
  <si>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</si>
  <si>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</si>
  <si>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</si>
  <si>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</si>
  <si>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</si>
  <si>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</si>
  <si>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</si>
  <si>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</si>
  <si>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</si>
  <si>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</si>
  <si>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</si>
  <si>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</si>
  <si>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</si>
  <si>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</si>
  <si>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</si>
  <si>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</si>
  <si>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</si>
  <si>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</si>
  <si>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</si>
  <si>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WATERVILLE VALLEY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</si>
</sst>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C3" sqref="C3"/>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553</v>
      </c>
      <c r="C2" s="21">
        <v>553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130280.17</v>
      </c>
      <c r="G9" s="18">
        <v>170.46</v>
      </c>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1472.01</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131752.18</v>
      </c>
      <c r="G19" s="41">
        <f>SUM(G9:G18)</f>
        <v>170.46</v>
      </c>
      <c r="H19" s="41">
        <f>SUM(H9:H18)</f>
        <v>0</v>
      </c>
      <c r="I19" s="41">
        <f>SUM(I9:I18)</f>
        <v>0</v>
      </c>
      <c r="J19" s="41">
        <f>SUM(J9:J18)</f>
        <v>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7513.12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689.07</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8202.19</v>
      </c>
      <c r="G32" s="41">
        <f>SUM(G22:G31)</f>
        <v>0</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47049.99</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170.46</v>
      </c>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76500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123549.98999999999</v>
      </c>
      <c r="G51" s="41">
        <f>SUM(G35:G50)</f>
        <v>170.46</v>
      </c>
      <c r="H51" s="41">
        <f>SUM(H35:H50)</f>
        <v>0</v>
      </c>
      <c r="I51" s="41">
        <f>SUM(I35:I50)</f>
        <v>0</v>
      </c>
      <c r="J51" s="41">
        <f>SUM(J35:J50)</f>
        <v>0</v>
      </c>
      <c r="K51" s="45" t="s">
        <v>288</v>
      </c>
      <c r="L51" s="45" t="s">
        <v>288</v>
      </c>
      <c r="N51" s="264"/>
    </row>
    <row r="52" spans="1:14" s="3" customFormat="1" ht="12.2" customHeight="1" thickTop="1" x14ac:dyDescent="0.15">
      <c r="A52" s="38" t="s">
        <v>455</v>
      </c>
      <c r="B52" s="39" t="s">
        <v>289</v>
      </c>
      <c r="C52" s="6">
        <v>37</v>
      </c>
      <c r="D52" s="39" t="s">
        <v>653</v>
      </c>
      <c r="E52" s="39"/>
      <c r="F52" s="41">
        <f>F51+F32</f>
        <v>131752.18</v>
      </c>
      <c r="G52" s="41">
        <f>G51+G32</f>
        <v>170.46</v>
      </c>
      <c r="H52" s="41">
        <f>H51+H32</f>
        <v>0</v>
      </c>
      <c r="I52" s="41">
        <f>I51+I32</f>
        <v>0</v>
      </c>
      <c r="J52" s="41">
        <f>J51+J32</f>
        <v>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505116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505116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3200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1035</v>
      </c>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4235</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24.67</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82.26</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45777.85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45884.78</v>
      </c>
      <c r="G111" s="41">
        <f>SUM(G96:G110)</f>
        <v>0</v>
      </c>
      <c r="H111" s="41">
        <f>SUM(H96:H110)</f>
        <v>0</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555235.78</v>
      </c>
      <c r="G112" s="41">
        <f>G60+G111</f>
        <v>0</v>
      </c>
      <c r="H112" s="41">
        <f>H60+H79+H94+H111</f>
        <v>0</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658291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658291</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0</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658291</v>
      </c>
      <c r="G140" s="41">
        <f>G121+SUM(G136:G137)</f>
        <v>0</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84431.72</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0</v>
      </c>
      <c r="G163" s="41">
        <f>SUM(G150:G162)</f>
        <v>0</v>
      </c>
      <c r="H163" s="41">
        <f>SUM(H150:H162)</f>
        <v>84431.72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17568.43</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17568.43</v>
      </c>
      <c r="G170" s="41">
        <f>G147+G163+SUM(G164:G169)</f>
        <v>0</v>
      </c>
      <c r="H170" s="41">
        <f>H147+H163+SUM(H164:H169)</f>
        <v>84431.72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v>5.94</v>
      </c>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5.94</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5.94</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1231095.21</v>
      </c>
      <c r="G194" s="47">
        <f>G112+G140+G170+G193</f>
        <v>0</v>
      </c>
      <c r="H194" s="47">
        <f>H112+H140+H170+H193</f>
        <v>84437.66</v>
      </c>
      <c r="I194" s="47">
        <f>I112+I140+I170+I193</f>
        <v>0</v>
      </c>
      <c r="J194" s="47">
        <f>J112+J140+J193</f>
        <v>0</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321433.62</v>
      </c>
      <c r="G198" s="18">
        <v>156385.9</v>
      </c>
      <c r="H198" s="18">
        <v>12852</v>
      </c>
      <c r="I198" s="18">
        <v>26133.69</v>
      </c>
      <c r="J198" s="18">
        <v>1801.9</v>
      </c>
      <c r="K198" s="18">
        <v>1260.5</v>
      </c>
      <c r="L198" s="19">
        <f>SUM(F198:K198)</f>
        <v>519867.61000000004</v>
      </c>
      <c r="M198" s="8"/>
      <c r="N198" s="266"/>
    </row>
    <row r="199" spans="1:14" s="3" customFormat="1" ht="12.2" customHeight="1" x14ac:dyDescent="0.15">
      <c r="A199" s="1" t="s">
        <v>439</v>
      </c>
      <c r="B199" s="2" t="s">
        <v>341</v>
      </c>
      <c r="C199" s="2" t="s">
        <v>291</v>
      </c>
      <c r="D199" s="2" t="s">
        <v>431</v>
      </c>
      <c r="E199" s="6">
        <v>1200</v>
      </c>
      <c r="F199" s="18">
        <v>95067.24</v>
      </c>
      <c r="G199" s="18">
        <v>51680.82</v>
      </c>
      <c r="H199" s="18">
        <v>15720.76</v>
      </c>
      <c r="I199" s="18">
        <v>955.07</v>
      </c>
      <c r="J199" s="18"/>
      <c r="K199" s="18">
        <v>65</v>
      </c>
      <c r="L199" s="19">
        <f>SUM(F199:K199)</f>
        <v>163488.89000000001</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8928.25</v>
      </c>
      <c r="G201" s="18">
        <v>1897.96</v>
      </c>
      <c r="H201" s="18"/>
      <c r="I201" s="18">
        <v>2268.2800000000002</v>
      </c>
      <c r="J201" s="18"/>
      <c r="K201" s="18"/>
      <c r="L201" s="19">
        <f>SUM(F201:K201)</f>
        <v>13094.49</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37538.75</v>
      </c>
      <c r="G203" s="18">
        <v>14713.35</v>
      </c>
      <c r="H203" s="18">
        <v>14674.34</v>
      </c>
      <c r="I203" s="18">
        <v>267.70999999999998</v>
      </c>
      <c r="J203" s="18"/>
      <c r="K203" s="18"/>
      <c r="L203" s="19">
        <f t="shared" ref="L203:L209" si="0">SUM(F203:K203)</f>
        <v>67194.150000000009</v>
      </c>
      <c r="M203" s="8"/>
      <c r="N203" s="266"/>
    </row>
    <row r="204" spans="1:14" s="3" customFormat="1" ht="12.2" customHeight="1" x14ac:dyDescent="0.15">
      <c r="A204" s="1" t="s">
        <v>443</v>
      </c>
      <c r="B204" s="2" t="s">
        <v>341</v>
      </c>
      <c r="C204" s="2" t="s">
        <v>295</v>
      </c>
      <c r="D204" s="2" t="s">
        <v>431</v>
      </c>
      <c r="E204" s="6">
        <v>2200</v>
      </c>
      <c r="F204" s="18">
        <v>14721.17</v>
      </c>
      <c r="G204" s="18">
        <v>6944.02</v>
      </c>
      <c r="H204" s="18">
        <v>241.87</v>
      </c>
      <c r="I204" s="18">
        <v>5113.96</v>
      </c>
      <c r="J204" s="18">
        <v>11581.22</v>
      </c>
      <c r="K204" s="18"/>
      <c r="L204" s="19">
        <f t="shared" si="0"/>
        <v>38602.239999999998</v>
      </c>
      <c r="M204" s="8"/>
      <c r="N204" s="266"/>
    </row>
    <row r="205" spans="1:14" s="3" customFormat="1" ht="12.2" customHeight="1" x14ac:dyDescent="0.15">
      <c r="A205" s="1" t="s">
        <v>444</v>
      </c>
      <c r="B205" s="2" t="s">
        <v>341</v>
      </c>
      <c r="C205" s="2" t="s">
        <v>296</v>
      </c>
      <c r="D205" s="2" t="s">
        <v>431</v>
      </c>
      <c r="E205" s="6">
        <v>2300</v>
      </c>
      <c r="F205" s="18"/>
      <c r="G205" s="18"/>
      <c r="H205" s="18">
        <v>105186.41</v>
      </c>
      <c r="I205" s="18"/>
      <c r="J205" s="18"/>
      <c r="K205" s="18">
        <v>2149.31</v>
      </c>
      <c r="L205" s="19">
        <f t="shared" si="0"/>
        <v>107335.72</v>
      </c>
      <c r="M205" s="8"/>
      <c r="N205" s="266"/>
    </row>
    <row r="206" spans="1:14" s="3" customFormat="1" ht="12.2" customHeight="1" x14ac:dyDescent="0.15">
      <c r="A206" s="1" t="s">
        <v>445</v>
      </c>
      <c r="B206" s="2" t="s">
        <v>341</v>
      </c>
      <c r="C206" s="2" t="s">
        <v>297</v>
      </c>
      <c r="D206" s="2" t="s">
        <v>431</v>
      </c>
      <c r="E206" s="6">
        <v>2400</v>
      </c>
      <c r="F206" s="18">
        <v>116043.8</v>
      </c>
      <c r="G206" s="18">
        <v>44472.78</v>
      </c>
      <c r="H206" s="18">
        <v>312.25</v>
      </c>
      <c r="I206" s="18">
        <v>7037.56</v>
      </c>
      <c r="J206" s="18"/>
      <c r="K206" s="18">
        <v>826.62</v>
      </c>
      <c r="L206" s="19">
        <f t="shared" si="0"/>
        <v>168693.01</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55337.26</v>
      </c>
      <c r="G208" s="18">
        <v>16617.29</v>
      </c>
      <c r="H208" s="18">
        <v>45987.58</v>
      </c>
      <c r="I208" s="18">
        <v>36170.58</v>
      </c>
      <c r="J208" s="18">
        <v>8292.67</v>
      </c>
      <c r="K208" s="18"/>
      <c r="L208" s="19">
        <f t="shared" si="0"/>
        <v>162405.38000000003</v>
      </c>
      <c r="M208" s="8"/>
      <c r="N208" s="266"/>
    </row>
    <row r="209" spans="1:14" s="3" customFormat="1" ht="12.2" customHeight="1" x14ac:dyDescent="0.15">
      <c r="A209" s="1" t="s">
        <v>448</v>
      </c>
      <c r="B209" s="2" t="s">
        <v>341</v>
      </c>
      <c r="C209" s="2" t="s">
        <v>300</v>
      </c>
      <c r="D209" s="2" t="s">
        <v>431</v>
      </c>
      <c r="E209" s="6">
        <v>2700</v>
      </c>
      <c r="F209" s="18"/>
      <c r="G209" s="18"/>
      <c r="H209" s="18">
        <v>2715</v>
      </c>
      <c r="I209" s="18"/>
      <c r="J209" s="18"/>
      <c r="K209" s="18"/>
      <c r="L209" s="19">
        <f t="shared" si="0"/>
        <v>2715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649070.09</v>
      </c>
      <c r="G212" s="41">
        <f t="shared" si="1"/>
        <v>292712.11999999994</v>
      </c>
      <c r="H212" s="41">
        <f t="shared" si="1"/>
        <v>197690.21000000002</v>
      </c>
      <c r="I212" s="41">
        <f t="shared" si="1"/>
        <v>77946.850000000006</v>
      </c>
      <c r="J212" s="41">
        <f t="shared" si="1"/>
        <v>21675.79</v>
      </c>
      <c r="K212" s="41">
        <f t="shared" si="1"/>
        <v>4301.43</v>
      </c>
      <c r="L212" s="41">
        <f t="shared" si="1"/>
        <v>1243396.49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54164.15</v>
      </c>
      <c r="I234" s="18"/>
      <c r="J234" s="18"/>
      <c r="K234" s="18"/>
      <c r="L234" s="19">
        <f>SUM(F234:K234)</f>
        <v>54164.15</v>
      </c>
      <c r="M234" s="8"/>
      <c r="N234" s="266"/>
    </row>
    <row r="235" spans="1:14" s="3" customFormat="1" ht="12.2" customHeight="1" x14ac:dyDescent="0.15">
      <c r="A235" s="1" t="s">
        <v>439</v>
      </c>
      <c r="B235" s="2" t="s">
        <v>350</v>
      </c>
      <c r="C235" s="2" t="s">
        <v>291</v>
      </c>
      <c r="D235" s="2" t="s">
        <v>431</v>
      </c>
      <c r="E235" s="6">
        <v>1200</v>
      </c>
      <c r="F235" s="18"/>
      <c r="G235" s="18"/>
      <c r="H235" s="18">
        <v>2280.92</v>
      </c>
      <c r="I235" s="18"/>
      <c r="J235" s="18"/>
      <c r="K235" s="18"/>
      <c r="L235" s="19">
        <f>SUM(F235:K235)</f>
        <v>2280.92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56445.07</v>
      </c>
      <c r="I248" s="41">
        <f t="shared" si="5"/>
        <v>0</v>
      </c>
      <c r="J248" s="41">
        <f t="shared" si="5"/>
        <v>0</v>
      </c>
      <c r="K248" s="41">
        <f t="shared" si="5"/>
        <v>0</v>
      </c>
      <c r="L248" s="41">
        <f t="shared" si="5"/>
        <v>56445.07</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14907.88</v>
      </c>
      <c r="I256" s="18"/>
      <c r="J256" s="18"/>
      <c r="K256" s="18"/>
      <c r="L256" s="19">
        <f t="shared" si="6"/>
        <v>14907.88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14907.88</v>
      </c>
      <c r="I257" s="41">
        <f t="shared" si="7"/>
        <v>0</v>
      </c>
      <c r="J257" s="41">
        <f t="shared" si="7"/>
        <v>0</v>
      </c>
      <c r="K257" s="41">
        <f t="shared" si="7"/>
        <v>0</v>
      </c>
      <c r="L257" s="41">
        <f>SUM(F257:K257)</f>
        <v>14907.88</v>
      </c>
      <c r="M257" s="8"/>
      <c r="N257" s="266"/>
    </row>
    <row r="258" spans="1:14" s="3" customFormat="1" ht="12.2" customHeight="1" thickTop="1" x14ac:dyDescent="0.15">
      <c r="A258" s="38" t="s">
        <v>462</v>
      </c>
      <c r="B258" s="40">
        <v>10</v>
      </c>
      <c r="C258" s="40">
        <v>8</v>
      </c>
      <c r="D258" s="39" t="s">
        <v>431</v>
      </c>
      <c r="E258" s="40"/>
      <c r="F258" s="41">
        <f t="shared" ref="F258:L258" si="8">F212+F230+F248+F257</f>
        <v>649070.09</v>
      </c>
      <c r="G258" s="41">
        <f t="shared" si="8"/>
        <v>292712.11999999994</v>
      </c>
      <c r="H258" s="41">
        <f t="shared" si="8"/>
        <v>269043.16000000003</v>
      </c>
      <c r="I258" s="41">
        <f t="shared" si="8"/>
        <v>77946.850000000006</v>
      </c>
      <c r="J258" s="41">
        <f t="shared" si="8"/>
        <v>21675.79</v>
      </c>
      <c r="K258" s="41">
        <f t="shared" si="8"/>
        <v>4301.43</v>
      </c>
      <c r="L258" s="41">
        <f t="shared" si="8"/>
        <v>1314749.4399999999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5.94</v>
      </c>
      <c r="L265" s="19">
        <f t="shared" ref="L265:L271" si="9">SUM(F265:K265)</f>
        <v>5.94</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5.94</v>
      </c>
      <c r="L271" s="41">
        <f t="shared" si="9"/>
        <v>5.94</v>
      </c>
      <c r="M271" s="8"/>
      <c r="N271" s="266"/>
    </row>
    <row r="272" spans="1:14" s="34" customFormat="1" ht="12.2" customHeight="1" thickTop="1" x14ac:dyDescent="0.2">
      <c r="A272" s="43" t="s">
        <v>464</v>
      </c>
      <c r="B272" s="40">
        <v>10</v>
      </c>
      <c r="C272" s="40">
        <v>18</v>
      </c>
      <c r="D272" s="39" t="s">
        <v>431</v>
      </c>
      <c r="E272" s="40"/>
      <c r="F272" s="42">
        <f t="shared" ref="F272:L272" si="11">F258+F271</f>
        <v>649070.09</v>
      </c>
      <c r="G272" s="42">
        <f t="shared" si="11"/>
        <v>292712.11999999994</v>
      </c>
      <c r="H272" s="42">
        <f t="shared" si="11"/>
        <v>269043.16000000003</v>
      </c>
      <c r="I272" s="42">
        <f t="shared" si="11"/>
        <v>77946.850000000006</v>
      </c>
      <c r="J272" s="42">
        <f t="shared" si="11"/>
        <v>21675.79</v>
      </c>
      <c r="K272" s="42">
        <f t="shared" si="11"/>
        <v>4307.37</v>
      </c>
      <c r="L272" s="42">
        <f t="shared" si="11"/>
        <v>1314755.3799999999</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81422.720000000001</v>
      </c>
      <c r="J277" s="18"/>
      <c r="K277" s="18"/>
      <c r="L277" s="19">
        <f>SUM(F277:K277)</f>
        <v>81422.720000000001</v>
      </c>
      <c r="M277" s="8"/>
      <c r="N277" s="266"/>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v>3009.89</v>
      </c>
      <c r="J280" s="18"/>
      <c r="K280" s="18"/>
      <c r="L280" s="19">
        <f>SUM(F280:K280)</f>
        <v>3009.89</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84432.61</v>
      </c>
      <c r="J291" s="42">
        <f t="shared" si="13"/>
        <v>0</v>
      </c>
      <c r="K291" s="42">
        <f t="shared" si="13"/>
        <v>0</v>
      </c>
      <c r="L291" s="41">
        <f t="shared" si="13"/>
        <v>84432.61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0</v>
      </c>
      <c r="G339" s="41">
        <f t="shared" si="20"/>
        <v>0</v>
      </c>
      <c r="H339" s="41">
        <f t="shared" si="20"/>
        <v>0</v>
      </c>
      <c r="I339" s="41">
        <f t="shared" si="20"/>
        <v>84432.61</v>
      </c>
      <c r="J339" s="41">
        <f t="shared" si="20"/>
        <v>0</v>
      </c>
      <c r="K339" s="41">
        <f t="shared" si="20"/>
        <v>0</v>
      </c>
      <c r="L339" s="41">
        <f t="shared" si="20"/>
        <v>84432.61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0</v>
      </c>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0</v>
      </c>
      <c r="G353" s="41">
        <f>G339</f>
        <v>0</v>
      </c>
      <c r="H353" s="41">
        <f>H339</f>
        <v>0</v>
      </c>
      <c r="I353" s="41">
        <f>I339</f>
        <v>84432.61</v>
      </c>
      <c r="J353" s="41">
        <f>J339</f>
        <v>0</v>
      </c>
      <c r="K353" s="47">
        <f>K339+K352</f>
        <v>0</v>
      </c>
      <c r="L353" s="41">
        <f>L339+L352</f>
        <v>84432.61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0</v>
      </c>
      <c r="I363" s="47">
        <f t="shared" si="22"/>
        <v>0</v>
      </c>
      <c r="J363" s="47">
        <f t="shared" si="22"/>
        <v>0</v>
      </c>
      <c r="K363" s="47">
        <f t="shared" si="22"/>
        <v>0</v>
      </c>
      <c r="L363" s="47">
        <f t="shared" si="22"/>
        <v>0</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0</v>
      </c>
      <c r="I409" s="47">
        <f>I394+I402+I408</f>
        <v>0</v>
      </c>
      <c r="J409" s="24" t="s">
        <v>288</v>
      </c>
      <c r="K409" s="24" t="s">
        <v>288</v>
      </c>
      <c r="L409" s="47">
        <f>L394+L402+L408</f>
        <v>0</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0</v>
      </c>
      <c r="H447" s="13">
        <f>SUM(H440:H446)</f>
        <v>0</v>
      </c>
      <c r="I447" s="13">
        <f>SUM(I440:I446)</f>
        <v>0</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0</v>
      </c>
      <c r="H461" s="83">
        <f>SUM(H455:H460)</f>
        <v>0</v>
      </c>
      <c r="I461" s="83">
        <f>SUM(I455:I460)</f>
        <v>0</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0</v>
      </c>
      <c r="H462" s="42">
        <f>H453+H461</f>
        <v>0</v>
      </c>
      <c r="I462" s="42">
        <f>I453+I461</f>
        <v>0</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207210.16</v>
      </c>
      <c r="G466" s="18">
        <v>170.46</v>
      </c>
      <c r="H466" s="18">
        <v>-5.05</v>
      </c>
      <c r="I466" s="18"/>
      <c r="J466" s="18"/>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1231095.21</v>
      </c>
      <c r="G469" s="18">
        <v>0</v>
      </c>
      <c r="H469" s="18">
        <v>84437.66</v>
      </c>
      <c r="I469" s="18"/>
      <c r="J469" s="18"/>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1231095.21</v>
      </c>
      <c r="G471" s="53">
        <f>SUM(G469:G470)</f>
        <v>0</v>
      </c>
      <c r="H471" s="53">
        <f>SUM(H469:H470)</f>
        <v>84437.66</v>
      </c>
      <c r="I471" s="53">
        <f>SUM(I469:I470)</f>
        <v>0</v>
      </c>
      <c r="J471" s="53">
        <f>SUM(J469:J470)</f>
        <v>0</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1314755.3799999999</v>
      </c>
      <c r="G473" s="18">
        <v>0</v>
      </c>
      <c r="H473" s="18">
        <v>84432.61</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1314755.3799999999</v>
      </c>
      <c r="G475" s="53">
        <f>SUM(G473:G474)</f>
        <v>0</v>
      </c>
      <c r="H475" s="53">
        <f>SUM(H473:H474)</f>
        <v>84432.61</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123549.98999999999</v>
      </c>
      <c r="G477" s="53">
        <f>(G466+G471)- G475</f>
        <v>170.46</v>
      </c>
      <c r="H477" s="53">
        <f>(H466+H471)- H475</f>
        <v>0</v>
      </c>
      <c r="I477" s="53">
        <f>(I466+I471)- I475</f>
        <v>0</v>
      </c>
      <c r="J477" s="53">
        <f>(J466+J471)- J475</f>
        <v>0</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95067.24</v>
      </c>
      <c r="G522" s="18">
        <v>51680.82</v>
      </c>
      <c r="H522" s="18">
        <v>18001.68</v>
      </c>
      <c r="I522" s="18">
        <v>955.07</v>
      </c>
      <c r="J522" s="18"/>
      <c r="K522" s="18">
        <v>65</v>
      </c>
      <c r="L522" s="88">
        <f>SUM(F522:K522)</f>
        <v>165769.81</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95067.24</v>
      </c>
      <c r="G525" s="108">
        <f t="shared" ref="G525:L525" si="36">SUM(G522:G524)</f>
        <v>51680.82</v>
      </c>
      <c r="H525" s="108">
        <f t="shared" si="36"/>
        <v>18001.68</v>
      </c>
      <c r="I525" s="108">
        <f t="shared" si="36"/>
        <v>955.07</v>
      </c>
      <c r="J525" s="108">
        <f t="shared" si="36"/>
        <v>0</v>
      </c>
      <c r="K525" s="108">
        <f t="shared" si="36"/>
        <v>65</v>
      </c>
      <c r="L525" s="89">
        <f t="shared" si="36"/>
        <v>165769.81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7507.75</v>
      </c>
      <c r="G527" s="18">
        <v>2942.67</v>
      </c>
      <c r="H527" s="18">
        <v>2934.87</v>
      </c>
      <c r="I527" s="18">
        <v>18.739999999999998</v>
      </c>
      <c r="J527" s="18"/>
      <c r="K527" s="18"/>
      <c r="L527" s="88">
        <f>SUM(F527:K527)</f>
        <v>13404.03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7507.75</v>
      </c>
      <c r="G530" s="89">
        <f t="shared" ref="G530:L530" si="37">SUM(G527:G529)</f>
        <v>2942.67</v>
      </c>
      <c r="H530" s="89">
        <f t="shared" si="37"/>
        <v>2934.87</v>
      </c>
      <c r="I530" s="89">
        <f t="shared" si="37"/>
        <v>18.739999999999998</v>
      </c>
      <c r="J530" s="89">
        <f t="shared" si="37"/>
        <v>0</v>
      </c>
      <c r="K530" s="89">
        <f t="shared" si="37"/>
        <v>0</v>
      </c>
      <c r="L530" s="89">
        <f t="shared" si="37"/>
        <v>13404.03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6825.66</v>
      </c>
      <c r="G532" s="18">
        <v>3041.45</v>
      </c>
      <c r="H532" s="18"/>
      <c r="I532" s="18"/>
      <c r="J532" s="18"/>
      <c r="K532" s="18"/>
      <c r="L532" s="88">
        <f>SUM(F532:K532)</f>
        <v>9867.11</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6825.66</v>
      </c>
      <c r="G535" s="89">
        <f t="shared" ref="G535:L535" si="38">SUM(G532:G534)</f>
        <v>3041.45</v>
      </c>
      <c r="H535" s="89">
        <f t="shared" si="38"/>
        <v>0</v>
      </c>
      <c r="I535" s="89">
        <f t="shared" si="38"/>
        <v>0</v>
      </c>
      <c r="J535" s="89">
        <f t="shared" si="38"/>
        <v>0</v>
      </c>
      <c r="K535" s="89">
        <f t="shared" si="38"/>
        <v>0</v>
      </c>
      <c r="L535" s="89">
        <f t="shared" si="38"/>
        <v>9867.11</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1983.5</v>
      </c>
      <c r="I537" s="18"/>
      <c r="J537" s="18"/>
      <c r="K537" s="18"/>
      <c r="L537" s="88">
        <f>SUM(F537:K537)</f>
        <v>1983.5</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1983.5</v>
      </c>
      <c r="I540" s="89">
        <f t="shared" si="39"/>
        <v>0</v>
      </c>
      <c r="J540" s="89">
        <f t="shared" si="39"/>
        <v>0</v>
      </c>
      <c r="K540" s="89">
        <f t="shared" si="39"/>
        <v>0</v>
      </c>
      <c r="L540" s="89">
        <f t="shared" si="39"/>
        <v>1983.5</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109400.65000000001</v>
      </c>
      <c r="G546" s="89">
        <f t="shared" ref="G546:L546" si="41">G525+G530+G535+G540+G545</f>
        <v>57664.939999999995</v>
      </c>
      <c r="H546" s="89">
        <f t="shared" si="41"/>
        <v>22920.05</v>
      </c>
      <c r="I546" s="89">
        <f t="shared" si="41"/>
        <v>973.81000000000006</v>
      </c>
      <c r="J546" s="89">
        <f t="shared" si="41"/>
        <v>0</v>
      </c>
      <c r="K546" s="89">
        <f t="shared" si="41"/>
        <v>65</v>
      </c>
      <c r="L546" s="89">
        <f t="shared" si="41"/>
        <v>191024.45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165769.81</v>
      </c>
      <c r="G550" s="87">
        <f>L527</f>
        <v>13404.03</v>
      </c>
      <c r="H550" s="87">
        <f>L532</f>
        <v>9867.11</v>
      </c>
      <c r="I550" s="87">
        <f>L537</f>
        <v>1983.5</v>
      </c>
      <c r="J550" s="87">
        <f>L542</f>
        <v>0</v>
      </c>
      <c r="K550" s="87">
        <f>SUM(F550:J550)</f>
        <v>191024.45</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165769.81</v>
      </c>
      <c r="G553" s="89">
        <f t="shared" si="42"/>
        <v>13404.03</v>
      </c>
      <c r="H553" s="89">
        <f t="shared" si="42"/>
        <v>9867.11</v>
      </c>
      <c r="I553" s="89">
        <f t="shared" si="42"/>
        <v>1983.5</v>
      </c>
      <c r="J553" s="89">
        <f t="shared" si="42"/>
        <v>0</v>
      </c>
      <c r="K553" s="89">
        <f t="shared" si="42"/>
        <v>191024.45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54164.15</v>
      </c>
      <c r="I576" s="87">
        <f>SUM(F576:H576)</f>
        <v>54164.15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2280.92</v>
      </c>
      <c r="I580" s="87">
        <f t="shared" si="47"/>
        <v>2280.92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c r="I592" s="18"/>
      <c r="J592" s="18"/>
      <c r="K592" s="104">
        <f t="shared" ref="K592:K598" si="48">SUM(H592:J592)</f>
        <v>0</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2715</v>
      </c>
      <c r="I596" s="18"/>
      <c r="J596" s="18"/>
      <c r="K596" s="104">
        <f t="shared" si="48"/>
        <v>2715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2715</v>
      </c>
      <c r="I599" s="108">
        <f>SUM(I592:I598)</f>
        <v>0</v>
      </c>
      <c r="J599" s="108">
        <f>SUM(J592:J598)</f>
        <v>0</v>
      </c>
      <c r="K599" s="108">
        <f>SUM(K592:K598)</f>
        <v>2715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21675.79</v>
      </c>
      <c r="I605" s="18"/>
      <c r="J605" s="18"/>
      <c r="K605" s="104">
        <f>SUM(H605:J605)</f>
        <v>21675.79</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21675.79</v>
      </c>
      <c r="I606" s="108">
        <f>SUM(I603:I605)</f>
        <v>0</v>
      </c>
      <c r="J606" s="108">
        <f>SUM(J603:J605)</f>
        <v>0</v>
      </c>
      <c r="K606" s="108">
        <f>SUM(K603:K605)</f>
        <v>21675.79</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131752.18</v>
      </c>
      <c r="H618" s="109">
        <f>SUM(F52)</f>
        <v>131752.18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170.46</v>
      </c>
      <c r="H619" s="109">
        <f>SUM(G52)</f>
        <v>170.46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0</v>
      </c>
      <c r="H622" s="109">
        <f>SUM(J52)</f>
        <v>0</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123549.98999999999</v>
      </c>
      <c r="H623" s="109">
        <f>F477</f>
        <v>123549.98999999999</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170.46</v>
      </c>
      <c r="H624" s="109">
        <f>G477</f>
        <v>170.46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0</v>
      </c>
      <c r="H627" s="109">
        <f>J477</f>
        <v>0</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1231095.21</v>
      </c>
      <c r="H628" s="104">
        <f>SUM(F469)</f>
        <v>1231095.21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0</v>
      </c>
      <c r="H629" s="104">
        <f>SUM(G469)</f>
        <v>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84437.66</v>
      </c>
      <c r="H630" s="104">
        <f>SUM(H469)</f>
        <v>84437.66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0</v>
      </c>
      <c r="H632" s="104">
        <f>SUM(J469)</f>
        <v>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1314755.3799999999</v>
      </c>
      <c r="H633" s="104">
        <f>SUM(F473)</f>
        <v>1314755.3799999999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84432.61</v>
      </c>
      <c r="H634" s="104">
        <f>SUM(H473)</f>
        <v>84432.61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0</v>
      </c>
      <c r="H636" s="104">
        <f>SUM(G473)</f>
        <v>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0</v>
      </c>
      <c r="H638" s="164">
        <f>SUM(J469)</f>
        <v>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0</v>
      </c>
      <c r="H643" s="104">
        <f>SUM(I462)</f>
        <v>0</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0</v>
      </c>
      <c r="H647" s="104">
        <f>L409</f>
        <v>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2715</v>
      </c>
      <c r="H648" s="104">
        <f>L209+L227+L245</f>
        <v>2715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21675.79</v>
      </c>
      <c r="H649" s="104">
        <f>(J258+J339)-(J256+J337)</f>
        <v>21675.79</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2715</v>
      </c>
      <c r="H650" s="104">
        <f>H599</f>
        <v>2715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5.94</v>
      </c>
      <c r="H654" s="104">
        <f>K265</f>
        <v>5.94</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1327829.1000000001</v>
      </c>
      <c r="G661" s="19">
        <f>(L230+L310+L360)</f>
        <v>0</v>
      </c>
      <c r="H661" s="19">
        <f>(L248+L329+L361)</f>
        <v>56445.07</v>
      </c>
      <c r="I661" s="19">
        <f>SUM(F661:H661)</f>
        <v>1384274.1700000002</v>
      </c>
      <c r="J661" s="13"/>
      <c r="K661" s="13"/>
      <c r="L661" s="13"/>
      <c r="M661" s="9"/>
    </row>
    <row r="662" spans="1:13" s="3" customFormat="1" ht="12.2" customHeight="1" x14ac:dyDescent="0.2">
      <c r="A662" s="1" t="s">
        <v>127</v>
      </c>
      <c r="F662" s="19">
        <f>(L359/IF(SUM(L359:L361)=0,1,SUM(L359:L361))*(SUM(G97:G110)))</f>
        <v>0</v>
      </c>
      <c r="G662" s="19">
        <f>(L360/IF(SUM(L359:L361)=0,1,SUM(L359:L361))*(SUM(G97:G110)))</f>
        <v>0</v>
      </c>
      <c r="H662" s="19">
        <f>(L361/IF(SUM(L359:L361)=0,1,SUM(L359:L361))*(SUM(G97:G110)))</f>
        <v>0</v>
      </c>
      <c r="I662" s="19">
        <f>SUM(F662:H662)</f>
        <v>0</v>
      </c>
      <c r="J662"/>
      <c r="K662" s="13"/>
      <c r="L662" s="13"/>
      <c r="M662" s="8"/>
    </row>
    <row r="663" spans="1:13" s="3" customFormat="1" ht="12.2" customHeight="1" x14ac:dyDescent="0.2">
      <c r="A663" s="1" t="s">
        <v>128</v>
      </c>
      <c r="F663" s="19">
        <f>(L209+L288)-(J209+J288)</f>
        <v>2715</v>
      </c>
      <c r="G663" s="19">
        <f>(L227+L307)-(J227+J307)</f>
        <v>0</v>
      </c>
      <c r="H663" s="19">
        <f>(L245+L326)-(J245+J326)</f>
        <v>0</v>
      </c>
      <c r="I663" s="19">
        <f>SUM(F663:H663)</f>
        <v>2715</v>
      </c>
      <c r="J663"/>
      <c r="K663" s="13"/>
      <c r="L663" s="13"/>
      <c r="M663" s="9"/>
    </row>
    <row r="664" spans="1:13" s="3" customFormat="1" ht="12.2" customHeight="1" x14ac:dyDescent="0.15">
      <c r="A664" s="198" t="s">
        <v>129</v>
      </c>
      <c r="B664" s="169"/>
      <c r="C664" s="169"/>
      <c r="D664" s="169"/>
      <c r="E664" s="169"/>
      <c r="F664" s="199">
        <f>SUM(F576:F588)+SUM(H603:H605)+SUM(L612)</f>
        <v>21675.79</v>
      </c>
      <c r="G664" s="199">
        <f>SUM(G576:G588)+SUM(I603:I605)+L613</f>
        <v>0</v>
      </c>
      <c r="H664" s="199">
        <f>SUM(H576:H588)+SUM(J603:J605)+L614</f>
        <v>56445.07</v>
      </c>
      <c r="I664" s="19">
        <f>SUM(F664:H664)</f>
        <v>78120.86</v>
      </c>
      <c r="J664" s="13"/>
      <c r="K664" s="13"/>
      <c r="L664" s="13"/>
      <c r="M664" s="9"/>
    </row>
    <row r="665" spans="1:13" s="3" customFormat="1" ht="12.2" customHeight="1" x14ac:dyDescent="0.15">
      <c r="A665" s="1" t="s">
        <v>130</v>
      </c>
      <c r="F665" s="19">
        <f>F661-SUM(F662:F664)</f>
        <v>1303438.31</v>
      </c>
      <c r="G665" s="19">
        <f>G661-SUM(G662:G664)</f>
        <v>0</v>
      </c>
      <c r="H665" s="19">
        <f>H661-SUM(H662:H664)</f>
        <v>0</v>
      </c>
      <c r="I665" s="19">
        <f>I661-SUM(I662:I664)</f>
        <v>1303438.31</v>
      </c>
      <c r="J665" s="13"/>
      <c r="K665" s="13"/>
      <c r="L665" s="13"/>
      <c r="M665" s="8"/>
    </row>
    <row r="666" spans="1:13" s="3" customFormat="1" ht="12.2" customHeight="1" x14ac:dyDescent="0.2">
      <c r="A666" s="1" t="s">
        <v>131</v>
      </c>
      <c r="F666" s="246">
        <v>61.36</v>
      </c>
      <c r="G666" s="247"/>
      <c r="H666" s="247"/>
      <c r="I666" s="19">
        <f>SUM(F666:H666)</f>
        <v>61.36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21242.48</v>
      </c>
      <c r="G668" s="19" t="e">
        <f>ROUND(G665/G666,2)</f>
        <v>#DIV/0!</v>
      </c>
      <c r="H668" s="19" t="e">
        <f>ROUND(H665/H666,2)</f>
        <v>#DIV/0!</v>
      </c>
      <c r="I668" s="19">
        <f>ROUND(I665/I666,2)</f>
        <v>21242.48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21242.48</v>
      </c>
      <c r="G673" s="19" t="e">
        <f>ROUND((G665+G670)/(G666+G671),2)</f>
        <v>#DIV/0!</v>
      </c>
      <c r="H673" s="19" t="e">
        <f>ROUND((H665+H670)/(H666+H671),2)</f>
        <v>#DIV/0!</v>
      </c>
      <c r="I673" s="19">
        <f>ROUND((I665+I670)/(I666+I671),2)</f>
        <v>21242.48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C2" zoomScaleNormal="100" workbookViewId="0">
      <selection activeCell="E24" sqref="E24"/>
    </sheetView>
  </sheetViews>
  <sheetFormatPr defaultColWidth="9.33203125"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0</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81422.720000000001</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81422.720000000001</v>
      </c>
      <c r="F22" s="348"/>
    </row>
    <row r="23" spans="2:8" x14ac:dyDescent="0.25">
      <c r="B23" s="348"/>
      <c r="C23" s="348"/>
      <c r="D23" s="348"/>
      <c r="E23" s="348"/>
      <c r="F23" s="348"/>
    </row>
    <row r="24" spans="2:8" ht="26.25" customHeight="1" x14ac:dyDescent="0.25">
      <c r="B24" s="348"/>
      <c r="C24" s="350" t="s">
        <v>1661</v>
      </c>
      <c r="D24" s="348"/>
      <c r="E24" s="343">
        <v>81422.720000000001</v>
      </c>
      <c r="F24" s="348"/>
    </row>
    <row r="25" spans="2:8" ht="18" x14ac:dyDescent="0.25">
      <c r="B25" s="348"/>
      <c r="C25" s="351"/>
      <c r="D25" s="348"/>
      <c r="E25" s="348"/>
      <c r="F25" s="348"/>
    </row>
    <row r="26" spans="2:8" ht="27.75" customHeight="1" x14ac:dyDescent="0.25">
      <c r="B26" s="348"/>
      <c r="C26" s="350" t="s">
        <v>1662</v>
      </c>
      <c r="D26" s="348"/>
      <c r="E26" s="343"/>
      <c r="F26" s="348"/>
    </row>
    <row r="27" spans="2:8" x14ac:dyDescent="0.25">
      <c r="B27" s="348"/>
      <c r="C27" s="350"/>
      <c r="D27" s="348"/>
      <c r="E27" s="348"/>
      <c r="F27" s="348"/>
    </row>
    <row r="28" spans="2:8" ht="15.75" customHeight="1" x14ac:dyDescent="0.25">
      <c r="B28" s="348"/>
      <c r="C28" s="350" t="s">
        <v>1663</v>
      </c>
      <c r="D28" s="348"/>
      <c r="E28" s="344"/>
      <c r="F28" s="348"/>
    </row>
    <row r="29" spans="2:8" x14ac:dyDescent="0.25">
      <c r="B29" s="348"/>
      <c r="C29" s="348"/>
      <c r="D29" s="348"/>
      <c r="E29" s="348"/>
      <c r="F29" s="348"/>
    </row>
    <row r="30" spans="2:8" ht="16.5" customHeight="1" x14ac:dyDescent="0.25">
      <c r="B30" s="348"/>
      <c r="C30" s="350" t="s">
        <v>1664</v>
      </c>
      <c r="D30" s="348"/>
      <c r="E30" s="343"/>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c r="C3" s="322"/>
      <c r="D3" s="322"/>
      <c r="E3" s="322"/>
      <c r="F3" s="322"/>
      <c r="G3" s="322"/>
      <c r="H3" s="322"/>
      <c r="I3" t="s">
        <v>1621</v>
      </c>
    </row>
    <row r="4" spans="1:9" x14ac:dyDescent="0.2">
      <c r="I4" t="s">
        <v>1622</v>
      </c>
    </row>
    <row r="5" spans="1:9" ht="15.75" x14ac:dyDescent="0.25">
      <c r="A5" s="318" t="s">
        <v>908</v>
      </c>
      <c r="B5" s="363" t="str">
        <f>'DOE25'!A2</f>
        <v>WATERVILLE VALLEY SCHOOL DISTRICT</v>
      </c>
      <c r="C5" s="364"/>
      <c r="D5" s="364"/>
      <c r="E5" s="364"/>
      <c r="F5" s="364"/>
    </row>
    <row r="8" spans="1:9" ht="18" x14ac:dyDescent="0.25">
      <c r="A8" s="319" t="s">
        <v>1576</v>
      </c>
      <c r="F8" s="326" t="s">
        <v>1594</v>
      </c>
    </row>
    <row r="9" spans="1:9" ht="15" x14ac:dyDescent="0.2">
      <c r="A9" s="317" t="s">
        <v>1577</v>
      </c>
      <c r="B9" s="320">
        <f>'DOE25'!G97</f>
        <v>0</v>
      </c>
      <c r="F9" s="317" t="s">
        <v>1590</v>
      </c>
    </row>
    <row r="10" spans="1:9" ht="15" x14ac:dyDescent="0.2">
      <c r="A10" s="317" t="s">
        <v>1578</v>
      </c>
      <c r="B10" s="320">
        <f>'DOE25'!G112-'DOE25'!G97</f>
        <v>0</v>
      </c>
      <c r="F10" s="317" t="s">
        <v>1591</v>
      </c>
    </row>
    <row r="11" spans="1:9" ht="15" x14ac:dyDescent="0.2">
      <c r="A11" s="317" t="s">
        <v>1579</v>
      </c>
      <c r="B11" s="320">
        <f>'DOE25'!G140</f>
        <v>0</v>
      </c>
      <c r="F11" s="317" t="s">
        <v>1592</v>
      </c>
    </row>
    <row r="12" spans="1:9" ht="15" x14ac:dyDescent="0.2">
      <c r="A12" s="317" t="s">
        <v>1580</v>
      </c>
      <c r="B12" s="320">
        <f>'DOE25'!G170</f>
        <v>0</v>
      </c>
      <c r="F12" s="317" t="s">
        <v>1593</v>
      </c>
    </row>
    <row r="13" spans="1:9" ht="15" x14ac:dyDescent="0.2">
      <c r="A13" s="317" t="s">
        <v>1581</v>
      </c>
      <c r="B13" s="320">
        <f>'DOE25'!G193-'DOE25'!G180</f>
        <v>0</v>
      </c>
      <c r="F13" s="317" t="s">
        <v>1603</v>
      </c>
    </row>
    <row r="14" spans="1:9" ht="18" x14ac:dyDescent="0.25">
      <c r="A14" s="319" t="s">
        <v>732</v>
      </c>
      <c r="B14" s="321">
        <f>SUM(B9:B13)</f>
        <v>0</v>
      </c>
    </row>
    <row r="16" spans="1:9" ht="18" x14ac:dyDescent="0.25">
      <c r="A16" s="319" t="s">
        <v>786</v>
      </c>
      <c r="F16" s="326" t="s">
        <v>1595</v>
      </c>
    </row>
    <row r="17" spans="1:6" ht="15" x14ac:dyDescent="0.2">
      <c r="A17" s="317" t="s">
        <v>1582</v>
      </c>
      <c r="B17" s="320">
        <f>'DOE25'!L363-'DOE25'!L362</f>
        <v>0</v>
      </c>
      <c r="F17" s="317" t="s">
        <v>1596</v>
      </c>
    </row>
    <row r="18" spans="1:6" ht="15" x14ac:dyDescent="0.2">
      <c r="A18" s="317" t="s">
        <v>1583</v>
      </c>
      <c r="B18" s="330"/>
      <c r="F18" s="326" t="s">
        <v>1620</v>
      </c>
    </row>
    <row r="19" spans="1:6" ht="18" x14ac:dyDescent="0.25">
      <c r="A19" s="319" t="s">
        <v>725</v>
      </c>
      <c r="B19" s="321">
        <f>SUM(B17:B18)</f>
        <v>0</v>
      </c>
    </row>
    <row r="21" spans="1:6" ht="18.75" thickBot="1" x14ac:dyDescent="0.3">
      <c r="A21" s="319" t="s">
        <v>1584</v>
      </c>
    </row>
    <row r="22" spans="1:6" ht="18.75" thickTop="1" x14ac:dyDescent="0.25">
      <c r="A22" s="319" t="s">
        <v>1585</v>
      </c>
      <c r="B22" s="325">
        <f>B14-B19</f>
        <v>0</v>
      </c>
      <c r="F22" s="317" t="s">
        <v>1597</v>
      </c>
    </row>
    <row r="26" spans="1:6" ht="18" x14ac:dyDescent="0.25">
      <c r="A26" s="319" t="s">
        <v>186</v>
      </c>
    </row>
    <row r="27" spans="1:6" ht="15" x14ac:dyDescent="0.2">
      <c r="A27" s="317" t="s">
        <v>1586</v>
      </c>
      <c r="B27" s="320">
        <f>'DOE25'!G180</f>
        <v>0</v>
      </c>
      <c r="F27" s="317" t="s">
        <v>1598</v>
      </c>
    </row>
    <row r="28" spans="1:6" ht="15" x14ac:dyDescent="0.2">
      <c r="A28" s="317" t="s">
        <v>1588</v>
      </c>
      <c r="B28" s="320">
        <f>'DOE25'!L362</f>
        <v>0</v>
      </c>
      <c r="F28" s="317" t="s">
        <v>1599</v>
      </c>
    </row>
    <row r="31" spans="1:6" ht="15" x14ac:dyDescent="0.2">
      <c r="A31" s="317" t="s">
        <v>1628</v>
      </c>
      <c r="B31" s="320">
        <f>'DOE25'!G466</f>
        <v>170.46</v>
      </c>
      <c r="F31" s="317" t="s">
        <v>1600</v>
      </c>
    </row>
    <row r="33" spans="1:6" ht="15" x14ac:dyDescent="0.2">
      <c r="A33" s="317" t="s">
        <v>1629</v>
      </c>
      <c r="B33" s="320">
        <f>'DOE25'!G477</f>
        <v>170.46</v>
      </c>
      <c r="F33" s="317" t="s">
        <v>1601</v>
      </c>
    </row>
    <row r="36" spans="1:6" ht="15" x14ac:dyDescent="0.2">
      <c r="A36" s="317" t="s">
        <v>1587</v>
      </c>
      <c r="B36" s="331"/>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B37" sqref="B37"/>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WATERVILLE VALLEY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321433.62</v>
      </c>
      <c r="C9" s="229">
        <f>'DOE25'!G198+'DOE25'!G216+'DOE25'!G234+'DOE25'!G277+'DOE25'!G296+'DOE25'!G315</f>
        <v>156385.9</v>
      </c>
    </row>
    <row r="10" spans="1:3" x14ac:dyDescent="0.2">
      <c r="A10" t="s">
        <v>775</v>
      </c>
      <c r="B10" s="240">
        <v>314261.12</v>
      </c>
      <c r="C10" s="240">
        <v>155717.92000000001</v>
      </c>
    </row>
    <row r="11" spans="1:3" x14ac:dyDescent="0.2">
      <c r="A11" t="s">
        <v>776</v>
      </c>
      <c r="B11" s="240"/>
      <c r="C11" s="240"/>
    </row>
    <row r="12" spans="1:3" x14ac:dyDescent="0.2">
      <c r="A12" t="s">
        <v>777</v>
      </c>
      <c r="B12" s="240">
        <v>7172.5</v>
      </c>
      <c r="C12" s="240">
        <v>667.98</v>
      </c>
    </row>
    <row r="13" spans="1:3" x14ac:dyDescent="0.2">
      <c r="A13" t="str">
        <f>IF(B9=B13,IF(C9=C13,"Check Total OK","Check Total Error"),"Check Total Error")</f>
        <v>Check Total OK</v>
      </c>
      <c r="B13" s="231">
        <f>SUM(B10:B12)</f>
        <v>321433.62</v>
      </c>
      <c r="C13" s="231">
        <f>SUM(C10:C12)</f>
        <v>156385.90000000002</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95067.24</v>
      </c>
      <c r="C18" s="229">
        <f>'DOE25'!G199+'DOE25'!G217+'DOE25'!G235+'DOE25'!G278+'DOE25'!G297+'DOE25'!G316</f>
        <v>51680.82</v>
      </c>
    </row>
    <row r="19" spans="1:3" x14ac:dyDescent="0.2">
      <c r="A19" t="s">
        <v>775</v>
      </c>
      <c r="B19" s="240">
        <v>63428.3</v>
      </c>
      <c r="C19" s="240">
        <v>48423.99</v>
      </c>
    </row>
    <row r="20" spans="1:3" x14ac:dyDescent="0.2">
      <c r="A20" t="s">
        <v>776</v>
      </c>
      <c r="B20" s="240">
        <v>26880.94</v>
      </c>
      <c r="C20" s="240">
        <v>2594.44</v>
      </c>
    </row>
    <row r="21" spans="1:3" x14ac:dyDescent="0.2">
      <c r="A21" t="s">
        <v>777</v>
      </c>
      <c r="B21" s="240">
        <v>4758</v>
      </c>
      <c r="C21" s="240">
        <v>662.39</v>
      </c>
    </row>
    <row r="22" spans="1:3" x14ac:dyDescent="0.2">
      <c r="A22" t="str">
        <f>IF(B18=B22,IF(C18=C22,"Check Total OK","Check Total Error"),"Check Total Error")</f>
        <v>Check Total OK</v>
      </c>
      <c r="B22" s="231">
        <f>SUM(B19:B21)</f>
        <v>95067.24</v>
      </c>
      <c r="C22" s="231">
        <f>SUM(C19:C21)</f>
        <v>51680.82</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8928.25</v>
      </c>
      <c r="C36" s="235">
        <f>'DOE25'!G201+'DOE25'!G219+'DOE25'!G237+'DOE25'!G280+'DOE25'!G299+'DOE25'!G318</f>
        <v>1897.96</v>
      </c>
    </row>
    <row r="37" spans="1:3" x14ac:dyDescent="0.2">
      <c r="A37" t="s">
        <v>775</v>
      </c>
      <c r="B37" s="240">
        <v>8928.25</v>
      </c>
      <c r="C37" s="240">
        <v>1897.96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8928.25</v>
      </c>
      <c r="C40" s="231">
        <f>SUM(C37:C39)</f>
        <v>1897.96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WATERVILLE VALLEY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752896.05999999994</v>
      </c>
      <c r="D5" s="20">
        <f>SUM('DOE25'!L198:L201)+SUM('DOE25'!L216:L219)+SUM('DOE25'!L234:L237)-F5-G5-H5</f>
        <v>749768.65999999992</v>
      </c>
      <c r="E5" s="243"/>
      <c r="F5" s="244"/>
      <c r="G5" s="53">
        <f>SUM('DOE25'!J198:J201)+SUM('DOE25'!J216:J219)+SUM('DOE25'!J234:J237)</f>
        <v>1801.9</v>
      </c>
      <c r="H5" s="53">
        <f>SUM('DOE25'!K198:K201)+SUM('DOE25'!K216:K219)+SUM('DOE25'!K234:K237)</f>
        <v>1325.5</v>
      </c>
      <c r="I5" s="256"/>
    </row>
    <row r="6" spans="1:9" x14ac:dyDescent="0.2">
      <c r="A6" s="32">
        <v>2100</v>
      </c>
      <c r="B6" t="s">
        <v>796</v>
      </c>
      <c r="C6" s="275">
        <f t="shared" si="0"/>
        <v>67194.150000000009</v>
      </c>
      <c r="D6" s="20">
        <f>'DOE25'!L203+'DOE25'!L221+'DOE25'!L239-F6-G6-H6</f>
        <v>67194.150000000009</v>
      </c>
      <c r="E6" s="243"/>
      <c r="F6" s="244"/>
      <c r="G6" s="53">
        <f>'DOE25'!J203+'DOE25'!J221+'DOE25'!J239</f>
        <v>0</v>
      </c>
      <c r="H6" s="53">
        <f>'DOE25'!K203+'DOE25'!K221+'DOE25'!K239</f>
        <v>0</v>
      </c>
      <c r="I6" s="256"/>
    </row>
    <row r="7" spans="1:9" x14ac:dyDescent="0.2">
      <c r="A7" s="32">
        <v>2200</v>
      </c>
      <c r="B7" t="s">
        <v>821</v>
      </c>
      <c r="C7" s="275">
        <f t="shared" si="0"/>
        <v>38602.239999999998</v>
      </c>
      <c r="D7" s="20">
        <f>'DOE25'!L204+'DOE25'!L222+'DOE25'!L240-F7-G7-H7</f>
        <v>27021.019999999997</v>
      </c>
      <c r="E7" s="243"/>
      <c r="F7" s="244"/>
      <c r="G7" s="53">
        <f>'DOE25'!J204+'DOE25'!J222+'DOE25'!J240</f>
        <v>11581.22</v>
      </c>
      <c r="H7" s="53">
        <f>'DOE25'!K204+'DOE25'!K222+'DOE25'!K240</f>
        <v>0</v>
      </c>
      <c r="I7" s="256"/>
    </row>
    <row r="8" spans="1:9" x14ac:dyDescent="0.2">
      <c r="A8" s="32">
        <v>2300</v>
      </c>
      <c r="B8" t="s">
        <v>797</v>
      </c>
      <c r="C8" s="275">
        <f t="shared" si="0"/>
        <v>66912.740000000005</v>
      </c>
      <c r="D8" s="243"/>
      <c r="E8" s="20">
        <f>'DOE25'!L205+'DOE25'!L223+'DOE25'!L241-F8-G8-H8-D9-D11</f>
        <v>64763.430000000008</v>
      </c>
      <c r="F8" s="244"/>
      <c r="G8" s="53">
        <f>'DOE25'!J205+'DOE25'!J223+'DOE25'!J241</f>
        <v>0</v>
      </c>
      <c r="H8" s="53">
        <f>'DOE25'!K205+'DOE25'!K223+'DOE25'!K241</f>
        <v>2149.31</v>
      </c>
      <c r="I8" s="256"/>
    </row>
    <row r="9" spans="1:9" ht="14.25" x14ac:dyDescent="0.2">
      <c r="A9" s="32">
        <v>2310</v>
      </c>
      <c r="B9" s="185" t="s">
        <v>888</v>
      </c>
      <c r="C9" s="275">
        <f t="shared" si="0"/>
        <v>10207.719999999999</v>
      </c>
      <c r="D9" s="244">
        <v>10207.719999999999</v>
      </c>
      <c r="E9" s="243"/>
      <c r="F9" s="253"/>
      <c r="G9" s="253"/>
      <c r="H9" s="253"/>
      <c r="I9" s="256"/>
    </row>
    <row r="10" spans="1:9" ht="14.25" x14ac:dyDescent="0.2">
      <c r="A10" s="32">
        <v>2317</v>
      </c>
      <c r="B10" s="185" t="s">
        <v>889</v>
      </c>
      <c r="C10" s="275">
        <f t="shared" si="0"/>
        <v>4000</v>
      </c>
      <c r="D10" s="243"/>
      <c r="E10" s="244">
        <v>4000</v>
      </c>
      <c r="F10" s="253"/>
      <c r="G10" s="253"/>
      <c r="H10" s="253"/>
      <c r="I10" s="256"/>
    </row>
    <row r="11" spans="1:9" ht="14.25" x14ac:dyDescent="0.2">
      <c r="A11" s="32">
        <v>2321</v>
      </c>
      <c r="B11" s="185" t="s">
        <v>890</v>
      </c>
      <c r="C11" s="275">
        <f t="shared" si="0"/>
        <v>30215.26</v>
      </c>
      <c r="D11" s="244">
        <v>30215.26</v>
      </c>
      <c r="E11" s="243"/>
      <c r="F11" s="253"/>
      <c r="G11" s="253"/>
      <c r="H11" s="253"/>
      <c r="I11" s="256"/>
    </row>
    <row r="12" spans="1:9" x14ac:dyDescent="0.2">
      <c r="A12" s="32">
        <v>2400</v>
      </c>
      <c r="B12" t="s">
        <v>711</v>
      </c>
      <c r="C12" s="275">
        <f t="shared" si="0"/>
        <v>168693.01</v>
      </c>
      <c r="D12" s="20">
        <f>'DOE25'!L206+'DOE25'!L224+'DOE25'!L242-F12-G12-H12</f>
        <v>167866.39</v>
      </c>
      <c r="E12" s="243"/>
      <c r="F12" s="244"/>
      <c r="G12" s="53">
        <f>'DOE25'!J206+'DOE25'!J224+'DOE25'!J242</f>
        <v>0</v>
      </c>
      <c r="H12" s="53">
        <f>'DOE25'!K206+'DOE25'!K224+'DOE25'!K242</f>
        <v>826.62</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162405.38000000003</v>
      </c>
      <c r="D14" s="20">
        <f>'DOE25'!L208+'DOE25'!L226+'DOE25'!L244-F14-G14-H14</f>
        <v>154112.71000000002</v>
      </c>
      <c r="E14" s="243"/>
      <c r="F14" s="244"/>
      <c r="G14" s="53">
        <f>'DOE25'!J208+'DOE25'!J226+'DOE25'!J244</f>
        <v>8292.67</v>
      </c>
      <c r="H14" s="53">
        <f>'DOE25'!K208+'DOE25'!K226+'DOE25'!K244</f>
        <v>0</v>
      </c>
      <c r="I14" s="256"/>
    </row>
    <row r="15" spans="1:9" x14ac:dyDescent="0.2">
      <c r="A15" s="32">
        <v>2700</v>
      </c>
      <c r="B15" t="s">
        <v>799</v>
      </c>
      <c r="C15" s="275">
        <f t="shared" si="0"/>
        <v>2715</v>
      </c>
      <c r="D15" s="20">
        <f>'DOE25'!L209+'DOE25'!L227+'DOE25'!L245-F15-G15-H15</f>
        <v>2715</v>
      </c>
      <c r="E15" s="243"/>
      <c r="F15" s="244"/>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14907.88</v>
      </c>
      <c r="D22" s="243"/>
      <c r="E22" s="243"/>
      <c r="F22" s="243"/>
      <c r="G22" s="53">
        <f>'DOE25'!L256+'DOE25'!L337</f>
        <v>14907.88</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0</v>
      </c>
      <c r="D29" s="283">
        <f>'DOE25'!L359+'DOE25'!L360+'DOE25'!L361-'DOE25'!I368-F29-G29-H29</f>
        <v>0</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84432.61</v>
      </c>
      <c r="D31" s="20">
        <f>'DOE25'!L291+'DOE25'!L310+'DOE25'!L329+'DOE25'!L334+'DOE25'!L335+'DOE25'!L336-F31-G31-H31</f>
        <v>84432.61</v>
      </c>
      <c r="E31" s="243"/>
      <c r="F31" s="244"/>
      <c r="G31" s="53">
        <f>'DOE25'!J291+'DOE25'!J310+'DOE25'!J329+'DOE25'!J334+'DOE25'!J335+'DOE25'!J336</f>
        <v>0</v>
      </c>
      <c r="H31" s="53">
        <f>'DOE25'!K291+'DOE25'!K310+'DOE25'!K329+'DOE25'!K334+'DOE25'!K335+'DOE25'!K336</f>
        <v>0</v>
      </c>
      <c r="I31" s="256"/>
    </row>
    <row r="32" spans="1:9" ht="12" thickBot="1" x14ac:dyDescent="0.25">
      <c r="C32" s="276"/>
      <c r="G32" s="251"/>
      <c r="H32" s="251"/>
      <c r="I32" s="258"/>
    </row>
    <row r="33" spans="1:9" ht="12" thickTop="1" x14ac:dyDescent="0.2">
      <c r="B33" t="s">
        <v>809</v>
      </c>
      <c r="D33" s="245">
        <f t="shared" ref="D33:I33" si="1">SUM(D5:D31)</f>
        <v>1293533.52</v>
      </c>
      <c r="E33" s="245">
        <f t="shared" si="1"/>
        <v>68763.430000000008</v>
      </c>
      <c r="F33" s="245">
        <f t="shared" si="1"/>
        <v>0</v>
      </c>
      <c r="G33" s="245">
        <f t="shared" si="1"/>
        <v>36583.67</v>
      </c>
      <c r="H33" s="245">
        <f t="shared" si="1"/>
        <v>4301.43</v>
      </c>
      <c r="I33" s="245">
        <f t="shared" si="1"/>
        <v>0</v>
      </c>
    </row>
    <row r="35" spans="1:9" ht="12" thickBot="1" x14ac:dyDescent="0.25">
      <c r="B35" s="251" t="s">
        <v>831</v>
      </c>
      <c r="D35" s="252">
        <f>E33</f>
        <v>68763.430000000008</v>
      </c>
      <c r="E35" s="248"/>
      <c r="F35" s="335" t="s">
        <v>1632</v>
      </c>
      <c r="G35" s="336"/>
      <c r="H35" s="336"/>
      <c r="I35" s="336"/>
    </row>
    <row r="36" spans="1:9" ht="12" thickTop="1" x14ac:dyDescent="0.2">
      <c r="B36" t="s">
        <v>810</v>
      </c>
      <c r="D36" s="20">
        <f>D33</f>
        <v>1293533.52</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9"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WATERVILLE VALLEY SCHOOL DISTRICT</v>
      </c>
      <c r="B2" s="126">
        <f>'DOE25'!B2</f>
        <v>553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1327829.1000000001</v>
      </c>
      <c r="G4" s="302">
        <f>'DOE25'!L212+'DOE25'!L291</f>
        <v>1327829.1000000001</v>
      </c>
      <c r="H4" s="355">
        <f>F4-G4</f>
        <v>0</v>
      </c>
      <c r="I4" s="372" t="str">
        <f>IF(H4=0,"","ISSUES!! Please review page 7 and 11 totals in comparison with total on this page")</f>
        <v/>
      </c>
      <c r="N4"/>
    </row>
    <row r="5" spans="1:18" x14ac:dyDescent="0.2">
      <c r="A5" s="21" t="s">
        <v>1463</v>
      </c>
      <c r="B5" s="303">
        <f>IFERROR(VLOOKUP(A5,'School Tables'!$C$3:$D$365,2,FALSE),"")</f>
        <v>22385</v>
      </c>
      <c r="C5" s="296" t="str">
        <f>IFERROR(INDEX('School Tables'!$B$3:$B$365,MATCH('School Level Expenditures'!B5,'School Tables'!$D$3:$D$365,0)),"")</f>
        <v>Waterville Valley</v>
      </c>
      <c r="D5" s="293">
        <v>1243396.49</v>
      </c>
      <c r="E5" s="293">
        <v>84432.61</v>
      </c>
      <c r="F5" s="306">
        <f>D5+E5</f>
        <v>1327829.1000000001</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1243396.49</v>
      </c>
      <c r="E21" s="353">
        <f>SUM(E5:E20)</f>
        <v>84432.61</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56445.07</v>
      </c>
      <c r="G36" s="302">
        <f>'DOE25'!L248+'DOE25'!L329</f>
        <v>56445.07</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56445.07</v>
      </c>
      <c r="E37" s="293"/>
      <c r="F37" s="306">
        <f t="shared" ref="F37:F42" si="2">D37+E37</f>
        <v>56445.07</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56445.07</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WATERVILLE VALLEY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130280.17</v>
      </c>
      <c r="D8" s="95">
        <f>'DOE25'!G9</f>
        <v>170.46</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1472.01</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131752.18</v>
      </c>
      <c r="D18" s="41">
        <f>SUM(D8:D17)</f>
        <v>170.46</v>
      </c>
      <c r="E18" s="41">
        <f>SUM(E8:E17)</f>
        <v>0</v>
      </c>
      <c r="F18" s="41">
        <f>SUM(F8:F17)</f>
        <v>0</v>
      </c>
      <c r="G18" s="41">
        <f>SUM(G8:G17)</f>
        <v>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7513.12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689.07</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8202.19</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47049.99</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170.46</v>
      </c>
      <c r="E47" s="95">
        <f>'DOE25'!H48</f>
        <v>0</v>
      </c>
      <c r="F47" s="95">
        <f>'DOE25'!I48</f>
        <v>0</v>
      </c>
      <c r="G47" s="95">
        <f>'DOE25'!J48</f>
        <v>0</v>
      </c>
      <c r="H47" s="124"/>
      <c r="I47" s="124"/>
    </row>
    <row r="48" spans="1:9" x14ac:dyDescent="0.2">
      <c r="A48" s="1" t="s">
        <v>882</v>
      </c>
      <c r="B48" s="6">
        <v>753</v>
      </c>
      <c r="C48" s="95">
        <f>'DOE25'!F49</f>
        <v>76500</v>
      </c>
      <c r="D48" s="95">
        <f>'DOE25'!G49</f>
        <v>0</v>
      </c>
      <c r="E48" s="95">
        <f>'DOE25'!H49</f>
        <v>0</v>
      </c>
      <c r="F48" s="95">
        <f>'DOE25'!I49</f>
        <v>0</v>
      </c>
      <c r="G48" s="95">
        <f>'DOE25'!J49</f>
        <v>0</v>
      </c>
      <c r="H48" s="124"/>
      <c r="I48" s="124"/>
    </row>
    <row r="49" spans="1:9" ht="12" thickBot="1" x14ac:dyDescent="0.25">
      <c r="A49" s="29" t="s">
        <v>883</v>
      </c>
      <c r="B49" s="71">
        <v>770</v>
      </c>
      <c r="C49" s="95">
        <f>'DOE25'!F50</f>
        <v>0</v>
      </c>
      <c r="D49" s="24" t="s">
        <v>288</v>
      </c>
      <c r="E49" s="24" t="s">
        <v>288</v>
      </c>
      <c r="F49" s="24" t="s">
        <v>288</v>
      </c>
      <c r="G49" s="24" t="s">
        <v>288</v>
      </c>
      <c r="H49" s="124"/>
      <c r="I49" s="124"/>
    </row>
    <row r="50" spans="1:9" ht="12.75" thickTop="1" thickBot="1" x14ac:dyDescent="0.25">
      <c r="A50" s="38" t="s">
        <v>884</v>
      </c>
      <c r="B50" s="48"/>
      <c r="C50" s="41">
        <f>SUM(C34:C49)</f>
        <v>123549.98999999999</v>
      </c>
      <c r="D50" s="41">
        <f>SUM(D34:D49)</f>
        <v>170.46</v>
      </c>
      <c r="E50" s="41">
        <f>SUM(E34:E49)</f>
        <v>0</v>
      </c>
      <c r="F50" s="41">
        <f>SUM(F34:F49)</f>
        <v>0</v>
      </c>
      <c r="G50" s="41">
        <f>SUM(G34:G49)</f>
        <v>0</v>
      </c>
      <c r="H50" s="124"/>
      <c r="I50" s="124"/>
    </row>
    <row r="51" spans="1:9" ht="12" thickTop="1" x14ac:dyDescent="0.2">
      <c r="A51" s="38" t="s">
        <v>885</v>
      </c>
      <c r="B51" s="2"/>
      <c r="C51" s="41">
        <f>C50+C31</f>
        <v>131752.18</v>
      </c>
      <c r="D51" s="41">
        <f>D50+D31</f>
        <v>170.46</v>
      </c>
      <c r="E51" s="41">
        <f>E50+E31</f>
        <v>0</v>
      </c>
      <c r="F51" s="41">
        <f>F50+F31</f>
        <v>0</v>
      </c>
      <c r="G51" s="41">
        <f>G50+G31</f>
        <v>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505116</v>
      </c>
      <c r="D56" s="95">
        <f>'DOE25'!G60</f>
        <v>0</v>
      </c>
      <c r="E56" s="95">
        <f>'DOE25'!H60</f>
        <v>0</v>
      </c>
      <c r="F56" s="95">
        <f>'DOE25'!I60</f>
        <v>0</v>
      </c>
      <c r="G56" s="95">
        <f>'DOE25'!J60</f>
        <v>0</v>
      </c>
      <c r="H56"/>
      <c r="I56"/>
    </row>
    <row r="57" spans="1:9" x14ac:dyDescent="0.2">
      <c r="A57" s="1" t="s">
        <v>164</v>
      </c>
      <c r="B57" s="6" t="s">
        <v>165</v>
      </c>
      <c r="C57" s="95">
        <f>'DOE25'!F79</f>
        <v>4235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24.67</v>
      </c>
      <c r="D59" s="95">
        <f>'DOE25'!G96</f>
        <v>0</v>
      </c>
      <c r="E59" s="95">
        <f>'DOE25'!H96</f>
        <v>0</v>
      </c>
      <c r="F59" s="95">
        <f>'DOE25'!I96</f>
        <v>0</v>
      </c>
      <c r="G59" s="95">
        <f>'DOE25'!J96</f>
        <v>0</v>
      </c>
      <c r="H59"/>
      <c r="I59"/>
    </row>
    <row r="60" spans="1:9" x14ac:dyDescent="0.2">
      <c r="A60" s="1" t="s">
        <v>170</v>
      </c>
      <c r="B60" s="118" t="s">
        <v>171</v>
      </c>
      <c r="C60" s="24" t="s">
        <v>288</v>
      </c>
      <c r="D60" s="95">
        <f>'DOE25'!G97</f>
        <v>0</v>
      </c>
      <c r="E60" s="24" t="s">
        <v>288</v>
      </c>
      <c r="F60" s="24" t="s">
        <v>288</v>
      </c>
      <c r="G60" s="24" t="s">
        <v>288</v>
      </c>
      <c r="H60"/>
      <c r="I60"/>
    </row>
    <row r="61" spans="1:9" ht="12" thickBot="1" x14ac:dyDescent="0.25">
      <c r="A61" s="1" t="s">
        <v>172</v>
      </c>
      <c r="B61" s="118" t="s">
        <v>173</v>
      </c>
      <c r="C61" s="95">
        <f>SUM('DOE25'!F98:F110)</f>
        <v>45860.11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50119.78</v>
      </c>
      <c r="D62" s="130">
        <f>SUM(D57:D61)</f>
        <v>0</v>
      </c>
      <c r="E62" s="130">
        <f>SUM(E57:E61)</f>
        <v>0</v>
      </c>
      <c r="F62" s="130">
        <f>SUM(F57:F61)</f>
        <v>0</v>
      </c>
      <c r="G62" s="130">
        <f>SUM(G57:G61)</f>
        <v>0</v>
      </c>
      <c r="H62"/>
      <c r="I62"/>
    </row>
    <row r="63" spans="1:9" ht="12" thickTop="1" x14ac:dyDescent="0.2">
      <c r="A63" s="29" t="s">
        <v>175</v>
      </c>
      <c r="B63" s="6"/>
      <c r="C63" s="22">
        <f>C56+C62</f>
        <v>555235.78</v>
      </c>
      <c r="D63" s="22">
        <f>D56+D62</f>
        <v>0</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0</v>
      </c>
      <c r="D66" s="24" t="s">
        <v>288</v>
      </c>
      <c r="E66" s="24" t="s">
        <v>288</v>
      </c>
      <c r="F66" s="24" t="s">
        <v>288</v>
      </c>
      <c r="G66" s="24" t="s">
        <v>288</v>
      </c>
      <c r="H66"/>
      <c r="I66"/>
    </row>
    <row r="67" spans="1:9" x14ac:dyDescent="0.2">
      <c r="A67" s="1" t="s">
        <v>770</v>
      </c>
      <c r="B67" s="6">
        <v>3112</v>
      </c>
      <c r="C67" s="95">
        <f>'DOE25'!F118</f>
        <v>658291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658291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0</v>
      </c>
      <c r="E77" s="95">
        <f>SUM('DOE25'!H131:H135)</f>
        <v>0</v>
      </c>
      <c r="F77" s="95">
        <f>SUM('DOE25'!I131:I135)</f>
        <v>0</v>
      </c>
      <c r="G77" s="95">
        <f>SUM('DOE25'!J131:J135)</f>
        <v>0</v>
      </c>
      <c r="H77"/>
      <c r="I77"/>
    </row>
    <row r="78" spans="1:9" ht="12.75" thickTop="1" thickBot="1" x14ac:dyDescent="0.25">
      <c r="A78" s="29" t="s">
        <v>259</v>
      </c>
      <c r="B78" s="6"/>
      <c r="C78" s="130">
        <f>SUM(C72:C77)</f>
        <v>0</v>
      </c>
      <c r="D78" s="130">
        <f>SUM(D72:D77)</f>
        <v>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658291</v>
      </c>
      <c r="D81" s="130">
        <f>SUM(D79:D80)+D78+D70</f>
        <v>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0</v>
      </c>
      <c r="D88" s="333">
        <f>SUM('DOE25'!G153:G162)</f>
        <v>0</v>
      </c>
      <c r="E88" s="333">
        <f>SUM('DOE25'!H153:H162)</f>
        <v>84431.72</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17568.43</v>
      </c>
      <c r="D90" s="24" t="s">
        <v>288</v>
      </c>
      <c r="E90" s="24" t="s">
        <v>288</v>
      </c>
      <c r="F90" s="24" t="s">
        <v>288</v>
      </c>
      <c r="G90" s="24" t="s">
        <v>288</v>
      </c>
    </row>
    <row r="91" spans="1:9" ht="12.75" thickTop="1" thickBot="1" x14ac:dyDescent="0.25">
      <c r="A91" s="33" t="s">
        <v>750</v>
      </c>
      <c r="C91" s="131">
        <f>SUM(C85:C90)</f>
        <v>17568.43</v>
      </c>
      <c r="D91" s="131">
        <f>SUM(D85:D90)</f>
        <v>0</v>
      </c>
      <c r="E91" s="131">
        <f>SUM(E85:E90)</f>
        <v>84431.72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5.94</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5.94</v>
      </c>
      <c r="F103" s="86">
        <f>SUM(F93:F102)</f>
        <v>0</v>
      </c>
      <c r="G103" s="86">
        <f>SUM(G93:G102)</f>
        <v>0</v>
      </c>
    </row>
    <row r="104" spans="1:7" ht="12.75" thickTop="1" thickBot="1" x14ac:dyDescent="0.25">
      <c r="A104" s="33" t="s">
        <v>761</v>
      </c>
      <c r="C104" s="86">
        <f>C63+C81+C91+C103</f>
        <v>1231095.21</v>
      </c>
      <c r="D104" s="86">
        <f>D63+D81+D91+D103</f>
        <v>0</v>
      </c>
      <c r="E104" s="86">
        <f>E63+E81+E91+E103</f>
        <v>84437.66</v>
      </c>
      <c r="F104" s="86">
        <f>F63+F81+F91+F103</f>
        <v>0</v>
      </c>
      <c r="G104" s="86">
        <f>G63+G81+G103</f>
        <v>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574031.76</v>
      </c>
      <c r="D109" s="24" t="s">
        <v>288</v>
      </c>
      <c r="E109" s="95">
        <f>('DOE25'!L277)+('DOE25'!L296)+('DOE25'!L315)</f>
        <v>81422.720000000001</v>
      </c>
      <c r="F109" s="24" t="s">
        <v>288</v>
      </c>
      <c r="G109" s="24" t="s">
        <v>288</v>
      </c>
    </row>
    <row r="110" spans="1:7" x14ac:dyDescent="0.2">
      <c r="A110" t="s">
        <v>198</v>
      </c>
      <c r="B110" s="32" t="s">
        <v>199</v>
      </c>
      <c r="C110" s="95">
        <f>('DOE25'!L199)+('DOE25'!L217)+('DOE25'!L235)</f>
        <v>165769.81000000003</v>
      </c>
      <c r="D110" s="24" t="s">
        <v>288</v>
      </c>
      <c r="E110" s="95">
        <f>('DOE25'!L278)+('DOE25'!L297)+('DOE25'!L316)</f>
        <v>0</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13094.49</v>
      </c>
      <c r="D112" s="24" t="s">
        <v>288</v>
      </c>
      <c r="E112" s="95">
        <f>+('DOE25'!L280)+('DOE25'!L299)+('DOE25'!L318)</f>
        <v>3009.89</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752896.06</v>
      </c>
      <c r="D115" s="86">
        <f>SUM(D109:D114)</f>
        <v>0</v>
      </c>
      <c r="E115" s="86">
        <f>SUM(E109:E114)</f>
        <v>84432.61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67194.150000000009</v>
      </c>
      <c r="D118" s="24" t="s">
        <v>288</v>
      </c>
      <c r="E118" s="95">
        <f>+('DOE25'!L282)+('DOE25'!L301)+('DOE25'!L320)</f>
        <v>0</v>
      </c>
      <c r="F118" s="24" t="s">
        <v>288</v>
      </c>
      <c r="G118" s="24" t="s">
        <v>288</v>
      </c>
    </row>
    <row r="119" spans="1:7" x14ac:dyDescent="0.2">
      <c r="A119" t="s">
        <v>208</v>
      </c>
      <c r="B119" s="32" t="s">
        <v>209</v>
      </c>
      <c r="C119" s="95">
        <f>('DOE25'!L204)+('DOE25'!L222)+('DOE25'!L240)</f>
        <v>38602.239999999998</v>
      </c>
      <c r="D119" s="24" t="s">
        <v>288</v>
      </c>
      <c r="E119" s="95">
        <f>+('DOE25'!L283)+('DOE25'!L302)+('DOE25'!L321)</f>
        <v>0</v>
      </c>
      <c r="F119" s="24" t="s">
        <v>288</v>
      </c>
      <c r="G119" s="24" t="s">
        <v>288</v>
      </c>
    </row>
    <row r="120" spans="1:7" x14ac:dyDescent="0.2">
      <c r="A120" t="s">
        <v>210</v>
      </c>
      <c r="B120" s="32" t="s">
        <v>211</v>
      </c>
      <c r="C120" s="95">
        <f>('DOE25'!L205)+('DOE25'!L223)+('DOE25'!L241)</f>
        <v>107335.72</v>
      </c>
      <c r="D120" s="24" t="s">
        <v>288</v>
      </c>
      <c r="E120" s="95">
        <f>+('DOE25'!L284)+('DOE25'!L303)+('DOE25'!L322)</f>
        <v>0</v>
      </c>
      <c r="F120" s="24" t="s">
        <v>288</v>
      </c>
      <c r="G120" s="24" t="s">
        <v>288</v>
      </c>
    </row>
    <row r="121" spans="1:7" x14ac:dyDescent="0.2">
      <c r="A121" t="s">
        <v>212</v>
      </c>
      <c r="B121" s="32" t="s">
        <v>213</v>
      </c>
      <c r="C121" s="95">
        <f>('DOE25'!L206)+('DOE25'!L224)+('DOE25'!L242)</f>
        <v>168693.01</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162405.38000000003</v>
      </c>
      <c r="D123" s="24" t="s">
        <v>288</v>
      </c>
      <c r="E123" s="95">
        <f>+('DOE25'!L287)+('DOE25'!L306)+('DOE25'!L325)</f>
        <v>0</v>
      </c>
      <c r="F123" s="24" t="s">
        <v>288</v>
      </c>
      <c r="G123" s="24" t="s">
        <v>288</v>
      </c>
    </row>
    <row r="124" spans="1:7" x14ac:dyDescent="0.2">
      <c r="A124" t="s">
        <v>218</v>
      </c>
      <c r="B124" s="32" t="s">
        <v>219</v>
      </c>
      <c r="C124" s="95">
        <f>('DOE25'!L209)+('DOE25'!L227)+('DOE25'!L245+'DOE25'!L255)</f>
        <v>2715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0</v>
      </c>
      <c r="E127" s="24" t="s">
        <v>288</v>
      </c>
      <c r="F127" s="24" t="s">
        <v>288</v>
      </c>
      <c r="G127" s="24" t="s">
        <v>288</v>
      </c>
    </row>
    <row r="128" spans="1:7" ht="12.75" thickTop="1" thickBot="1" x14ac:dyDescent="0.25">
      <c r="A128" s="33" t="s">
        <v>226</v>
      </c>
      <c r="C128" s="86">
        <f>SUM(C118:C127)</f>
        <v>546945.5</v>
      </c>
      <c r="D128" s="86">
        <f>SUM(D118:D127)</f>
        <v>0</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14907.88</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5.94</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14913.82</v>
      </c>
      <c r="D144" s="141">
        <f>SUM(D130:D143)</f>
        <v>0</v>
      </c>
      <c r="E144" s="141">
        <f>SUM(E130:E143)</f>
        <v>0</v>
      </c>
      <c r="F144" s="141">
        <f>SUM(F130:F143)</f>
        <v>0</v>
      </c>
      <c r="G144" s="141">
        <f>SUM(G130:G143)</f>
        <v>0</v>
      </c>
    </row>
    <row r="145" spans="1:9" ht="12.75" thickTop="1" thickBot="1" x14ac:dyDescent="0.25">
      <c r="A145" s="33" t="s">
        <v>244</v>
      </c>
      <c r="C145" s="86">
        <f>(C115+C128+C144)</f>
        <v>1314755.3800000001</v>
      </c>
      <c r="D145" s="86">
        <f>(D115+D128+D144)</f>
        <v>0</v>
      </c>
      <c r="E145" s="86">
        <f>(E115+E128+E144)</f>
        <v>84432.61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WATERVILLE VALLEY SCHOOL DISTRICT</v>
      </c>
    </row>
    <row r="3" spans="1:4" x14ac:dyDescent="0.2">
      <c r="B3" s="188" t="s">
        <v>1666</v>
      </c>
    </row>
    <row r="4" spans="1:4" x14ac:dyDescent="0.2">
      <c r="B4" t="s">
        <v>61</v>
      </c>
      <c r="C4" s="179">
        <f>IF('DOE25'!F666+'DOE25'!F671=0,0,ROUND('DOE25'!F673,0))</f>
        <v>21242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21242</v>
      </c>
    </row>
    <row r="9" spans="1:4" x14ac:dyDescent="0.2">
      <c r="A9" s="187" t="s">
        <v>94</v>
      </c>
      <c r="B9" s="188" t="s">
        <v>1671</v>
      </c>
      <c r="C9" s="181" t="s">
        <v>720</v>
      </c>
      <c r="D9" s="181" t="s">
        <v>721</v>
      </c>
    </row>
    <row r="10" spans="1:4" x14ac:dyDescent="0.2">
      <c r="A10">
        <v>1100</v>
      </c>
      <c r="B10" t="s">
        <v>702</v>
      </c>
      <c r="C10" s="179">
        <f>ROUND('DOE25'!L198+'DOE25'!L216+'DOE25'!L234+'DOE25'!L277+'DOE25'!L296+'DOE25'!L315,0)</f>
        <v>655454</v>
      </c>
      <c r="D10" s="182">
        <f>ROUND((C10/$C$28)*100,1)</f>
        <v>47.4</v>
      </c>
    </row>
    <row r="11" spans="1:4" x14ac:dyDescent="0.2">
      <c r="A11">
        <v>1200</v>
      </c>
      <c r="B11" t="s">
        <v>703</v>
      </c>
      <c r="C11" s="179">
        <f>ROUND('DOE25'!L199+'DOE25'!L217+'DOE25'!L235+'DOE25'!L278+'DOE25'!L297+'DOE25'!L316,0)</f>
        <v>165770</v>
      </c>
      <c r="D11" s="182">
        <f>ROUND((C11/$C$28)*100,1)</f>
        <v>12</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16104</v>
      </c>
      <c r="D13" s="182">
        <f>ROUND((C13/$C$28)*100,1)</f>
        <v>1.2</v>
      </c>
    </row>
    <row r="14" spans="1:4" x14ac:dyDescent="0.2">
      <c r="D14" s="182"/>
    </row>
    <row r="15" spans="1:4" x14ac:dyDescent="0.2">
      <c r="A15">
        <v>2100</v>
      </c>
      <c r="B15" t="s">
        <v>706</v>
      </c>
      <c r="C15" s="179">
        <f>ROUND('DOE25'!L203+'DOE25'!L221+'DOE25'!L239+'DOE25'!L282+'DOE25'!L301+'DOE25'!L320,0)</f>
        <v>67194</v>
      </c>
      <c r="D15" s="182">
        <f t="shared" ref="D15:D27" si="0">ROUND((C15/$C$28)*100,1)</f>
        <v>4.9000000000000004</v>
      </c>
    </row>
    <row r="16" spans="1:4" x14ac:dyDescent="0.2">
      <c r="A16">
        <v>2200</v>
      </c>
      <c r="B16" t="s">
        <v>707</v>
      </c>
      <c r="C16" s="179">
        <f>ROUND('DOE25'!L204+'DOE25'!L222+'DOE25'!L240+'DOE25'!L283+'DOE25'!L302+'DOE25'!L321,0)</f>
        <v>38602</v>
      </c>
      <c r="D16" s="182">
        <f t="shared" si="0"/>
        <v>2.8</v>
      </c>
    </row>
    <row r="17" spans="1:4" x14ac:dyDescent="0.2">
      <c r="A17" s="183" t="s">
        <v>723</v>
      </c>
      <c r="B17" t="s">
        <v>738</v>
      </c>
      <c r="C17" s="179">
        <f>ROUND('DOE25'!L205+'DOE25'!L210+'DOE25'!L223+'DOE25'!L228+'DOE25'!L241+'DOE25'!L246+'DOE25'!L284+'DOE25'!L289+'DOE25'!L303+'DOE25'!L308+'DOE25'!L322+'DOE25'!L327,0)</f>
        <v>107336</v>
      </c>
      <c r="D17" s="182">
        <f t="shared" si="0"/>
        <v>7.8</v>
      </c>
    </row>
    <row r="18" spans="1:4" x14ac:dyDescent="0.2">
      <c r="A18">
        <v>2400</v>
      </c>
      <c r="B18" t="s">
        <v>711</v>
      </c>
      <c r="C18" s="179">
        <f>ROUND('DOE25'!L206+'DOE25'!L224+'DOE25'!L242+'DOE25'!L285+'DOE25'!L304+'DOE25'!L323,0)</f>
        <v>168693</v>
      </c>
      <c r="D18" s="182">
        <f t="shared" si="0"/>
        <v>12.2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162405</v>
      </c>
      <c r="D20" s="182">
        <f t="shared" si="0"/>
        <v>11.7</v>
      </c>
    </row>
    <row r="21" spans="1:4" x14ac:dyDescent="0.2">
      <c r="A21">
        <v>2700</v>
      </c>
      <c r="B21" t="s">
        <v>710</v>
      </c>
      <c r="C21" s="179">
        <f>ROUND('DOE25'!L209+'DOE25'!L227+'DOE25'!L245+'DOE25'!L288+'DOE25'!L307+'DOE25'!L326,0)</f>
        <v>2715</v>
      </c>
      <c r="D21" s="182">
        <f t="shared" si="0"/>
        <v>0.2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0</v>
      </c>
      <c r="D27" s="182">
        <f t="shared" si="0"/>
        <v>0</v>
      </c>
    </row>
    <row r="28" spans="1:4" x14ac:dyDescent="0.2">
      <c r="B28" s="187" t="s">
        <v>719</v>
      </c>
      <c r="C28" s="180">
        <f>SUM(C10:C27)</f>
        <v>1384273</v>
      </c>
      <c r="D28" s="184">
        <f>ROUND(SUM(D10:D27),0)</f>
        <v>100</v>
      </c>
    </row>
    <row r="29" spans="1:4" x14ac:dyDescent="0.2">
      <c r="A29">
        <v>4000</v>
      </c>
      <c r="B29" t="s">
        <v>724</v>
      </c>
      <c r="C29" s="179">
        <f>ROUND('DOE25'!L256+'DOE25'!L337+'DOE25'!L375+'DOE25'!L376+'DOE25'!L377+'DOE25'!L378+'DOE25'!L379+'DOE25'!L380+'DOE25'!L381,0)</f>
        <v>14908</v>
      </c>
    </row>
    <row r="30" spans="1:4" x14ac:dyDescent="0.2">
      <c r="B30" s="187" t="s">
        <v>725</v>
      </c>
      <c r="C30" s="180">
        <f>SUM(C28:C29)</f>
        <v>1399181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505116</v>
      </c>
      <c r="D35" s="182">
        <f t="shared" ref="D35:D40" si="1">ROUND((C35/$C$41)*100,1)</f>
        <v>38.4</v>
      </c>
    </row>
    <row r="36" spans="1:4" x14ac:dyDescent="0.2">
      <c r="B36" s="185" t="s">
        <v>739</v>
      </c>
      <c r="C36" s="179">
        <f>SUM('DOE25'!F112:J112)-SUM('DOE25'!G97:G110)+('DOE25'!F175+'DOE25'!F176+'DOE25'!I175+'DOE25'!I176)-C35</f>
        <v>50119.780000000028</v>
      </c>
      <c r="D36" s="182">
        <f t="shared" si="1"/>
        <v>3.8</v>
      </c>
    </row>
    <row r="37" spans="1:4" x14ac:dyDescent="0.2">
      <c r="A37" s="183" t="s">
        <v>835</v>
      </c>
      <c r="B37" s="185" t="s">
        <v>728</v>
      </c>
      <c r="C37" s="179">
        <f>ROUND('DOE25'!F117+'DOE25'!F118,0)</f>
        <v>658291</v>
      </c>
      <c r="D37" s="182">
        <f t="shared" si="1"/>
        <v>50</v>
      </c>
    </row>
    <row r="38" spans="1:4" x14ac:dyDescent="0.2">
      <c r="A38" s="183" t="s">
        <v>734</v>
      </c>
      <c r="B38" s="185" t="s">
        <v>729</v>
      </c>
      <c r="C38" s="179">
        <f>ROUND(SUM('DOE25'!F140:J140)-SUM('DOE25'!F117:F119),0)</f>
        <v>0</v>
      </c>
      <c r="D38" s="182">
        <f t="shared" si="1"/>
        <v>0</v>
      </c>
    </row>
    <row r="39" spans="1:4" x14ac:dyDescent="0.2">
      <c r="A39">
        <v>4000</v>
      </c>
      <c r="B39" s="185" t="s">
        <v>730</v>
      </c>
      <c r="C39" s="179">
        <f>ROUND('DOE25'!F170+'DOE25'!G170+'DOE25'!H170+'DOE25'!I170,0)</f>
        <v>102000</v>
      </c>
      <c r="D39" s="182">
        <f t="shared" si="1"/>
        <v>7.8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1315526.78</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WATERVILLE VALLEY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2021-08-18T17:18:23Z</cp:lastPrinted>
  <dcterms:created xsi:type="dcterms:W3CDTF">1997-12-04T19:04:30Z</dcterms:created>
  <dcterms:modified xsi:type="dcterms:W3CDTF">2021-08-27T15:18:58Z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