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21" i="12" l="1"/>
  <c r="B21" i="12"/>
  <c r="E26" i="17" l="1"/>
  <c r="E22" i="17"/>
  <c r="E30" i="17" l="1"/>
  <c r="G532" i="1"/>
  <c r="F532" i="1"/>
  <c r="F109" i="1"/>
  <c r="I605" i="1"/>
  <c r="H297" i="1"/>
  <c r="D25" i="14" l="1"/>
  <c r="E5" i="14"/>
  <c r="D5" i="14"/>
  <c r="J528" i="1"/>
  <c r="I528" i="1"/>
  <c r="H528" i="1"/>
  <c r="G528" i="1"/>
  <c r="F528" i="1"/>
  <c r="H592" i="1"/>
  <c r="H306" i="1" l="1"/>
  <c r="H22" i="1" l="1"/>
  <c r="H13" i="1"/>
  <c r="G48" i="1"/>
  <c r="F50" i="1"/>
  <c r="G653" i="1" l="1"/>
  <c r="E7" i="17" l="1"/>
  <c r="E43" i="14" l="1"/>
  <c r="D4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4" i="14" l="1"/>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H663" i="1" s="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E58" i="2" s="1"/>
  <c r="H111" i="1"/>
  <c r="I111" i="1"/>
  <c r="I112" i="1" s="1"/>
  <c r="J111" i="1"/>
  <c r="J112" i="1" s="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19" i="2"/>
  <c r="C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44" i="1"/>
  <c r="G645" i="1"/>
  <c r="G651" i="1"/>
  <c r="G652" i="1"/>
  <c r="H653" i="1"/>
  <c r="G654" i="1"/>
  <c r="H654" i="1"/>
  <c r="G655" i="1"/>
  <c r="H655" i="1"/>
  <c r="H656" i="1"/>
  <c r="J656" i="1" s="1"/>
  <c r="J652" i="1" l="1"/>
  <c r="E112" i="2"/>
  <c r="G62" i="2"/>
  <c r="H140" i="1"/>
  <c r="C112" i="2"/>
  <c r="F85" i="2"/>
  <c r="F91" i="2" s="1"/>
  <c r="G662" i="1"/>
  <c r="E120" i="2"/>
  <c r="F409" i="1"/>
  <c r="H644" i="1" s="1"/>
  <c r="J140" i="1"/>
  <c r="J194" i="1" s="1"/>
  <c r="C32" i="10"/>
  <c r="D18" i="13"/>
  <c r="C18" i="13" s="1"/>
  <c r="D15" i="13"/>
  <c r="C15" i="13" s="1"/>
  <c r="C121" i="2"/>
  <c r="C120" i="2"/>
  <c r="D6" i="13"/>
  <c r="C6" i="13" s="1"/>
  <c r="E13" i="13"/>
  <c r="C13" i="13" s="1"/>
  <c r="E121" i="2"/>
  <c r="C110" i="2"/>
  <c r="G646" i="1"/>
  <c r="E111" i="2"/>
  <c r="I409" i="1"/>
  <c r="H409" i="1"/>
  <c r="H645" i="1" s="1"/>
  <c r="J645" i="1" s="1"/>
  <c r="E125" i="2"/>
  <c r="E124" i="2"/>
  <c r="C13" i="10"/>
  <c r="C12" i="10"/>
  <c r="K339" i="1"/>
  <c r="K353" i="1" s="1"/>
  <c r="A40" i="12"/>
  <c r="D50" i="2"/>
  <c r="J572" i="1"/>
  <c r="G409" i="1"/>
  <c r="H646" i="1" s="1"/>
  <c r="E123" i="2"/>
  <c r="G553" i="1"/>
  <c r="J258" i="1"/>
  <c r="J272" i="1" s="1"/>
  <c r="E119" i="2"/>
  <c r="E110" i="2"/>
  <c r="G339" i="1"/>
  <c r="G353" i="1" s="1"/>
  <c r="E131" i="2"/>
  <c r="E144" i="2"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E25" i="14" s="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E33" i="14" l="1"/>
  <c r="F25" i="14"/>
  <c r="F24" i="14" s="1"/>
  <c r="B17" i="16"/>
  <c r="B19" i="16" s="1"/>
  <c r="G473" i="1"/>
  <c r="G637" i="1"/>
  <c r="I473" i="1"/>
  <c r="G647" i="1"/>
  <c r="J469" i="1"/>
  <c r="J646" i="1"/>
  <c r="D51" i="2"/>
  <c r="H649" i="1"/>
  <c r="J649" i="1" s="1"/>
  <c r="E128" i="2"/>
  <c r="F661" i="1"/>
  <c r="F665" i="1" s="1"/>
  <c r="F668" i="1" s="1"/>
  <c r="H194" i="1"/>
  <c r="F194" i="1"/>
  <c r="E51" i="2"/>
  <c r="C141" i="2"/>
  <c r="C144" i="2" s="1"/>
  <c r="G24" i="14"/>
  <c r="H24" i="14" s="1"/>
  <c r="I24" i="14" s="1"/>
  <c r="C81" i="2"/>
  <c r="E115" i="2"/>
  <c r="H661" i="1"/>
  <c r="H665" i="1" s="1"/>
  <c r="H668" i="1" s="1"/>
  <c r="L572" i="1"/>
  <c r="F51" i="2"/>
  <c r="G36" i="14"/>
  <c r="H36" i="14" s="1"/>
  <c r="I36" i="14" s="1"/>
  <c r="E104" i="2"/>
  <c r="C36" i="10"/>
  <c r="L435" i="1"/>
  <c r="I662" i="1"/>
  <c r="G104" i="2"/>
  <c r="L339" i="1"/>
  <c r="L353" i="1" s="1"/>
  <c r="I194" i="1"/>
  <c r="G636" i="1"/>
  <c r="G51" i="2"/>
  <c r="D104" i="2"/>
  <c r="L409" i="1"/>
  <c r="C27" i="10"/>
  <c r="C28" i="10" s="1"/>
  <c r="D23" i="10" s="1"/>
  <c r="G4" i="14"/>
  <c r="H4" i="14" s="1"/>
  <c r="I4" i="14" s="1"/>
  <c r="L54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B22" i="16" l="1"/>
  <c r="G634" i="1"/>
  <c r="H473" i="1"/>
  <c r="H637" i="1"/>
  <c r="I475" i="1"/>
  <c r="J637" i="1"/>
  <c r="G475" i="1"/>
  <c r="H636" i="1"/>
  <c r="J636" i="1" s="1"/>
  <c r="G639" i="1"/>
  <c r="J473" i="1"/>
  <c r="G633" i="1"/>
  <c r="F473" i="1"/>
  <c r="G630" i="1"/>
  <c r="H469" i="1"/>
  <c r="J471" i="1"/>
  <c r="H638" i="1"/>
  <c r="H632" i="1"/>
  <c r="J632" i="1" s="1"/>
  <c r="G629" i="1"/>
  <c r="G469" i="1"/>
  <c r="G631" i="1"/>
  <c r="I469" i="1"/>
  <c r="G628" i="1"/>
  <c r="F469" i="1"/>
  <c r="E145" i="2"/>
  <c r="C104" i="2"/>
  <c r="H673" i="1"/>
  <c r="C6" i="10" s="1"/>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4" i="1" l="1"/>
  <c r="J634" i="1" s="1"/>
  <c r="H475" i="1"/>
  <c r="J475" i="1"/>
  <c r="J477" i="1" s="1"/>
  <c r="H627" i="1" s="1"/>
  <c r="J627" i="1" s="1"/>
  <c r="H639" i="1"/>
  <c r="J639" i="1" s="1"/>
  <c r="J638" i="1"/>
  <c r="H633" i="1"/>
  <c r="J633" i="1" s="1"/>
  <c r="F475" i="1"/>
  <c r="H628" i="1"/>
  <c r="J628" i="1" s="1"/>
  <c r="F471" i="1"/>
  <c r="H629" i="1"/>
  <c r="J629" i="1" s="1"/>
  <c r="G471" i="1"/>
  <c r="G477" i="1" s="1"/>
  <c r="I471" i="1"/>
  <c r="I477" i="1" s="1"/>
  <c r="H626" i="1" s="1"/>
  <c r="J626" i="1" s="1"/>
  <c r="H631" i="1"/>
  <c r="J631" i="1" s="1"/>
  <c r="H471" i="1"/>
  <c r="H630" i="1"/>
  <c r="J630" i="1" s="1"/>
  <c r="I668" i="1"/>
  <c r="D28" i="10"/>
  <c r="D37" i="10"/>
  <c r="D36" i="10"/>
  <c r="D35" i="10"/>
  <c r="D40" i="10"/>
  <c r="D39" i="10"/>
  <c r="F477" i="1" l="1"/>
  <c r="H623" i="1" s="1"/>
  <c r="J623" i="1" s="1"/>
  <c r="H477" i="1"/>
  <c r="H625" i="1" s="1"/>
  <c r="J625" i="1" s="1"/>
  <c r="B33" i="16"/>
  <c r="H624" i="1"/>
  <c r="D41" i="10"/>
  <c r="J624"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<sst xmlns="http://schemas.openxmlformats.org/spreadsheetml/2006/main" count="5576" uniqueCount="1676">
  <si>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</si>
  <si>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</si>
  <si>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</si>
  <si>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</si>
  <si>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</si>
  <si>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</si>
  <si>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</si>
  <si>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</si>
  <si>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</si>
  <si>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</si>
  <si>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</si>
  <si>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</si>
  <si>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</si>
  <si>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</si>
  <si>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</si>
  <si>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</si>
  <si>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</si>
  <si>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</si>
  <si>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</si>
  <si>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</si>
  <si>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</si>
  <si>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</si>
  <si>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</si>
  <si>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</si>
  <si>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</si>
  <si>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</si>
  <si>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</si>
  <si>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</si>
  <si>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</si>
  <si>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</si>
  <si>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</si>
  <si>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</si>
  <si>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</si>
  <si>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</si>
  <si>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</si>
  <si>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</si>
  <si>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</si>
  <si>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</si>
  <si>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</si>
  <si>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</si>
  <si>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</si>
  <si>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</si>
  <si>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</si>
  <si>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</si>
  <si>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</si>
  <si>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</si>
  <si>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</si>
  <si>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</si>
  <si>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</si>
  <si>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</si>
  <si>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</si>
  <si>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</si>
  <si>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</si>
  <si>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</si>
  <si>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</si>
  <si>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</si>
  <si>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</si>
  <si>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</si>
  <si>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</si>
  <si>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</si>
  <si>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</si>
  <si>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</si>
  <si>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</si>
  <si>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</si>
  <si>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</si>
  <si>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</si>
  <si>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</si>
  <si>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</si>
  <si>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</si>
  <si>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</si>
  <si>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</si>
  <si>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</si>
  <si>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</si>
  <si>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</si>
  <si>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</si>
  <si>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</si>
  <si>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</si>
  <si>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</si>
  <si>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</si>
  <si>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</si>
  <si>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</si>
  <si>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</si>
  <si>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</si>
  <si>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</si>
  <si>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</si>
  <si>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</si>
  <si>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</si>
  <si>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</si>
  <si>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</si>
  <si>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</si>
  <si>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</si>
  <si>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</si>
  <si>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</si>
  <si>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</si>
  <si>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</si>
  <si>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</si>
  <si>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</si>
  <si>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</si>
  <si>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</si>
  <si>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</si>
  <si>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</si>
  <si>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</si>
  <si>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</si>
  <si>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</si>
  <si>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</si>
  <si>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</si>
  <si>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</si>
  <si>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</si>
  <si>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</si>
  <si>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</si>
  <si>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</si>
  <si>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</si>
  <si>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</si>
  <si>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</si>
  <si>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</si>
  <si>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</si>
  <si>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</si>
  <si>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</si>
  <si>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</si>
  <si>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</si>
  <si>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</si>
  <si>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</si>
  <si>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</si>
  <si>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</si>
  <si>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</si>
  <si>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</si>
  <si>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</si>
  <si>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</si>
  <si>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</si>
  <si>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</si>
  <si>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</si>
  <si>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</si>
  <si>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</si>
  <si>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</si>
  <si>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</si>
  <si>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</si>
  <si>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</si>
  <si>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</si>
  <si>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</si>
  <si>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</si>
  <si>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</si>
  <si>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</si>
  <si>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</si>
  <si>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</si>
  <si>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</si>
  <si>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</si>
  <si>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</si>
  <si>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</si>
  <si>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</si>
  <si>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</si>
  <si>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</si>
  <si>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</si>
  <si>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</si>
  <si>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</si>
  <si>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</si>
  <si>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</si>
  <si>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</si>
  <si>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</si>
  <si>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</si>
  <si>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</si>
  <si>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</si>
  <si>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</si>
  <si>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</si>
  <si>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</si>
  <si>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</si>
  <si>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</si>
  <si>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</si>
  <si>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</si>
  <si>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</si>
  <si>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</si>
  <si>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</si>
  <si>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</si>
  <si>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</si>
  <si>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</si>
  <si>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</si>
  <si>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</si>
  <si>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</si>
  <si>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</si>
  <si>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</si>
  <si>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</si>
  <si>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</si>
  <si>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</si>
  <si>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</si>
  <si>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</si>
  <si>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</si>
  <si>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</si>
  <si>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</si>
  <si>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</si>
  <si>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</si>
  <si>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</si>
  <si>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</si>
  <si>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</si>
  <si>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</si>
  <si>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</si>
  <si>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</si>
  <si>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</si>
  <si>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</si>
  <si>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</si>
  <si>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</si>
  <si>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</si>
  <si>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</si>
  <si>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</si>
  <si>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</si>
  <si>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</si>
  <si>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</si>
  <si>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</si>
  <si>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</si>
  <si>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</si>
  <si>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</si>
  <si>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</si>
  <si>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</si>
  <si>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</si>
  <si>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</si>
  <si>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</si>
  <si>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</si>
  <si>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</si>
  <si>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</si>
  <si>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</si>
  <si>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</si>
  <si>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</si>
  <si>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</si>
  <si>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</si>
  <si>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</si>
  <si>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</si>
  <si>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</si>
  <si>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</si>
  <si>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</si>
  <si>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</si>
  <si>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</si>
  <si>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</si>
  <si>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</si>
  <si>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</si>
  <si>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</si>
  <si>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</si>
  <si>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</si>
  <si>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</si>
  <si>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</si>
  <si>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</si>
  <si>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</si>
  <si>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</si>
  <si>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</si>
  <si>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</si>
  <si>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</si>
  <si>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</si>
  <si>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</si>
  <si>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</si>
  <si>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</si>
  <si>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</si>
  <si>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</si>
  <si>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</si>
  <si>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</si>
  <si>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</si>
  <si>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</si>
  <si>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</si>
  <si>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</si>
  <si>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</si>
  <si>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</si>
  <si>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</si>
  <si>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</si>
  <si>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</si>
  <si>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</si>
  <si>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</si>
  <si>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</si>
  <si>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</si>
  <si>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</si>
  <si>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</si>
  <si>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</si>
  <si>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</si>
  <si>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</si>
  <si>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</si>
  <si>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</si>
  <si>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</si>
  <si>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</si>
  <si>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</si>
  <si>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</si>
  <si>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</si>
  <si>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</si>
  <si>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</si>
  <si>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</si>
  <si>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</si>
  <si>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</si>
  <si>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</si>
  <si>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</si>
  <si>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</si>
  <si>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</si>
  <si>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</si>
  <si>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</si>
  <si>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</si>
  <si>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</si>
  <si>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</si>
  <si>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</si>
  <si>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</si>
  <si>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</si>
  <si>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</si>
  <si>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</si>
  <si>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</si>
  <si>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</si>
  <si>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</si>
  <si>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</si>
  <si>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</si>
  <si>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</si>
  <si>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</si>
  <si>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</si>
  <si>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</si>
  <si>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</si>
  <si>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</si>
  <si>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</si>
  <si>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</si>
  <si>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</si>
  <si>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</si>
  <si>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</si>
  <si>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</si>
  <si>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</si>
  <si>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</si>
  <si>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</si>
  <si>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</si>
  <si>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</si>
  <si>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</si>
  <si>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</si>
  <si>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</si>
  <si>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</si>
  <si>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</si>
  <si>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</si>
  <si>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</si>
  <si>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</si>
  <si>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</si>
  <si>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</si>
  <si>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</si>
  <si>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</si>
  <si>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</si>
  <si>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</si>
  <si>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</si>
  <si>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</si>
  <si>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</si>
  <si>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</si>
  <si>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</si>
  <si>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</si>
  <si>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</si>
  <si>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</si>
  <si>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</si>
  <si>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</si>
  <si>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</si>
  <si>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</si>
  <si>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</si>
  <si>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</si>
  <si>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</si>
  <si>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</si>
  <si>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</si>
  <si>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</si>
  <si>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</si>
  <si>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</si>
  <si>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</si>
  <si>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</si>
  <si>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</si>
  <si>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</si>
  <si>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</si>
  <si>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</si>
  <si>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</si>
  <si>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</si>
  <si>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</si>
  <si>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</si>
  <si>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</si>
  <si>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</si>
  <si>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</si>
  <si>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</si>
  <si>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</si>
  <si>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</si>
  <si>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</si>
  <si>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</si>
  <si>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</si>
  <si>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</si>
  <si>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</si>
  <si>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</si>
  <si>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</si>
  <si>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</si>
  <si>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</si>
  <si>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</si>
  <si>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</si>
  <si>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</si>
  <si>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</si>
  <si>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</si>
  <si>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</si>
  <si>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</si>
  <si>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</si>
  <si>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</si>
  <si>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</si>
  <si>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</si>
  <si>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</si>
  <si>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</si>
  <si>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</si>
  <si>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</si>
  <si>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</si>
  <si>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</si>
  <si>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</si>
  <si>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</si>
  <si>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</si>
  <si>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</si>
  <si>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</si>
  <si>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</si>
  <si>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</si>
  <si>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</si>
  <si>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</si>
  <si>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</si>
  <si>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</si>
  <si>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</si>
  <si>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</si>
  <si>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</si>
  <si>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</si>
  <si>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</si>
  <si>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</si>
  <si>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</si>
  <si>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</si>
  <si>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</si>
  <si>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</si>
  <si>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</si>
  <si>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</si>
  <si>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</si>
  <si>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</si>
  <si>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</si>
  <si>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</si>
  <si>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</si>
  <si>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</si>
  <si>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</si>
  <si>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</si>
  <si>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</si>
  <si>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</si>
  <si>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</si>
  <si>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</si>
  <si>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</si>
  <si>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</si>
  <si>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</si>
  <si>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</si>
  <si>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</si>
  <si>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</si>
  <si>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</si>
  <si>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</si>
  <si>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</si>
  <si>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</si>
  <si>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</si>
  <si>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</si>
  <si>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</si>
  <si>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</si>
  <si>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</si>
  <si>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</si>
  <si>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</si>
  <si>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</si>
  <si>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</si>
  <si>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</si>
  <si>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</si>
  <si>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</si>
  <si>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</si>
  <si>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</si>
  <si>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</si>
  <si>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</si>
  <si>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</si>
  <si>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</si>
  <si>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</si>
  <si>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</si>
  <si>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</si>
  <si>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</si>
  <si>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</si>
  <si>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</si>
  <si>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</si>
  <si>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</si>
  <si>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</si>
  <si>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</si>
  <si>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</si>
  <si>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</si>
  <si>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</si>
  <si>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</si>
  <si>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</si>
  <si>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</si>
  <si>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</si>
  <si>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</si>
  <si>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</si>
  <si>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</si>
  <si>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</si>
  <si>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</si>
  <si>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</si>
  <si>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</si>
  <si>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</si>
  <si>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</si>
  <si>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</si>
  <si>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</si>
  <si>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</si>
  <si>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</si>
  <si>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</si>
  <si>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</si>
  <si>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</si>
  <si>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</si>
  <si>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</si>
  <si>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</si>
  <si>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</si>
  <si>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</si>
  <si>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</si>
  <si>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</si>
  <si>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</si>
  <si>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</si>
  <si>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</si>
  <si>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</si>
  <si>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</si>
  <si>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</si>
  <si>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</si>
  <si>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</si>
  <si>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</si>
  <si>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</si>
  <si>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</si>
  <si>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</si>
  <si>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</si>
  <si>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</si>
  <si>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</si>
  <si>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</si>
  <si>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</si>
  <si>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</si>
  <si>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</si>
  <si>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</si>
  <si>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</si>
  <si>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</si>
  <si>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</si>
  <si>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</si>
  <si>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</si>
  <si>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</si>
  <si>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</si>
  <si>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</si>
  <si>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</si>
  <si>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</si>
  <si>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</si>
  <si>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</si>
  <si>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</si>
  <si>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</si>
  <si>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</si>
  <si>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</si>
  <si>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</si>
  <si>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</si>
  <si>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</si>
  <si>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</si>
  <si>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</si>
  <si>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</si>
  <si>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</si>
  <si>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</si>
  <si>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</si>
  <si>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</si>
  <si>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</si>
  <si>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</si>
  <si>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</si>
  <si>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</si>
  <si>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</si>
  <si>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</si>
  <si>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</si>
  <si>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</si>
  <si>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</si>
  <si>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</si>
  <si>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</si>
  <si>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</si>
  <si>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</si>
  <si>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</si>
  <si>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</si>
  <si>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</si>
  <si>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</si>
  <si>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</si>
  <si>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</si>
  <si>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</si>
  <si>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</si>
  <si>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</si>
  <si>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</si>
  <si>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</si>
  <si>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</si>
  <si>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</si>
  <si>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</si>
  <si>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</si>
  <si>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</si>
  <si>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</si>
  <si>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</si>
  <si>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</si>
  <si>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</si>
  <si>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</si>
  <si>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</si>
  <si>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</si>
  <si>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</si>
  <si>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</si>
  <si>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</si>
  <si>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</si>
  <si>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</si>
  <si>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</si>
  <si>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</si>
  <si>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</si>
  <si>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</si>
  <si>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</si>
  <si>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</si>
  <si>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</si>
  <si>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</si>
  <si>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</si>
  <si>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</si>
  <si>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</si>
  <si>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</si>
  <si>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</si>
  <si>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</si>
  <si>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</si>
  <si>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</si>
  <si>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</si>
  <si>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</si>
  <si>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</si>
  <si>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</si>
  <si>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</si>
  <si>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</si>
  <si>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</si>
  <si>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</si>
  <si>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</si>
  <si>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</si>
  <si>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</si>
  <si>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</si>
  <si>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</si>
  <si>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</si>
  <si>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</si>
  <si>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</si>
  <si>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</si>
  <si>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</si>
  <si>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</si>
  <si>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</si>
  <si>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</si>
  <si>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</si>
  <si>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</si>
  <si>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</si>
  <si>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</si>
  <si>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</si>
  <si>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</si>
  <si>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</si>
  <si>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</si>
  <si>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</si>
  <si>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</si>
  <si>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</si>
  <si>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</si>
  <si>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</si>
  <si>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</si>
  <si>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</si>
  <si>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</si>
  <si>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</si>
  <si>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</si>
  <si>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</si>
  <si>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</si>
  <si>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</si>
  <si>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</si>
  <si>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</si>
  <si>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</si>
  <si>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</si>
  <si>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</si>
  <si>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</si>
  <si>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</si>
  <si>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</si>
  <si>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</si>
  <si>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</si>
  <si>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</si>
  <si>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</si>
  <si>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</si>
  <si>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</si>
  <si>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</si>
  <si>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</si>
  <si>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</si>
  <si>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</si>
  <si>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</si>
  <si>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</si>
  <si>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</si>
  <si>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</si>
  <si>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</si>
  <si>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</si>
  <si>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</si>
  <si>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</si>
  <si>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</si>
  <si>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</si>
  <si>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</si>
  <si>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</si>
  <si>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</si>
  <si>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</si>
  <si>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</si>
  <si>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</si>
  <si>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</si>
  <si>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</si>
  <si>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</si>
  <si>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</si>
  <si>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</si>
  <si>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</si>
  <si>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</si>
  <si>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</si>
  <si>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</si>
  <si>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</si>
  <si>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</si>
  <si>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</si>
  <si>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</si>
  <si>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</si>
  <si>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</si>
  <si>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</si>
  <si>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</si>
  <si>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</si>
  <si>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</si>
  <si>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</si>
  <si>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</si>
  <si>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</si>
  <si>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</si>
  <si>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</si>
  <si>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</si>
  <si>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</si>
  <si>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</si>
  <si>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</si>
  <si>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</si>
  <si>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</si>
  <si>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</si>
  <si>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</si>
  <si>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</si>
  <si>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</si>
  <si>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</si>
  <si>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</si>
  <si>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</si>
  <si>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</si>
  <si>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</si>
  <si>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</si>
  <si>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</si>
  <si>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</si>
  <si>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</si>
  <si>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</si>
  <si>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</si>
  <si>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</si>
  <si>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</si>
  <si>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</si>
  <si>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</si>
  <si>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</si>
  <si>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</si>
  <si>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</si>
  <si>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</si>
  <si>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</si>
  <si>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</si>
  <si>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</si>
  <si>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</si>
  <si>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</si>
  <si>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</si>
  <si>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</si>
  <si>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</si>
  <si>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</si>
  <si>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</si>
  <si>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</si>
  <si>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</si>
  <si>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</si>
  <si>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</si>
  <si>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</si>
  <si>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</si>
  <si>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</si>
  <si>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</si>
  <si>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</si>
  <si>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</si>
  <si>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</si>
  <si>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</si>
  <si>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</si>
  <si>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</si>
  <si>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</si>
  <si>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</si>
  <si>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</si>
  <si>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</si>
  <si>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</si>
  <si>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</si>
  <si>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</si>
  <si>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</si>
  <si>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</si>
  <si>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</si>
  <si>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</si>
  <si>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</si>
  <si>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</si>
  <si>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</si>
  <si>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</si>
  <si>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</si>
  <si>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</si>
  <si>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</si>
  <si>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</si>
  <si>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</si>
  <si>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</si>
  <si>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</si>
  <si>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</si>
  <si>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</si>
  <si>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</si>
  <si>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</si>
  <si>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</si>
  <si>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</si>
  <si>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</si>
  <si>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</si>
  <si>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</si>
  <si>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</si>
  <si>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</si>
  <si>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</si>
  <si>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</si>
  <si>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</si>
  <si>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</si>
  <si>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</si>
  <si>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</si>
  <si>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</si>
  <si>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</si>
  <si>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</si>
  <si>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</si>
  <si>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</si>
  <si>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</si>
  <si>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</si>
  <si>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</si>
  <si>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</si>
  <si>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</si>
  <si>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</si>
  <si>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</si>
  <si>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</si>
  <si>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</si>
  <si>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</si>
  <si>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</si>
  <si>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</si>
  <si>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</si>
  <si>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</si>
  <si>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</si>
  <si>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</si>
  <si>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</si>
  <si>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</si>
  <si>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</si>
  <si>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</si>
  <si>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</si>
  <si>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</si>
  <si>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</si>
  <si>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</si>
  <si>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</si>
  <si>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</si>
  <si>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</si>
  <si>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</si>
  <si>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</si>
  <si>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</si>
  <si>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</si>
  <si>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</si>
  <si>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</si>
  <si>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</si>
  <si>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</si>
  <si>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</si>
  <si>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</si>
  <si>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</si>
  <si>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</si>
  <si>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</si>
  <si>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</si>
  <si>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</si>
  <si>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</si>
  <si>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</si>
  <si>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</si>
  <si>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</si>
  <si>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</si>
  <si>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</si>
  <si>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</si>
  <si>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</si>
  <si>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</si>
  <si>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</si>
  <si>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</si>
  <si>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</si>
  <si>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</si>
  <si>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</si>
  <si>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</si>
  <si>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</si>
  <si>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</si>
  <si>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</si>
  <si>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</si>
  <si>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</si>
  <si>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</si>
  <si>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</si>
  <si>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</si>
  <si>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</si>
  <si>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</si>
  <si>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</si>
  <si>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</si>
  <si>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</si>
  <si>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</si>
  <si>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</si>
  <si>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</si>
  <si>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</si>
  <si>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</si>
  <si>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</si>
  <si>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</si>
  <si>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</si>
  <si>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</si>
  <si>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</si>
  <si>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</si>
  <si>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</si>
  <si>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</si>
  <si>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</si>
  <si>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</si>
  <si>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</si>
  <si>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</si>
  <si>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</si>
  <si>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</si>
  <si>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</si>
  <si>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</si>
  <si>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</si>
  <si>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</si>
  <si>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</si>
  <si>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</si>
  <si>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</si>
  <si>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</si>
  <si>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</si>
  <si>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</si>
  <si>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</si>
  <si>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</si>
  <si>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</si>
  <si>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</si>
  <si>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</si>
  <si>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</si>
  <si>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</si>
  <si>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</si>
  <si>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</si>
  <si>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</si>
  <si>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</si>
  <si>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</si>
  <si>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</si>
  <si>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</si>
  <si>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</si>
  <si>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</si>
  <si>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</si>
  <si>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</si>
  <si>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</si>
  <si>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</si>
  <si>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</si>
  <si>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</si>
  <si>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</si>
  <si>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</si>
  <si>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</si>
  <si>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</si>
  <si>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</si>
  <si>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</si>
  <si>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</si>
  <si>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</si>
  <si>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</si>
  <si>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</si>
  <si>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</si>
  <si>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</si>
  <si>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</si>
  <si>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</si>
  <si>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</si>
  <si>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</si>
  <si>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</si>
  <si>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</si>
  <si>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</si>
  <si>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</si>
  <si>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</si>
  <si>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</si>
  <si>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</si>
  <si>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</si>
  <si>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</si>
  <si>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</si>
  <si>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</si>
  <si>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</si>
  <si>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</si>
  <si>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</si>
  <si>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</si>
  <si>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</si>
  <si>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</si>
  <si>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</si>
  <si>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</si>
  <si>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</si>
  <si>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</si>
  <si>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</si>
  <si>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</si>
  <si>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</si>
  <si>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</si>
  <si>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</si>
  <si>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</si>
  <si>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</si>
  <si>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</si>
  <si>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</si>
  <si>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</si>
  <si>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</si>
  <si>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</si>
  <si>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</si>
  <si>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</si>
  <si>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</si>
  <si>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</si>
  <si>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</si>
  <si>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</si>
  <si>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</si>
  <si>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</si>
  <si>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</si>
  <si>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</si>
  <si>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</si>
  <si>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</si>
  <si>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</si>
  <si>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</si>
  <si>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</si>
  <si>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</si>
  <si>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</si>
  <si>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</si>
  <si>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</si>
  <si>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</si>
  <si>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</si>
  <si>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</si>
  <si>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</si>
  <si>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</si>
  <si>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</si>
  <si>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</si>
  <si>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</si>
  <si>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</si>
  <si>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</si>
  <si>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</si>
  <si>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</si>
  <si>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</si>
  <si>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</si>
  <si>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</si>
  <si>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</si>
  <si>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</si>
  <si>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</si>
  <si>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</si>
  <si>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</si>
  <si>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</si>
  <si>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</si>
  <si>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</si>
  <si>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</si>
  <si>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</si>
  <si>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</si>
  <si>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</si>
  <si>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</si>
  <si>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</si>
  <si>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</si>
  <si>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</si>
  <si>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</si>
  <si>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</si>
  <si>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</si>
  <si>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</si>
  <si>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</si>
  <si>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</si>
  <si>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</si>
  <si>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</si>
  <si>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</si>
  <si>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</si>
  <si>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</si>
  <si>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</si>
  <si>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</si>
  <si>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</si>
  <si>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</si>
  <si>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</si>
  <si>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</si>
  <si>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</si>
  <si>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</si>
  <si>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</si>
  <si>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</si>
  <si>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</si>
  <si>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</si>
  <si>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</si>
  <si>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</si>
  <si>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</si>
  <si>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</si>
  <si>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</si>
  <si>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</si>
  <si>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</si>
  <si>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</si>
  <si>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</si>
  <si>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</si>
  <si>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</si>
  <si>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</si>
  <si>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</si>
  <si>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</si>
  <si>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</si>
  <si>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</si>
  <si>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</si>
  <si>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</si>
  <si>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</si>
  <si>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</si>
  <si>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</si>
  <si>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</si>
  <si>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</si>
  <si>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</si>
  <si>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</si>
  <si>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</si>
  <si>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</si>
  <si>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</si>
  <si>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</si>
  <si>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</si>
  <si>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</si>
  <si>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</si>
  <si>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</si>
  <si>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</si>
  <si>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</si>
  <si>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</si>
  <si>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</si>
  <si>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</si>
  <si>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</si>
  <si>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</si>
  <si>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</si>
  <si>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</si>
  <si>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</si>
  <si>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</si>
  <si>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</si>
  <si>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</si>
  <si>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</si>
  <si>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</si>
  <si>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</si>
  <si>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</si>
  <si>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</si>
  <si>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</si>
  <si>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</si>
  <si>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</si>
  <si>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</si>
  <si>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</si>
  <si>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</si>
  <si>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</si>
  <si>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</si>
  <si>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</si>
  <si>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</si>
  <si>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</si>
  <si>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</si>
  <si>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</si>
  <si>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</si>
  <si>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</si>
  <si>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</si>
  <si>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</si>
  <si>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</si>
  <si>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</si>
  <si>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</si>
  <si>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</si>
  <si>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</si>
  <si>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</si>
  <si>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</si>
  <si>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</si>
  <si>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</si>
  <si>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</si>
  <si>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</si>
  <si>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</si>
  <si>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</si>
  <si>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</si>
  <si>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</si>
  <si>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</si>
  <si>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</si>
  <si>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</si>
  <si>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</si>
  <si>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</si>
  <si>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</si>
  <si>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</si>
  <si>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</si>
  <si>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</si>
  <si>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</si>
  <si>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</si>
  <si>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</si>
  <si>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</si>
  <si>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</si>
  <si>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</si>
  <si>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</si>
  <si>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</si>
  <si>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</si>
  <si>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</si>
  <si>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</si>
  <si>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</si>
  <si>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</si>
  <si>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</si>
  <si>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</si>
  <si>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</si>
  <si>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</si>
  <si>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</si>
  <si>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</si>
  <si>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</si>
  <si>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</si>
  <si>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</si>
  <si>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</si>
  <si>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</si>
  <si>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</si>
  <si>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</si>
  <si>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</si>
  <si>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</si>
  <si>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</si>
  <si>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</si>
  <si>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</si>
  <si>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</si>
  <si>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</si>
  <si>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</si>
  <si>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</si>
  <si>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</si>
  <si>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</si>
  <si>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</si>
  <si>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</si>
  <si>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</si>
  <si>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</si>
  <si>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</si>
  <si>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</si>
  <si>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</si>
  <si>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</si>
  <si>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</si>
  <si>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</si>
  <si>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</si>
  <si>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</si>
  <si>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</si>
  <si>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</si>
  <si>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</si>
  <si>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</si>
  <si>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</si>
  <si>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</si>
  <si>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</si>
  <si>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</si>
  <si>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</si>
  <si>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</si>
  <si>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</si>
  <si>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</si>
  <si>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</si>
  <si>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</si>
  <si>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</si>
  <si>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</si>
  <si>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</si>
  <si>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</si>
  <si>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</si>
  <si>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</si>
  <si>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</si>
  <si>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</si>
  <si>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</si>
  <si>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</si>
  <si>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</si>
  <si>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</si>
  <si>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</si>
  <si>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</si>
  <si>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</si>
  <si>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</si>
  <si>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</si>
  <si>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</si>
  <si>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</si>
  <si>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</si>
  <si>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</si>
  <si>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</si>
  <si>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</si>
  <si>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</si>
  <si>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</si>
  <si>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</si>
  <si>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</si>
  <si>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</si>
  <si>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</si>
  <si>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</si>
  <si>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</si>
  <si>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</si>
  <si>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</si>
  <si>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</si>
  <si>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</si>
  <si>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</si>
  <si>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</si>
  <si>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</si>
  <si>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</si>
  <si>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</si>
  <si>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</si>
  <si>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</si>
  <si>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</si>
  <si>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</si>
  <si>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</si>
  <si>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</si>
  <si>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</si>
  <si>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</si>
  <si>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</si>
  <si>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</si>
  <si>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</si>
  <si>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</si>
  <si>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</si>
  <si>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</si>
  <si>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</si>
  <si>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</si>
  <si>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</si>
  <si>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</si>
  <si>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</si>
  <si>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</si>
  <si>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</si>
  <si>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</si>
  <si>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</si>
  <si>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</si>
  <si>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</si>
  <si>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</si>
  <si>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</si>
  <si>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</si>
  <si>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</si>
  <si>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</si>
  <si>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</si>
  <si>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</si>
  <si>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</si>
  <si>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</si>
  <si>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</si>
  <si>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</si>
  <si>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</si>
  <si>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</si>
  <si>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</si>
  <si>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</si>
  <si>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</si>
  <si>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</si>
  <si>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</si>
  <si>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</si>
  <si>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</si>
  <si>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</si>
  <si>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</si>
  <si>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</si>
  <si>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</si>
  <si>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</si>
  <si>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</si>
  <si>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</si>
  <si>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</si>
  <si>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</si>
  <si>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</si>
  <si>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</si>
  <si>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</si>
  <si>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</si>
  <si>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</si>
  <si>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</si>
  <si>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</si>
  <si>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</si>
  <si>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</si>
  <si>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</si>
  <si>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</si>
  <si>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</si>
  <si>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</si>
  <si>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</si>
  <si>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</si>
  <si>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</si>
  <si>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</si>
  <si>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</si>
  <si>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</si>
  <si>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</si>
  <si>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</si>
  <si>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</si>
  <si>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</si>
  <si>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</si>
  <si>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</si>
  <si>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</si>
  <si>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</si>
  <si>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</si>
  <si>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</si>
  <si>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</si>
  <si>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</si>
  <si>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</si>
  <si>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</si>
  <si>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</si>
  <si>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</si>
  <si>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</si>
  <si>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</si>
  <si>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</si>
  <si>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</si>
  <si>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</si>
  <si>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</si>
  <si>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</si>
  <si>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</si>
  <si>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</si>
  <si>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</si>
  <si>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</si>
  <si>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</si>
  <si>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</si>
  <si>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</si>
  <si>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</si>
  <si>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</si>
  <si>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</si>
  <si>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</si>
  <si>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</si>
  <si>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</si>
  <si>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</si>
  <si>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</si>
  <si>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</si>
  <si>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</si>
  <si>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</si>
  <si>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</si>
  <si>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</si>
  <si>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</si>
  <si>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</si>
  <si>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</si>
  <si>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</si>
  <si>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</si>
  <si>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</si>
  <si>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</si>
  <si>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</si>
  <si>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</si>
  <si>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</si>
  <si>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</si>
  <si>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</si>
  <si>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</si>
  <si>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</si>
  <si>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</si>
  <si>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</si>
  <si>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</si>
  <si>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</si>
  <si>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</si>
  <si>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</si>
  <si>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</si>
  <si>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</si>
  <si>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</si>
  <si>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</si>
  <si>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</si>
  <si>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</si>
  <si>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</si>
  <si>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</si>
  <si>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</si>
  <si>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</si>
  <si>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</si>
  <si>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</si>
  <si>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</si>
  <si>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</si>
  <si>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</si>
  <si>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</si>
  <si>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</si>
  <si>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</si>
  <si>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</si>
  <si>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</si>
  <si>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</si>
  <si>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</si>
  <si>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</si>
  <si>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</si>
  <si>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</si>
  <si>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</si>
  <si>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</si>
  <si>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</si>
  <si>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</si>
  <si>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</si>
  <si>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</si>
  <si>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</si>
  <si>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</si>
  <si>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</si>
  <si>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</si>
  <si>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</si>
  <si>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</si>
  <si>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</si>
  <si>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</si>
  <si>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</si>
  <si>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</si>
  <si>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</si>
  <si>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</si>
  <si>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</si>
  <si>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</si>
  <si>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</si>
  <si>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</si>
  <si>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</si>
  <si>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</si>
  <si>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</si>
  <si>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</si>
  <si>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</si>
  <si>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</si>
  <si>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</si>
  <si>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</si>
  <si>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</si>
  <si>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</si>
  <si>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</si>
  <si>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</si>
  <si>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</si>
  <si>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</si>
  <si>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</si>
  <si>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</si>
  <si>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</si>
  <si>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</si>
  <si>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</si>
  <si>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</si>
  <si>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</si>
  <si>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</si>
  <si>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</si>
  <si>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</si>
  <si>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</si>
  <si>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</si>
  <si>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</si>
  <si>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</si>
  <si>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</si>
  <si>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</si>
  <si>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</si>
  <si>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</si>
  <si>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</si>
  <si>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</si>
  <si>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</si>
  <si>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</si>
  <si>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</si>
  <si>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</si>
  <si>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</si>
  <si>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</si>
  <si>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</si>
  <si>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</si>
  <si>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</si>
  <si>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</si>
  <si>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</si>
  <si>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</si>
  <si>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</si>
  <si>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</si>
  <si>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</si>
  <si>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</si>
  <si>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</si>
  <si>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</si>
  <si>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</si>
  <si>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</si>
  <si>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</si>
  <si>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</si>
  <si>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</si>
  <si>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</si>
  <si>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</si>
  <si>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</si>
  <si>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</si>
  <si>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</si>
  <si>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</si>
  <si>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</si>
  <si>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</si>
  <si>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</si>
  <si>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</si>
  <si>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</si>
  <si>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</si>
  <si>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</si>
  <si>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</si>
  <si>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</si>
  <si>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</si>
  <si>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</si>
  <si>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</si>
  <si>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</si>
  <si>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</si>
  <si>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</si>
  <si>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</si>
  <si>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</si>
  <si>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</si>
  <si>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</si>
  <si>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</si>
  <si>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</si>
  <si>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</si>
  <si>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</si>
  <si>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</si>
  <si>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</si>
  <si>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</si>
  <si>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</si>
  <si>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</si>
  <si>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</si>
  <si>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</si>
  <si>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</si>
  <si>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</si>
  <si>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</si>
  <si>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</si>
  <si>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</si>
  <si>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</si>
  <si>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</si>
  <si>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</si>
  <si>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</si>
  <si>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</si>
  <si>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</si>
  <si>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</si>
  <si>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</si>
  <si>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</si>
  <si>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</si>
  <si>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</si>
  <si>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</si>
  <si>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</si>
  <si>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</si>
  <si>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</si>
  <si>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</si>
  <si>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</si>
  <si>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</si>
  <si>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</si>
  <si>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</si>
  <si>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</si>
  <si>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</si>
  <si>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</si>
  <si>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</si>
  <si>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</si>
  <si>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</si>
  <si>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</si>
  <si>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</si>
  <si>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</si>
  <si>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</si>
  <si>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</si>
  <si>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</si>
  <si>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</si>
  <si>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</si>
  <si>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</si>
  <si>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</si>
  <si>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</si>
  <si>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</si>
  <si>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</si>
  <si>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</si>
  <si>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</si>
  <si>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</si>
  <si>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</si>
  <si>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</si>
  <si>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</si>
  <si>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</si>
  <si>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</si>
  <si>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</si>
  <si>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</si>
  <si>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</si>
  <si>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</si>
  <si>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</si>
  <si>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</si>
  <si>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</si>
  <si>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</si>
  <si>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</si>
  <si>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</si>
  <si>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</si>
  <si>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</si>
  <si>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</si>
  <si>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</si>
  <si>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</si>
  <si>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</si>
  <si>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</si>
  <si>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</si>
  <si>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</si>
  <si>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</si>
  <si>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</si>
  <si>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</si>
  <si>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</si>
  <si>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</si>
  <si>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</si>
  <si>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</si>
  <si>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</si>
  <si>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</si>
  <si>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</si>
  <si>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</si>
  <si>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</si>
  <si>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</si>
  <si>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</si>
  <si>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</si>
  <si>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</si>
  <si>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</si>
  <si>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</si>
  <si>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</si>
  <si>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</si>
  <si>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</si>
  <si>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</si>
  <si>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</si>
  <si>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</si>
  <si>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</si>
  <si>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</si>
  <si>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</si>
  <si>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</si>
  <si>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</si>
  <si>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</si>
  <si>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</si>
  <si>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</si>
  <si>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</si>
  <si>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</si>
  <si>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</si>
  <si>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</si>
  <si>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</si>
  <si>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</si>
  <si>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</si>
  <si>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</si>
  <si>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</si>
  <si>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</si>
  <si>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</si>
  <si>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</si>
  <si>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</si>
  <si>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</si>
  <si>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</si>
  <si>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</si>
  <si>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</si>
  <si>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</si>
  <si>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</si>
  <si>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</si>
  <si>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</si>
  <si>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</si>
  <si>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</si>
  <si>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</si>
  <si>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</si>
  <si>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</si>
  <si>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</si>
  <si>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</si>
  <si>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</si>
  <si>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</si>
  <si>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</si>
  <si>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</si>
  <si>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</si>
  <si>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</si>
  <si>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</si>
  <si>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</si>
  <si>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</si>
  <si>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</si>
  <si>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</si>
  <si>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</si>
  <si>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</si>
  <si>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</si>
  <si>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</si>
  <si>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</si>
  <si>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</si>
  <si>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</si>
  <si>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</si>
  <si>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</si>
  <si>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</si>
  <si>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</si>
  <si>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</si>
  <si>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</si>
  <si>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</si>
  <si>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</si>
  <si>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</si>
  <si>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</si>
  <si>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</si>
  <si>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</si>
  <si>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</si>
  <si>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Weare School District</t>
  </si>
  <si>
    <t>No preschool in 20-21. The I4SEE error has been reported to our I4SEE team.</t>
  </si>
  <si>
    <t xml:space="preserve">I moved the amount of the infrastucture grant to restricted aid. </t>
  </si>
  <si>
    <t>We had 1 tuitioned student in elementary. The I4SEE error has been reported to our I4SEE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</si>
</sst>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0" fontId="2" fillId="41" borderId="0" xfId="43" applyNumberFormat="1" applyFill="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555</v>
      </c>
      <c r="C2" s="21">
        <v>555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740792.86</v>
      </c>
      <c r="G9" s="18">
        <v>26788.69</v>
      </c>
      <c r="H9" s="18">
        <v>-30947.65</v>
      </c>
      <c r="I9" s="18">
        <v>0</v>
      </c>
      <c r="J9" s="67">
        <f>SUM(I440)</f>
        <v>1020092.7</v>
      </c>
      <c r="K9" s="24" t="s">
        <v>288</v>
      </c>
      <c r="L9" s="24" t="s">
        <v>288</v>
      </c>
      <c r="M9" s="8"/>
      <c r="N9" s="264"/>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0</v>
      </c>
      <c r="G12" s="18">
        <v>0</v>
      </c>
      <c r="H12" s="18">
        <v>0</v>
      </c>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124249.7</v>
      </c>
      <c r="G13" s="18">
        <v>76311.240000000005</v>
      </c>
      <c r="H13" s="18">
        <f>69829.28+81182.88</f>
        <v>151012.16</v>
      </c>
      <c r="I13" s="18">
        <v>0</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865042.55999999994</v>
      </c>
      <c r="G19" s="41">
        <f>SUM(G9:G18)</f>
        <v>103099.93000000001</v>
      </c>
      <c r="H19" s="41">
        <f>SUM(H9:H18)</f>
        <v>120064.51000000001</v>
      </c>
      <c r="I19" s="41">
        <f>SUM(I9:I18)</f>
        <v>0</v>
      </c>
      <c r="J19" s="41">
        <f>SUM(J9:J18)</f>
        <v>1020092.7</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-90816.75</v>
      </c>
      <c r="G22" s="18">
        <v>-13801.12</v>
      </c>
      <c r="H22" s="18">
        <f>23434.99+81182.88</f>
        <v>104617.87000000001</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6512.88</v>
      </c>
      <c r="G23" s="18">
        <v>1554.92</v>
      </c>
      <c r="H23" s="18">
        <v>6750.3</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29189.040000000001</v>
      </c>
      <c r="G24" s="18">
        <v>0</v>
      </c>
      <c r="H24" s="18">
        <v>0</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28500</v>
      </c>
      <c r="G25" s="145">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24870.3</v>
      </c>
      <c r="G28" s="18">
        <v>0</v>
      </c>
      <c r="H28" s="18">
        <v>0</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31417.41</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12249.62</v>
      </c>
      <c r="H30" s="18">
        <v>0</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29672.880000000005</v>
      </c>
      <c r="G32" s="41">
        <f>SUM(G22:G31)</f>
        <v>3.4200000000000728</v>
      </c>
      <c r="H32" s="41">
        <f>SUM(H22:H31)</f>
        <v>111368.17000000001</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v>0</v>
      </c>
      <c r="H39" s="18">
        <v>0</v>
      </c>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0</v>
      </c>
      <c r="G44" s="18"/>
      <c r="H44" s="18"/>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f>111671.43-8574.92</f>
        <v>103096.51</v>
      </c>
      <c r="H48" s="18">
        <v>8696.34</v>
      </c>
      <c r="I48" s="18"/>
      <c r="J48" s="13">
        <f>SUM(I460)</f>
        <v>1020092.7</v>
      </c>
      <c r="K48" s="24" t="s">
        <v>288</v>
      </c>
      <c r="L48" s="24" t="s">
        <v>288</v>
      </c>
      <c r="M48" s="8"/>
      <c r="N48" s="264"/>
    </row>
    <row r="49" spans="1:14" s="3" customFormat="1" ht="12.2" customHeight="1" x14ac:dyDescent="0.15">
      <c r="A49" s="1" t="s">
        <v>859</v>
      </c>
      <c r="B49" s="2" t="s">
        <v>289</v>
      </c>
      <c r="C49" s="6">
        <v>34</v>
      </c>
      <c r="D49" s="2"/>
      <c r="E49" s="6">
        <v>753</v>
      </c>
      <c r="F49" s="18">
        <v>259116</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530190.56+46063.12</f>
        <v>576253.68000000005</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835369.68</v>
      </c>
      <c r="G51" s="41">
        <f>SUM(G35:G50)</f>
        <v>103096.51</v>
      </c>
      <c r="H51" s="41">
        <f>SUM(H35:H50)</f>
        <v>8696.34</v>
      </c>
      <c r="I51" s="41">
        <f>SUM(I35:I50)</f>
        <v>0</v>
      </c>
      <c r="J51" s="41">
        <f>SUM(J35:J50)</f>
        <v>1020092.7</v>
      </c>
      <c r="K51" s="45" t="s">
        <v>288</v>
      </c>
      <c r="L51" s="45" t="s">
        <v>288</v>
      </c>
      <c r="N51" s="262"/>
    </row>
    <row r="52" spans="1:14" s="3" customFormat="1" ht="12.2" customHeight="1" thickTop="1" x14ac:dyDescent="0.15">
      <c r="A52" s="38" t="s">
        <v>455</v>
      </c>
      <c r="B52" s="39" t="s">
        <v>289</v>
      </c>
      <c r="C52" s="6">
        <v>37</v>
      </c>
      <c r="D52" s="39" t="s">
        <v>653</v>
      </c>
      <c r="E52" s="39"/>
      <c r="F52" s="41">
        <f>F51+F32</f>
        <v>865042.56</v>
      </c>
      <c r="G52" s="41">
        <f>G51+G32</f>
        <v>103099.93</v>
      </c>
      <c r="H52" s="41">
        <f>H51+H32</f>
        <v>120064.51000000001</v>
      </c>
      <c r="I52" s="41">
        <f>I51+I32</f>
        <v>0</v>
      </c>
      <c r="J52" s="41">
        <f>J51+J32</f>
        <v>1020092.7</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7992873.21</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7992873.21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86208</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86208</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997.66</v>
      </c>
      <c r="G96" s="18">
        <v>0</v>
      </c>
      <c r="H96" s="18">
        <v>0</v>
      </c>
      <c r="I96" s="18">
        <v>0</v>
      </c>
      <c r="J96" s="18">
        <v>748.26</v>
      </c>
      <c r="K96" s="24" t="s">
        <v>288</v>
      </c>
      <c r="L96" s="24" t="s">
        <v>288</v>
      </c>
      <c r="M96" s="8"/>
      <c r="N96" s="264"/>
    </row>
    <row r="97" spans="1:14" s="3" customFormat="1" ht="12.2" customHeight="1" x14ac:dyDescent="0.15">
      <c r="A97" s="1" t="s">
        <v>503</v>
      </c>
      <c r="B97" s="2" t="s">
        <v>315</v>
      </c>
      <c r="C97" s="6">
        <v>12</v>
      </c>
      <c r="D97" s="2" t="s">
        <v>430</v>
      </c>
      <c r="E97" s="6">
        <v>1600</v>
      </c>
      <c r="F97" s="24" t="s">
        <v>288</v>
      </c>
      <c r="G97" s="18">
        <v>7593.47</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2000</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269.77</v>
      </c>
      <c r="G102" s="18">
        <v>0</v>
      </c>
      <c r="H102" s="18">
        <v>0</v>
      </c>
      <c r="I102" s="18">
        <v>0</v>
      </c>
      <c r="J102" s="18"/>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f>32750.94-8261.58</f>
        <v>24489.360000000001</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198067.58</v>
      </c>
      <c r="G110" s="18">
        <v>0</v>
      </c>
      <c r="H110" s="18">
        <v>0</v>
      </c>
      <c r="I110" s="18">
        <v>0</v>
      </c>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225824.37</v>
      </c>
      <c r="G111" s="41">
        <f>SUM(G96:G110)</f>
        <v>7593.47</v>
      </c>
      <c r="H111" s="41">
        <f>SUM(H96:H110)</f>
        <v>0</v>
      </c>
      <c r="I111" s="41">
        <f>SUM(I96:I110)</f>
        <v>0</v>
      </c>
      <c r="J111" s="41">
        <f>SUM(J96:J110)</f>
        <v>748.26</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8304905.5800000001</v>
      </c>
      <c r="G112" s="41">
        <f>G60+G111</f>
        <v>7593.47</v>
      </c>
      <c r="H112" s="41">
        <f>H60+H79+H94+H111</f>
        <v>0</v>
      </c>
      <c r="I112" s="41">
        <f>I60+I111</f>
        <v>0</v>
      </c>
      <c r="J112" s="41">
        <f>J60+J111</f>
        <v>748.26</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5645891.79</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1190436.79</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3990.42</v>
      </c>
      <c r="G120" s="18">
        <v>0</v>
      </c>
      <c r="H120" s="18">
        <v>0</v>
      </c>
      <c r="I120" s="18">
        <v>0</v>
      </c>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6840319</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369686.39</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29256.27</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7500.78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33714.36</v>
      </c>
      <c r="I135" s="18">
        <v>0</v>
      </c>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398942.66000000003</v>
      </c>
      <c r="G136" s="41">
        <f>SUM(G123:G135)</f>
        <v>7500.78</v>
      </c>
      <c r="H136" s="41">
        <f>SUM(H123:H135)</f>
        <v>33714.36</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7239261.6600000001</v>
      </c>
      <c r="G140" s="41">
        <f>G121+SUM(G136:G137)</f>
        <v>7500.78</v>
      </c>
      <c r="H140" s="41">
        <f>H121+SUM(H136:H139)</f>
        <v>33714.36</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2710.35</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147650.49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11744.43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321627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249656.01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33983.89</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8261.58</v>
      </c>
      <c r="G161" s="18">
        <v>0</v>
      </c>
      <c r="H161" s="18">
        <v>176338.42</v>
      </c>
      <c r="I161" s="18">
        <v>0</v>
      </c>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v>66024.899999999994</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42245.47</v>
      </c>
      <c r="G163" s="41">
        <f>SUM(G150:G162)</f>
        <v>321627</v>
      </c>
      <c r="H163" s="41">
        <f>SUM(H150:H162)</f>
        <v>654124.60000000009</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42245.47</v>
      </c>
      <c r="G170" s="41">
        <f>G147+G163+SUM(G164:G169)</f>
        <v>321627</v>
      </c>
      <c r="H170" s="41">
        <f>H147+H163+SUM(H164:H169)</f>
        <v>654124.60000000009</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0</v>
      </c>
      <c r="H180" s="18">
        <v>0</v>
      </c>
      <c r="I180" s="18">
        <v>0</v>
      </c>
      <c r="J180" s="18">
        <v>747760.53</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4"/>
    </row>
    <row r="182" spans="1:14" s="3" customFormat="1" ht="12.2" customHeight="1" x14ac:dyDescent="0.15">
      <c r="A182" s="3" t="s">
        <v>526</v>
      </c>
      <c r="B182" s="2" t="s">
        <v>330</v>
      </c>
      <c r="C182" s="6">
        <v>8</v>
      </c>
      <c r="D182" s="2" t="s">
        <v>430</v>
      </c>
      <c r="E182" s="6">
        <v>5222</v>
      </c>
      <c r="F182" s="18">
        <v>0</v>
      </c>
      <c r="G182" s="18">
        <v>0</v>
      </c>
      <c r="H182" s="24" t="s">
        <v>288</v>
      </c>
      <c r="I182" s="18">
        <v>0</v>
      </c>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747760.53</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747760.53</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15586412.710000001</v>
      </c>
      <c r="G194" s="47">
        <f>G112+G140+G170+G193</f>
        <v>336721.25</v>
      </c>
      <c r="H194" s="47">
        <f>H112+H140+H170+H193</f>
        <v>687838.96000000008</v>
      </c>
      <c r="I194" s="47">
        <f>I112+I140+I170+I193</f>
        <v>0</v>
      </c>
      <c r="J194" s="47">
        <f>J112+J140+J193</f>
        <v>748508.79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2173848.9500000002</v>
      </c>
      <c r="G198" s="18">
        <v>1175054.76</v>
      </c>
      <c r="H198" s="18">
        <v>56522.84</v>
      </c>
      <c r="I198" s="18">
        <v>90810.38</v>
      </c>
      <c r="J198" s="18">
        <v>18570.939999999999</v>
      </c>
      <c r="K198" s="18">
        <v>0</v>
      </c>
      <c r="L198" s="19">
        <f>SUM(F198:K198)</f>
        <v>3514807.8699999996</v>
      </c>
      <c r="M198" s="8"/>
      <c r="N198" s="264"/>
    </row>
    <row r="199" spans="1:14" s="3" customFormat="1" ht="12.2" customHeight="1" x14ac:dyDescent="0.15">
      <c r="A199" s="1" t="s">
        <v>439</v>
      </c>
      <c r="B199" s="2" t="s">
        <v>341</v>
      </c>
      <c r="C199" s="2" t="s">
        <v>291</v>
      </c>
      <c r="D199" s="2" t="s">
        <v>431</v>
      </c>
      <c r="E199" s="6">
        <v>1200</v>
      </c>
      <c r="F199" s="18">
        <v>839941.72</v>
      </c>
      <c r="G199" s="18">
        <v>300579.34999999998</v>
      </c>
      <c r="H199" s="18">
        <v>201414.33</v>
      </c>
      <c r="I199" s="18">
        <v>8523.44</v>
      </c>
      <c r="J199" s="18">
        <v>1190</v>
      </c>
      <c r="K199" s="18">
        <v>2380.9899999999998</v>
      </c>
      <c r="L199" s="19">
        <f>SUM(F199:K199)</f>
        <v>1354029.8299999998</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24887.3</v>
      </c>
      <c r="G201" s="18">
        <v>6287.48</v>
      </c>
      <c r="H201" s="18">
        <v>0</v>
      </c>
      <c r="I201" s="18">
        <v>0</v>
      </c>
      <c r="J201" s="18">
        <v>0</v>
      </c>
      <c r="K201" s="18">
        <v>0</v>
      </c>
      <c r="L201" s="19">
        <f>SUM(F201:K201)</f>
        <v>31174.78</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367020.92</v>
      </c>
      <c r="G203" s="18">
        <v>215970.45</v>
      </c>
      <c r="H203" s="18">
        <v>138898.4</v>
      </c>
      <c r="I203" s="18">
        <v>4066.48</v>
      </c>
      <c r="J203" s="18">
        <v>5705.46</v>
      </c>
      <c r="K203" s="18">
        <v>0</v>
      </c>
      <c r="L203" s="19">
        <f t="shared" ref="L203:L209" si="0">SUM(F203:K203)</f>
        <v>731661.71</v>
      </c>
      <c r="M203" s="8"/>
      <c r="N203" s="264"/>
    </row>
    <row r="204" spans="1:14" s="3" customFormat="1" ht="12.2" customHeight="1" x14ac:dyDescent="0.15">
      <c r="A204" s="1" t="s">
        <v>443</v>
      </c>
      <c r="B204" s="2" t="s">
        <v>341</v>
      </c>
      <c r="C204" s="2" t="s">
        <v>295</v>
      </c>
      <c r="D204" s="2" t="s">
        <v>431</v>
      </c>
      <c r="E204" s="6">
        <v>2200</v>
      </c>
      <c r="F204" s="18">
        <v>101069.99</v>
      </c>
      <c r="G204" s="18">
        <v>61831.12</v>
      </c>
      <c r="H204" s="18">
        <v>0</v>
      </c>
      <c r="I204" s="18">
        <v>17734.23</v>
      </c>
      <c r="J204" s="18">
        <v>29619.09</v>
      </c>
      <c r="K204" s="18">
        <v>39697.46</v>
      </c>
      <c r="L204" s="19">
        <f t="shared" si="0"/>
        <v>249951.89</v>
      </c>
      <c r="M204" s="8"/>
      <c r="N204" s="264"/>
    </row>
    <row r="205" spans="1:14" s="3" customFormat="1" ht="12.2" customHeight="1" x14ac:dyDescent="0.15">
      <c r="A205" s="1" t="s">
        <v>444</v>
      </c>
      <c r="B205" s="2" t="s">
        <v>341</v>
      </c>
      <c r="C205" s="2" t="s">
        <v>296</v>
      </c>
      <c r="D205" s="2" t="s">
        <v>431</v>
      </c>
      <c r="E205" s="6">
        <v>2300</v>
      </c>
      <c r="F205" s="18">
        <v>4375</v>
      </c>
      <c r="G205" s="18">
        <v>12171.91</v>
      </c>
      <c r="H205" s="18">
        <v>353869.9</v>
      </c>
      <c r="I205" s="18">
        <v>429.85</v>
      </c>
      <c r="J205" s="18">
        <v>0</v>
      </c>
      <c r="K205" s="18">
        <v>8930.4</v>
      </c>
      <c r="L205" s="19">
        <f t="shared" si="0"/>
        <v>379777.06</v>
      </c>
      <c r="M205" s="8"/>
      <c r="N205" s="264"/>
    </row>
    <row r="206" spans="1:14" s="3" customFormat="1" ht="12.2" customHeight="1" x14ac:dyDescent="0.15">
      <c r="A206" s="1" t="s">
        <v>445</v>
      </c>
      <c r="B206" s="2" t="s">
        <v>341</v>
      </c>
      <c r="C206" s="2" t="s">
        <v>297</v>
      </c>
      <c r="D206" s="2" t="s">
        <v>431</v>
      </c>
      <c r="E206" s="6">
        <v>2400</v>
      </c>
      <c r="F206" s="18">
        <v>380198.9</v>
      </c>
      <c r="G206" s="18">
        <v>174969.88</v>
      </c>
      <c r="H206" s="18">
        <v>19567.060000000001</v>
      </c>
      <c r="I206" s="18">
        <v>1185.3499999999999</v>
      </c>
      <c r="J206" s="18">
        <v>4453.54</v>
      </c>
      <c r="K206" s="18">
        <v>795</v>
      </c>
      <c r="L206" s="19">
        <f t="shared" si="0"/>
        <v>581169.7300000001</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98835.56</v>
      </c>
      <c r="G208" s="18">
        <v>22625.89</v>
      </c>
      <c r="H208" s="18">
        <v>179098.55</v>
      </c>
      <c r="I208" s="18">
        <v>86620.19</v>
      </c>
      <c r="J208" s="18">
        <v>0</v>
      </c>
      <c r="K208" s="18">
        <v>0</v>
      </c>
      <c r="L208" s="19">
        <f t="shared" si="0"/>
        <v>387180.19</v>
      </c>
      <c r="M208" s="8"/>
      <c r="N208" s="264"/>
    </row>
    <row r="209" spans="1:14" s="3" customFormat="1" ht="12.2" customHeight="1" x14ac:dyDescent="0.15">
      <c r="A209" s="1" t="s">
        <v>448</v>
      </c>
      <c r="B209" s="2" t="s">
        <v>341</v>
      </c>
      <c r="C209" s="2" t="s">
        <v>300</v>
      </c>
      <c r="D209" s="2" t="s">
        <v>431</v>
      </c>
      <c r="E209" s="6">
        <v>2700</v>
      </c>
      <c r="F209" s="18">
        <v>0</v>
      </c>
      <c r="G209" s="18">
        <v>0</v>
      </c>
      <c r="H209" s="18">
        <v>506927.44</v>
      </c>
      <c r="I209" s="18">
        <v>0</v>
      </c>
      <c r="J209" s="18">
        <v>0</v>
      </c>
      <c r="K209" s="18">
        <v>0</v>
      </c>
      <c r="L209" s="19">
        <f t="shared" si="0"/>
        <v>506927.44</v>
      </c>
      <c r="M209" s="8"/>
      <c r="N209" s="2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3990178.34</v>
      </c>
      <c r="G212" s="41">
        <f t="shared" si="1"/>
        <v>1969490.8399999996</v>
      </c>
      <c r="H212" s="41">
        <f t="shared" si="1"/>
        <v>1456298.52</v>
      </c>
      <c r="I212" s="41">
        <f t="shared" si="1"/>
        <v>209369.92</v>
      </c>
      <c r="J212" s="41">
        <f t="shared" si="1"/>
        <v>59539.03</v>
      </c>
      <c r="K212" s="41">
        <f t="shared" si="1"/>
        <v>51803.85</v>
      </c>
      <c r="L212" s="41">
        <f t="shared" si="1"/>
        <v>7736680.5</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1485947.87</v>
      </c>
      <c r="G216" s="18">
        <v>771241.68</v>
      </c>
      <c r="H216" s="18">
        <v>25813.83</v>
      </c>
      <c r="I216" s="18">
        <v>46240.25</v>
      </c>
      <c r="J216" s="18">
        <v>27078.67</v>
      </c>
      <c r="K216" s="18">
        <v>0</v>
      </c>
      <c r="L216" s="19">
        <f>SUM(F216:K216)</f>
        <v>2356322.3000000003</v>
      </c>
      <c r="M216" s="8"/>
      <c r="N216" s="264"/>
    </row>
    <row r="217" spans="1:14" s="3" customFormat="1" ht="12.2" customHeight="1" x14ac:dyDescent="0.15">
      <c r="A217" s="1" t="s">
        <v>439</v>
      </c>
      <c r="B217" s="2" t="s">
        <v>346</v>
      </c>
      <c r="C217" s="2" t="s">
        <v>291</v>
      </c>
      <c r="D217" s="2" t="s">
        <v>431</v>
      </c>
      <c r="E217" s="6">
        <v>1200</v>
      </c>
      <c r="F217" s="18">
        <v>561741.18999999994</v>
      </c>
      <c r="G217" s="18">
        <v>228277.94</v>
      </c>
      <c r="H217" s="18">
        <v>307368.5</v>
      </c>
      <c r="I217" s="18">
        <v>6811.55</v>
      </c>
      <c r="J217" s="18">
        <v>1196</v>
      </c>
      <c r="K217" s="18">
        <v>1228.06</v>
      </c>
      <c r="L217" s="19">
        <f>SUM(F217:K217)</f>
        <v>1106623.24</v>
      </c>
      <c r="M217" s="8"/>
      <c r="N217" s="264"/>
    </row>
    <row r="218" spans="1:14" s="3" customFormat="1" ht="12.2" customHeight="1" x14ac:dyDescent="0.15">
      <c r="A218" s="1" t="s">
        <v>440</v>
      </c>
      <c r="B218" s="2" t="s">
        <v>346</v>
      </c>
      <c r="C218" s="2" t="s">
        <v>292</v>
      </c>
      <c r="D218" s="2" t="s">
        <v>431</v>
      </c>
      <c r="E218" s="6">
        <v>1300</v>
      </c>
      <c r="F218" s="18">
        <v>0</v>
      </c>
      <c r="G218" s="18">
        <v>0</v>
      </c>
      <c r="H218" s="18">
        <v>91099.199999999997</v>
      </c>
      <c r="I218" s="18">
        <v>0</v>
      </c>
      <c r="J218" s="18">
        <v>0</v>
      </c>
      <c r="K218" s="18">
        <v>0</v>
      </c>
      <c r="L218" s="19">
        <f>SUM(F218:K218)</f>
        <v>91099.199999999997</v>
      </c>
      <c r="M218" s="8"/>
      <c r="N218" s="264"/>
    </row>
    <row r="219" spans="1:14" s="3" customFormat="1" ht="12.2" customHeight="1" x14ac:dyDescent="0.15">
      <c r="A219" s="1" t="s">
        <v>441</v>
      </c>
      <c r="B219" s="2" t="s">
        <v>346</v>
      </c>
      <c r="C219" s="2" t="s">
        <v>293</v>
      </c>
      <c r="D219" s="2" t="s">
        <v>431</v>
      </c>
      <c r="E219" s="6">
        <v>1400</v>
      </c>
      <c r="F219" s="18">
        <v>42241.279999999999</v>
      </c>
      <c r="G219" s="18">
        <v>8080.95</v>
      </c>
      <c r="H219" s="18">
        <v>0</v>
      </c>
      <c r="I219" s="18">
        <v>2003.58</v>
      </c>
      <c r="J219" s="18">
        <v>0</v>
      </c>
      <c r="K219" s="18">
        <v>5034</v>
      </c>
      <c r="L219" s="19">
        <f>SUM(F219:K219)</f>
        <v>57359.81</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228771.88</v>
      </c>
      <c r="G221" s="18">
        <v>103176.64</v>
      </c>
      <c r="H221" s="18">
        <v>90673.67</v>
      </c>
      <c r="I221" s="18">
        <v>4507.75</v>
      </c>
      <c r="J221" s="18">
        <v>1575.2</v>
      </c>
      <c r="K221" s="18">
        <v>0</v>
      </c>
      <c r="L221" s="19">
        <f t="shared" ref="L221:L227" si="2">SUM(F221:K221)</f>
        <v>428705.14</v>
      </c>
      <c r="M221" s="8"/>
      <c r="N221" s="264"/>
    </row>
    <row r="222" spans="1:14" s="3" customFormat="1" ht="12.2" customHeight="1" x14ac:dyDescent="0.15">
      <c r="A222" s="1" t="s">
        <v>443</v>
      </c>
      <c r="B222" s="2" t="s">
        <v>346</v>
      </c>
      <c r="C222" s="2" t="s">
        <v>295</v>
      </c>
      <c r="D222" s="2" t="s">
        <v>431</v>
      </c>
      <c r="E222" s="6">
        <v>2200</v>
      </c>
      <c r="F222" s="18">
        <v>101190.36</v>
      </c>
      <c r="G222" s="18">
        <v>55696.37</v>
      </c>
      <c r="H222" s="18">
        <v>0</v>
      </c>
      <c r="I222" s="18">
        <v>26549.8</v>
      </c>
      <c r="J222" s="18">
        <v>17511.580000000002</v>
      </c>
      <c r="K222" s="18">
        <v>35906.76</v>
      </c>
      <c r="L222" s="19">
        <f t="shared" si="2"/>
        <v>236854.87</v>
      </c>
      <c r="M222" s="8"/>
      <c r="N222" s="264"/>
    </row>
    <row r="223" spans="1:14" s="3" customFormat="1" ht="12.2" customHeight="1" x14ac:dyDescent="0.15">
      <c r="A223" s="1" t="s">
        <v>444</v>
      </c>
      <c r="B223" s="2" t="s">
        <v>346</v>
      </c>
      <c r="C223" s="2" t="s">
        <v>296</v>
      </c>
      <c r="D223" s="2" t="s">
        <v>431</v>
      </c>
      <c r="E223" s="6">
        <v>2300</v>
      </c>
      <c r="F223" s="18">
        <v>4375</v>
      </c>
      <c r="G223" s="18">
        <v>12171.75</v>
      </c>
      <c r="H223" s="18">
        <v>240312.19</v>
      </c>
      <c r="I223" s="18">
        <v>162.25</v>
      </c>
      <c r="J223" s="18">
        <v>0</v>
      </c>
      <c r="K223" s="18">
        <v>7880.45</v>
      </c>
      <c r="L223" s="19">
        <f t="shared" si="2"/>
        <v>264901.64</v>
      </c>
      <c r="M223" s="8"/>
      <c r="N223" s="264"/>
    </row>
    <row r="224" spans="1:14" s="3" customFormat="1" ht="12.2" customHeight="1" x14ac:dyDescent="0.15">
      <c r="A224" s="1" t="s">
        <v>445</v>
      </c>
      <c r="B224" s="2" t="s">
        <v>346</v>
      </c>
      <c r="C224" s="2" t="s">
        <v>297</v>
      </c>
      <c r="D224" s="2" t="s">
        <v>431</v>
      </c>
      <c r="E224" s="6">
        <v>2400</v>
      </c>
      <c r="F224" s="18">
        <v>253021.47</v>
      </c>
      <c r="G224" s="18">
        <v>96232.52</v>
      </c>
      <c r="H224" s="18">
        <v>19699.79</v>
      </c>
      <c r="I224" s="18">
        <v>66</v>
      </c>
      <c r="J224" s="18">
        <v>0</v>
      </c>
      <c r="K224" s="18">
        <v>793</v>
      </c>
      <c r="L224" s="19">
        <f t="shared" si="2"/>
        <v>369812.77999999997</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186851.9</v>
      </c>
      <c r="G226" s="18">
        <v>64756.5</v>
      </c>
      <c r="H226" s="18">
        <v>270078.43</v>
      </c>
      <c r="I226" s="18">
        <v>196278.59</v>
      </c>
      <c r="J226" s="18">
        <v>25071</v>
      </c>
      <c r="K226" s="18">
        <v>0</v>
      </c>
      <c r="L226" s="19">
        <f t="shared" si="2"/>
        <v>743036.41999999993</v>
      </c>
      <c r="M226" s="8"/>
      <c r="N226" s="264"/>
    </row>
    <row r="227" spans="1:14" s="3" customFormat="1" ht="12.2" customHeight="1" x14ac:dyDescent="0.15">
      <c r="A227" s="1" t="s">
        <v>448</v>
      </c>
      <c r="B227" s="2" t="s">
        <v>346</v>
      </c>
      <c r="C227" s="2" t="s">
        <v>300</v>
      </c>
      <c r="D227" s="2" t="s">
        <v>431</v>
      </c>
      <c r="E227" s="6">
        <v>2700</v>
      </c>
      <c r="F227" s="18">
        <v>0</v>
      </c>
      <c r="G227" s="18">
        <v>0</v>
      </c>
      <c r="H227" s="18">
        <v>341749.16</v>
      </c>
      <c r="I227" s="18">
        <v>0</v>
      </c>
      <c r="J227" s="18">
        <v>0</v>
      </c>
      <c r="K227" s="18">
        <v>0</v>
      </c>
      <c r="L227" s="19">
        <f t="shared" si="2"/>
        <v>341749.16</v>
      </c>
      <c r="M227" s="8"/>
      <c r="N227" s="264"/>
    </row>
    <row r="228" spans="1:14" s="3" customFormat="1" ht="12.2" customHeight="1" x14ac:dyDescent="0.15">
      <c r="A228" s="1" t="s">
        <v>449</v>
      </c>
      <c r="B228" s="2" t="s">
        <v>346</v>
      </c>
      <c r="C228" s="2" t="s">
        <v>343</v>
      </c>
      <c r="D228" s="2" t="s">
        <v>431</v>
      </c>
      <c r="E228" s="6">
        <v>2800</v>
      </c>
      <c r="F228" s="18">
        <v>0</v>
      </c>
      <c r="G228" s="18"/>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2864140.95</v>
      </c>
      <c r="G230" s="41">
        <f>SUM(G216:G229)</f>
        <v>1339634.3500000001</v>
      </c>
      <c r="H230" s="41">
        <f>SUM(H216:H229)</f>
        <v>1386794.77</v>
      </c>
      <c r="I230" s="41">
        <f>SUM(I216:I229)</f>
        <v>282619.77</v>
      </c>
      <c r="J230" s="41">
        <f>SUM(J216:J229)</f>
        <v>72432.45</v>
      </c>
      <c r="K230" s="41">
        <f t="shared" si="3"/>
        <v>50842.27</v>
      </c>
      <c r="L230" s="41">
        <f t="shared" si="3"/>
        <v>5996464.5600000005</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0</v>
      </c>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6854319.29</v>
      </c>
      <c r="G258" s="41">
        <f t="shared" si="8"/>
        <v>3309125.1899999995</v>
      </c>
      <c r="H258" s="41">
        <f t="shared" si="8"/>
        <v>2843093.29</v>
      </c>
      <c r="I258" s="41">
        <f t="shared" si="8"/>
        <v>491989.69000000006</v>
      </c>
      <c r="J258" s="41">
        <f t="shared" si="8"/>
        <v>131971.47999999998</v>
      </c>
      <c r="K258" s="41">
        <f t="shared" si="8"/>
        <v>102646.12</v>
      </c>
      <c r="L258" s="41">
        <f t="shared" si="8"/>
        <v>13733145.060000001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940136.47</v>
      </c>
      <c r="L261" s="19">
        <f>SUM(F261:K261)</f>
        <v>940136.47</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119307.53</v>
      </c>
      <c r="L262" s="19">
        <f>SUM(F262:K262)</f>
        <v>119307.53</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747760.53</v>
      </c>
      <c r="L267" s="19">
        <f t="shared" si="9"/>
        <v>747760.53</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1807204.53</v>
      </c>
      <c r="L271" s="41">
        <f t="shared" si="9"/>
        <v>1807204.53</v>
      </c>
      <c r="M271" s="8"/>
      <c r="N271" s="264"/>
    </row>
    <row r="272" spans="1:14" s="34" customFormat="1" ht="12.2" customHeight="1" thickTop="1" x14ac:dyDescent="0.2">
      <c r="A272" s="43" t="s">
        <v>464</v>
      </c>
      <c r="B272" s="40">
        <v>10</v>
      </c>
      <c r="C272" s="40">
        <v>18</v>
      </c>
      <c r="D272" s="39" t="s">
        <v>431</v>
      </c>
      <c r="E272" s="40"/>
      <c r="F272" s="42">
        <f t="shared" ref="F272:L272" si="11">F258+F271</f>
        <v>6854319.29</v>
      </c>
      <c r="G272" s="42">
        <f t="shared" si="11"/>
        <v>3309125.1899999995</v>
      </c>
      <c r="H272" s="42">
        <f t="shared" si="11"/>
        <v>2843093.29</v>
      </c>
      <c r="I272" s="42">
        <f t="shared" si="11"/>
        <v>491989.69000000006</v>
      </c>
      <c r="J272" s="42">
        <f t="shared" si="11"/>
        <v>131971.47999999998</v>
      </c>
      <c r="K272" s="42">
        <f t="shared" si="11"/>
        <v>1909850.65</v>
      </c>
      <c r="L272" s="42">
        <f t="shared" si="11"/>
        <v>15540349.59</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51903.5</v>
      </c>
      <c r="G277" s="18">
        <v>12956.95</v>
      </c>
      <c r="H277" s="18">
        <v>35926.5</v>
      </c>
      <c r="I277" s="18">
        <v>20687.36</v>
      </c>
      <c r="J277" s="18">
        <v>0</v>
      </c>
      <c r="K277" s="18">
        <v>0</v>
      </c>
      <c r="L277" s="19">
        <f>SUM(F277:K277)</f>
        <v>121474.31</v>
      </c>
      <c r="M277" s="8"/>
      <c r="N277" s="264"/>
    </row>
    <row r="278" spans="1:14" s="3" customFormat="1" ht="12.2" customHeight="1" x14ac:dyDescent="0.15">
      <c r="A278" s="1" t="s">
        <v>439</v>
      </c>
      <c r="B278" s="2" t="s">
        <v>357</v>
      </c>
      <c r="C278" s="2" t="s">
        <v>291</v>
      </c>
      <c r="D278" s="2" t="s">
        <v>431</v>
      </c>
      <c r="E278" s="6">
        <v>1200</v>
      </c>
      <c r="F278" s="18">
        <v>0</v>
      </c>
      <c r="G278" s="18">
        <v>0</v>
      </c>
      <c r="H278" s="18">
        <v>0</v>
      </c>
      <c r="I278" s="18">
        <v>0</v>
      </c>
      <c r="J278" s="18">
        <v>0</v>
      </c>
      <c r="K278" s="18">
        <v>0</v>
      </c>
      <c r="L278" s="19">
        <f>SUM(F278:K278)</f>
        <v>0</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4"/>
    </row>
    <row r="283" spans="1:14" s="3" customFormat="1" ht="12.2" customHeight="1" x14ac:dyDescent="0.15">
      <c r="A283" s="1" t="s">
        <v>443</v>
      </c>
      <c r="B283" s="2" t="s">
        <v>357</v>
      </c>
      <c r="C283" s="2" t="s">
        <v>295</v>
      </c>
      <c r="D283" s="2" t="s">
        <v>431</v>
      </c>
      <c r="E283" s="6">
        <v>2200</v>
      </c>
      <c r="F283" s="18">
        <v>29188.61</v>
      </c>
      <c r="G283" s="18">
        <v>6558.27</v>
      </c>
      <c r="H283" s="18">
        <v>13178.98</v>
      </c>
      <c r="I283" s="18">
        <v>540.92999999999995</v>
      </c>
      <c r="J283" s="18">
        <v>0</v>
      </c>
      <c r="K283" s="18">
        <v>4038.46</v>
      </c>
      <c r="L283" s="19">
        <f t="shared" si="12"/>
        <v>53505.25</v>
      </c>
      <c r="M283" s="8"/>
      <c r="N283" s="264"/>
    </row>
    <row r="284" spans="1:14" s="3" customFormat="1" ht="12.2" customHeight="1" x14ac:dyDescent="0.15">
      <c r="A284" s="1" t="s">
        <v>444</v>
      </c>
      <c r="B284" s="2" t="s">
        <v>357</v>
      </c>
      <c r="C284" s="2" t="s">
        <v>296</v>
      </c>
      <c r="D284" s="2" t="s">
        <v>431</v>
      </c>
      <c r="E284" s="6">
        <v>2300</v>
      </c>
      <c r="F284" s="18">
        <v>0</v>
      </c>
      <c r="G284" s="18">
        <v>0</v>
      </c>
      <c r="H284" s="18">
        <v>66.44</v>
      </c>
      <c r="I284" s="18">
        <v>0</v>
      </c>
      <c r="J284" s="18">
        <v>0</v>
      </c>
      <c r="K284" s="18">
        <v>0</v>
      </c>
      <c r="L284" s="19">
        <f t="shared" si="12"/>
        <v>66.44</v>
      </c>
      <c r="M284" s="8"/>
      <c r="N284" s="264"/>
    </row>
    <row r="285" spans="1:14" s="3" customFormat="1" ht="12.2" customHeight="1" x14ac:dyDescent="0.15">
      <c r="A285" s="1" t="s">
        <v>445</v>
      </c>
      <c r="B285" s="2" t="s">
        <v>357</v>
      </c>
      <c r="C285" s="2" t="s">
        <v>297</v>
      </c>
      <c r="D285" s="2" t="s">
        <v>431</v>
      </c>
      <c r="E285" s="6">
        <v>2400</v>
      </c>
      <c r="F285" s="18">
        <v>1798.15</v>
      </c>
      <c r="G285" s="18">
        <v>457.63</v>
      </c>
      <c r="H285" s="18">
        <v>0</v>
      </c>
      <c r="I285" s="18">
        <v>0</v>
      </c>
      <c r="J285" s="18">
        <v>0</v>
      </c>
      <c r="K285" s="18">
        <v>0</v>
      </c>
      <c r="L285" s="19">
        <f t="shared" si="12"/>
        <v>2255.7800000000002</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v>0</v>
      </c>
      <c r="H287" s="18">
        <v>33714.36</v>
      </c>
      <c r="I287" s="18">
        <v>7400.1</v>
      </c>
      <c r="J287" s="18">
        <v>0</v>
      </c>
      <c r="K287" s="18">
        <v>0</v>
      </c>
      <c r="L287" s="19">
        <f t="shared" si="12"/>
        <v>41114.46</v>
      </c>
      <c r="M287" s="8"/>
      <c r="N287" s="264"/>
    </row>
    <row r="288" spans="1:14" s="3" customFormat="1" ht="12.2" customHeight="1" x14ac:dyDescent="0.15">
      <c r="A288" s="1" t="s">
        <v>448</v>
      </c>
      <c r="B288" s="2" t="s">
        <v>357</v>
      </c>
      <c r="C288" s="2" t="s">
        <v>300</v>
      </c>
      <c r="D288" s="2" t="s">
        <v>431</v>
      </c>
      <c r="E288" s="6">
        <v>2700</v>
      </c>
      <c r="F288" s="18">
        <v>0</v>
      </c>
      <c r="G288" s="18">
        <v>0</v>
      </c>
      <c r="H288" s="18">
        <v>24840</v>
      </c>
      <c r="I288" s="18">
        <v>0</v>
      </c>
      <c r="J288" s="18">
        <v>0</v>
      </c>
      <c r="K288" s="18">
        <v>0</v>
      </c>
      <c r="L288" s="19">
        <f t="shared" si="12"/>
        <v>24840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82890.259999999995</v>
      </c>
      <c r="G291" s="42">
        <f t="shared" si="13"/>
        <v>19972.850000000002</v>
      </c>
      <c r="H291" s="42">
        <f t="shared" si="13"/>
        <v>107726.28</v>
      </c>
      <c r="I291" s="42">
        <f t="shared" si="13"/>
        <v>28628.39</v>
      </c>
      <c r="J291" s="42">
        <f t="shared" si="13"/>
        <v>0</v>
      </c>
      <c r="K291" s="42">
        <f t="shared" si="13"/>
        <v>4038.46</v>
      </c>
      <c r="L291" s="41">
        <f t="shared" si="13"/>
        <v>243256.24</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0</v>
      </c>
      <c r="G296" s="18">
        <v>0</v>
      </c>
      <c r="H296" s="18">
        <v>0</v>
      </c>
      <c r="I296" s="18">
        <v>30606.81</v>
      </c>
      <c r="J296" s="18">
        <v>58288.1</v>
      </c>
      <c r="K296" s="18">
        <v>0</v>
      </c>
      <c r="L296" s="19">
        <f>SUM(F296:K296)</f>
        <v>88894.91</v>
      </c>
      <c r="M296" s="8"/>
      <c r="N296" s="264"/>
    </row>
    <row r="297" spans="1:14" s="3" customFormat="1" ht="12.2" customHeight="1" x14ac:dyDescent="0.15">
      <c r="A297" s="1" t="s">
        <v>439</v>
      </c>
      <c r="B297" s="2" t="s">
        <v>358</v>
      </c>
      <c r="C297" s="2" t="s">
        <v>291</v>
      </c>
      <c r="D297" s="2" t="s">
        <v>431</v>
      </c>
      <c r="E297" s="6">
        <v>1200</v>
      </c>
      <c r="F297" s="18">
        <v>109257.5</v>
      </c>
      <c r="G297" s="18">
        <v>38540.769999999997</v>
      </c>
      <c r="H297" s="18">
        <f>2710.35+90720.17</f>
        <v>93430.52</v>
      </c>
      <c r="I297" s="18">
        <v>0</v>
      </c>
      <c r="J297" s="18">
        <v>5247.9</v>
      </c>
      <c r="K297" s="18">
        <v>5889.67</v>
      </c>
      <c r="L297" s="19">
        <f>SUM(F297:K297)</f>
        <v>252366.36</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2384</v>
      </c>
      <c r="G302" s="18">
        <v>182.38</v>
      </c>
      <c r="H302" s="18">
        <v>5652.81</v>
      </c>
      <c r="I302" s="18">
        <v>526.05999999999995</v>
      </c>
      <c r="J302" s="18">
        <v>44752.92</v>
      </c>
      <c r="K302" s="18">
        <v>0</v>
      </c>
      <c r="L302" s="19">
        <f t="shared" si="14"/>
        <v>53498.17</v>
      </c>
      <c r="M302" s="8"/>
      <c r="N302" s="264"/>
    </row>
    <row r="303" spans="1:14" s="3" customFormat="1" ht="12.2" customHeight="1" x14ac:dyDescent="0.15">
      <c r="A303" s="1" t="s">
        <v>444</v>
      </c>
      <c r="B303" s="2" t="s">
        <v>358</v>
      </c>
      <c r="C303" s="2" t="s">
        <v>296</v>
      </c>
      <c r="D303" s="2" t="s">
        <v>431</v>
      </c>
      <c r="E303" s="6">
        <v>2300</v>
      </c>
      <c r="F303" s="18">
        <v>0</v>
      </c>
      <c r="G303" s="18">
        <v>0</v>
      </c>
      <c r="H303" s="18">
        <v>66.44</v>
      </c>
      <c r="I303" s="18">
        <v>0</v>
      </c>
      <c r="J303" s="18">
        <v>0</v>
      </c>
      <c r="K303" s="18">
        <v>5774.9</v>
      </c>
      <c r="L303" s="19">
        <f t="shared" si="14"/>
        <v>5841.3399999999992</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f>1961.9</f>
        <v>1961.9</v>
      </c>
      <c r="I306" s="18">
        <v>13850.04</v>
      </c>
      <c r="J306" s="18">
        <v>10265</v>
      </c>
      <c r="K306" s="18">
        <v>0</v>
      </c>
      <c r="L306" s="19">
        <f t="shared" si="14"/>
        <v>26076.940000000002</v>
      </c>
      <c r="M306" s="8"/>
      <c r="N306" s="264"/>
    </row>
    <row r="307" spans="1:14" s="3" customFormat="1" ht="12.2" customHeight="1" x14ac:dyDescent="0.15">
      <c r="A307" s="1" t="s">
        <v>448</v>
      </c>
      <c r="B307" s="2" t="s">
        <v>358</v>
      </c>
      <c r="C307" s="2" t="s">
        <v>300</v>
      </c>
      <c r="D307" s="2" t="s">
        <v>431</v>
      </c>
      <c r="E307" s="6">
        <v>2700</v>
      </c>
      <c r="F307" s="18">
        <v>0</v>
      </c>
      <c r="G307" s="18">
        <v>0</v>
      </c>
      <c r="H307" s="18">
        <v>16905</v>
      </c>
      <c r="I307" s="18">
        <v>0</v>
      </c>
      <c r="J307" s="18">
        <v>0</v>
      </c>
      <c r="K307" s="18">
        <v>0</v>
      </c>
      <c r="L307" s="19">
        <f t="shared" si="14"/>
        <v>16905</v>
      </c>
      <c r="M307" s="8"/>
      <c r="N307" s="264"/>
    </row>
    <row r="308" spans="1:14" s="3" customFormat="1" ht="12.2" customHeight="1" x14ac:dyDescent="0.15">
      <c r="A308" s="1" t="s">
        <v>449</v>
      </c>
      <c r="B308" s="2" t="s">
        <v>358</v>
      </c>
      <c r="C308" s="2" t="s">
        <v>343</v>
      </c>
      <c r="D308" s="2" t="s">
        <v>431</v>
      </c>
      <c r="E308" s="6">
        <v>2800</v>
      </c>
      <c r="F308" s="18">
        <v>0</v>
      </c>
      <c r="G308" s="18"/>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111641.5</v>
      </c>
      <c r="G310" s="42">
        <f t="shared" si="15"/>
        <v>38723.149999999994</v>
      </c>
      <c r="H310" s="42">
        <f t="shared" si="15"/>
        <v>118016.67</v>
      </c>
      <c r="I310" s="42">
        <f t="shared" si="15"/>
        <v>44982.91</v>
      </c>
      <c r="J310" s="42">
        <f t="shared" si="15"/>
        <v>118553.92</v>
      </c>
      <c r="K310" s="42">
        <f t="shared" si="15"/>
        <v>11664.57</v>
      </c>
      <c r="L310" s="41">
        <f t="shared" si="15"/>
        <v>443582.72000000003</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v>1000</v>
      </c>
      <c r="I336" s="18"/>
      <c r="J336" s="18"/>
      <c r="K336" s="18"/>
      <c r="L336" s="19">
        <f t="shared" si="18"/>
        <v>1000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1000</v>
      </c>
      <c r="I338" s="41">
        <f t="shared" si="19"/>
        <v>0</v>
      </c>
      <c r="J338" s="41">
        <f t="shared" si="19"/>
        <v>0</v>
      </c>
      <c r="K338" s="41">
        <f t="shared" si="19"/>
        <v>0</v>
      </c>
      <c r="L338" s="41">
        <f t="shared" si="18"/>
        <v>1000</v>
      </c>
      <c r="M338" s="8"/>
      <c r="N338" s="264"/>
    </row>
    <row r="339" spans="1:43" s="3" customFormat="1" ht="12.2" customHeight="1" thickTop="1" x14ac:dyDescent="0.15">
      <c r="A339" s="38" t="s">
        <v>468</v>
      </c>
      <c r="B339" s="40">
        <v>14</v>
      </c>
      <c r="C339" s="40">
        <v>7</v>
      </c>
      <c r="D339" s="39" t="s">
        <v>431</v>
      </c>
      <c r="E339" s="40"/>
      <c r="F339" s="41">
        <f t="shared" ref="F339:L339" si="20">F291+F310+F329+F338</f>
        <v>194531.76</v>
      </c>
      <c r="G339" s="41">
        <f t="shared" si="20"/>
        <v>58696</v>
      </c>
      <c r="H339" s="41">
        <f t="shared" si="20"/>
        <v>226742.95</v>
      </c>
      <c r="I339" s="41">
        <f t="shared" si="20"/>
        <v>73611.3</v>
      </c>
      <c r="J339" s="41">
        <f t="shared" si="20"/>
        <v>118553.92</v>
      </c>
      <c r="K339" s="41">
        <f t="shared" si="20"/>
        <v>15703.029999999999</v>
      </c>
      <c r="L339" s="41">
        <f t="shared" si="20"/>
        <v>687838.96</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194531.76</v>
      </c>
      <c r="G353" s="41">
        <f>G339</f>
        <v>58696</v>
      </c>
      <c r="H353" s="41">
        <f>H339</f>
        <v>226742.95</v>
      </c>
      <c r="I353" s="41">
        <f>I339</f>
        <v>73611.3</v>
      </c>
      <c r="J353" s="41">
        <f>J339</f>
        <v>118553.92</v>
      </c>
      <c r="K353" s="47">
        <f>K339+K352</f>
        <v>15703.029999999999</v>
      </c>
      <c r="L353" s="41">
        <f>L339+L352</f>
        <v>687838.96</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0</v>
      </c>
      <c r="G359" s="18">
        <v>0</v>
      </c>
      <c r="H359" s="18">
        <v>176129.5</v>
      </c>
      <c r="I359" s="18">
        <v>0</v>
      </c>
      <c r="J359" s="18">
        <v>0</v>
      </c>
      <c r="K359" s="18">
        <v>38.299999999999997</v>
      </c>
      <c r="L359" s="13">
        <f>SUM(F359:K359)</f>
        <v>176167.8</v>
      </c>
      <c r="M359" s="8"/>
      <c r="N359" s="264"/>
    </row>
    <row r="360" spans="1:22" s="3" customFormat="1" ht="12.2" customHeight="1" x14ac:dyDescent="0.15">
      <c r="A360" s="1" t="s">
        <v>542</v>
      </c>
      <c r="B360" s="2" t="s">
        <v>366</v>
      </c>
      <c r="C360" s="6">
        <v>2</v>
      </c>
      <c r="D360" s="2" t="s">
        <v>431</v>
      </c>
      <c r="E360" s="6"/>
      <c r="F360" s="18">
        <v>0</v>
      </c>
      <c r="G360" s="18">
        <v>0</v>
      </c>
      <c r="H360" s="18">
        <v>176129.5</v>
      </c>
      <c r="I360" s="18">
        <v>0</v>
      </c>
      <c r="J360" s="18">
        <v>0</v>
      </c>
      <c r="K360" s="18">
        <v>1584.87</v>
      </c>
      <c r="L360" s="19">
        <f>SUM(F360:K360)</f>
        <v>177714.37</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352259</v>
      </c>
      <c r="I363" s="47">
        <f t="shared" si="22"/>
        <v>0</v>
      </c>
      <c r="J363" s="47">
        <f t="shared" si="22"/>
        <v>0</v>
      </c>
      <c r="K363" s="47">
        <f t="shared" si="22"/>
        <v>1623.1699999999998</v>
      </c>
      <c r="L363" s="47">
        <f t="shared" si="22"/>
        <v>353882.17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0</v>
      </c>
      <c r="G368" s="18">
        <v>0</v>
      </c>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0</v>
      </c>
      <c r="G369" s="63">
        <v>0</v>
      </c>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v>85.64</v>
      </c>
      <c r="I390" s="18"/>
      <c r="J390" s="24" t="s">
        <v>288</v>
      </c>
      <c r="K390" s="24" t="s">
        <v>288</v>
      </c>
      <c r="L390" s="56">
        <f t="shared" si="25"/>
        <v>85.64</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v>747760.53</v>
      </c>
      <c r="H393" s="18">
        <v>341.16</v>
      </c>
      <c r="I393" s="18"/>
      <c r="J393" s="24" t="s">
        <v>288</v>
      </c>
      <c r="K393" s="24" t="s">
        <v>288</v>
      </c>
      <c r="L393" s="56">
        <f t="shared" si="25"/>
        <v>748101.69000000006</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747760.53</v>
      </c>
      <c r="H394" s="139">
        <f>SUM(H388:H393)</f>
        <v>426.8</v>
      </c>
      <c r="I394" s="65">
        <f>SUM(I388:I393)</f>
        <v>0</v>
      </c>
      <c r="J394" s="45" t="s">
        <v>288</v>
      </c>
      <c r="K394" s="45" t="s">
        <v>288</v>
      </c>
      <c r="L394" s="47">
        <f>SUM(L388:L393)</f>
        <v>748187.33000000007</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0</v>
      </c>
      <c r="H397" s="18">
        <v>150.79</v>
      </c>
      <c r="I397" s="18"/>
      <c r="J397" s="24" t="s">
        <v>288</v>
      </c>
      <c r="K397" s="24" t="s">
        <v>288</v>
      </c>
      <c r="L397" s="56">
        <f t="shared" si="26"/>
        <v>150.79</v>
      </c>
      <c r="M397" s="8"/>
      <c r="N397" s="264"/>
    </row>
    <row r="398" spans="1:14" s="3" customFormat="1" ht="12.2" customHeight="1" x14ac:dyDescent="0.15">
      <c r="A398" s="79" t="s">
        <v>515</v>
      </c>
      <c r="B398" s="2" t="s">
        <v>381</v>
      </c>
      <c r="C398" s="6">
        <v>10</v>
      </c>
      <c r="D398" s="2" t="s">
        <v>432</v>
      </c>
      <c r="E398" s="6"/>
      <c r="F398" s="18"/>
      <c r="G398" s="18">
        <v>0</v>
      </c>
      <c r="H398" s="18">
        <v>152.06</v>
      </c>
      <c r="I398" s="18"/>
      <c r="J398" s="24" t="s">
        <v>288</v>
      </c>
      <c r="K398" s="24" t="s">
        <v>288</v>
      </c>
      <c r="L398" s="56">
        <f t="shared" si="26"/>
        <v>152.06</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18.61</v>
      </c>
      <c r="I401" s="18"/>
      <c r="J401" s="24" t="s">
        <v>288</v>
      </c>
      <c r="K401" s="24" t="s">
        <v>288</v>
      </c>
      <c r="L401" s="56">
        <f t="shared" si="26"/>
        <v>18.61</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321.46000000000004</v>
      </c>
      <c r="I402" s="47">
        <f>SUM(I396:I401)</f>
        <v>0</v>
      </c>
      <c r="J402" s="45" t="s">
        <v>288</v>
      </c>
      <c r="K402" s="45" t="s">
        <v>288</v>
      </c>
      <c r="L402" s="47">
        <f>SUM(L396:L401)</f>
        <v>321.46000000000004</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747760.53</v>
      </c>
      <c r="H409" s="47">
        <f>H394+H402+H408</f>
        <v>748.26</v>
      </c>
      <c r="I409" s="47">
        <f>I394+I402+I408</f>
        <v>0</v>
      </c>
      <c r="J409" s="24" t="s">
        <v>288</v>
      </c>
      <c r="K409" s="24" t="s">
        <v>288</v>
      </c>
      <c r="L409" s="47">
        <f>L394+L402+L408</f>
        <v>748508.79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v>0</v>
      </c>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1020092.7</v>
      </c>
      <c r="H440" s="18"/>
      <c r="I440" s="56">
        <f t="shared" ref="I440:I446" si="33">SUM(F440:H440)</f>
        <v>1020092.7</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1020092.7</v>
      </c>
      <c r="H447" s="13">
        <f>SUM(H440:H446)</f>
        <v>0</v>
      </c>
      <c r="I447" s="13">
        <f>SUM(I440:I446)</f>
        <v>1020092.7</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v>0</v>
      </c>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1020092.7</v>
      </c>
      <c r="H460" s="18"/>
      <c r="I460" s="56">
        <f t="shared" si="34"/>
        <v>1020092.7</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1020092.7</v>
      </c>
      <c r="H461" s="83">
        <f>SUM(H455:H460)</f>
        <v>0</v>
      </c>
      <c r="I461" s="83">
        <f>SUM(I455:I460)</f>
        <v>1020092.7</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1020092.7</v>
      </c>
      <c r="H462" s="42">
        <f>H453+H461</f>
        <v>0</v>
      </c>
      <c r="I462" s="42">
        <f>I453+I461</f>
        <v>1020092.7</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789306.56000000052</v>
      </c>
      <c r="G466" s="18">
        <v>120257.43000000011</v>
      </c>
      <c r="H466" s="18">
        <v>8696.3399999999674</v>
      </c>
      <c r="I466" s="18">
        <v>0</v>
      </c>
      <c r="J466" s="18">
        <v>271583.91000000003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15586412.710000001</v>
      </c>
      <c r="G469" s="18">
        <f t="shared" ref="G469:J469" si="35">G194</f>
        <v>336721.25</v>
      </c>
      <c r="H469" s="18">
        <f t="shared" si="35"/>
        <v>687838.96000000008</v>
      </c>
      <c r="I469" s="18">
        <f t="shared" si="35"/>
        <v>0</v>
      </c>
      <c r="J469" s="18">
        <f t="shared" si="35"/>
        <v>748508.79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15586412.710000001</v>
      </c>
      <c r="G471" s="53">
        <f>SUM(G469:G470)</f>
        <v>336721.25</v>
      </c>
      <c r="H471" s="53">
        <f>SUM(H469:H470)</f>
        <v>687838.96000000008</v>
      </c>
      <c r="I471" s="53">
        <f>SUM(I469:I470)</f>
        <v>0</v>
      </c>
      <c r="J471" s="53">
        <f>SUM(J469:J470)</f>
        <v>748508.79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15540349.59</v>
      </c>
      <c r="G473" s="18">
        <f>L363</f>
        <v>353882.17</v>
      </c>
      <c r="H473" s="18">
        <f>L353</f>
        <v>687838.96</v>
      </c>
      <c r="I473" s="18">
        <f>L383</f>
        <v>0</v>
      </c>
      <c r="J473" s="18">
        <f>L435</f>
        <v>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15540349.59</v>
      </c>
      <c r="G475" s="53">
        <f>SUM(G473:G474)</f>
        <v>353882.17</v>
      </c>
      <c r="H475" s="53">
        <f>SUM(H473:H474)</f>
        <v>687838.96</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835369.68000000156</v>
      </c>
      <c r="G477" s="53">
        <f>(G466+G471)- G475</f>
        <v>103096.51000000013</v>
      </c>
      <c r="H477" s="53">
        <f>(H466+H471)- H475</f>
        <v>8696.3400000000838</v>
      </c>
      <c r="I477" s="53">
        <f>(I466+I471)- I475</f>
        <v>0</v>
      </c>
      <c r="J477" s="53">
        <f>(J466+J471)- J475</f>
        <v>1020092.7000000001</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3"/>
    </row>
    <row r="498" spans="1:14" s="52" customFormat="1" ht="12.2" customHeight="1" x14ac:dyDescent="0.2">
      <c r="A498" s="22" t="s">
        <v>621</v>
      </c>
      <c r="B498" s="75">
        <v>20</v>
      </c>
      <c r="C498" s="115">
        <v>8</v>
      </c>
      <c r="D498" s="2" t="s">
        <v>432</v>
      </c>
      <c r="E498" s="115"/>
      <c r="F498" s="18">
        <v>910000</v>
      </c>
      <c r="G498" s="18">
        <v>30136.47</v>
      </c>
      <c r="H498" s="18"/>
      <c r="I498" s="18"/>
      <c r="J498" s="18"/>
      <c r="K498" s="53">
        <f t="shared" si="36"/>
        <v>940136.47</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6"/>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6"/>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6"/>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6"/>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49"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839108.59</v>
      </c>
      <c r="G522" s="18">
        <v>300515.62</v>
      </c>
      <c r="H522" s="18">
        <v>202769.51</v>
      </c>
      <c r="I522" s="18">
        <v>8523.44</v>
      </c>
      <c r="J522" s="18">
        <v>1190</v>
      </c>
      <c r="K522" s="18">
        <v>2380.9899999999998</v>
      </c>
      <c r="L522" s="88">
        <f>SUM(F522:K522)</f>
        <v>1354488.15</v>
      </c>
      <c r="N522" s="263"/>
    </row>
    <row r="523" spans="1:14" s="52" customFormat="1" ht="12.2" customHeight="1" x14ac:dyDescent="0.2">
      <c r="A523" s="22" t="s">
        <v>634</v>
      </c>
      <c r="B523" s="105">
        <v>21</v>
      </c>
      <c r="C523" s="115">
        <v>2</v>
      </c>
      <c r="D523" s="2" t="s">
        <v>432</v>
      </c>
      <c r="E523" s="115"/>
      <c r="F523" s="18">
        <v>560940.28</v>
      </c>
      <c r="G523" s="18">
        <v>228186.67</v>
      </c>
      <c r="H523" s="18">
        <v>308723.67</v>
      </c>
      <c r="I523" s="18">
        <v>6811.55</v>
      </c>
      <c r="J523" s="18">
        <v>1196</v>
      </c>
      <c r="K523" s="18">
        <v>1228.06</v>
      </c>
      <c r="L523" s="88">
        <f>SUM(F523:K523)</f>
        <v>1107086.2300000002</v>
      </c>
      <c r="N523" s="263"/>
    </row>
    <row r="524" spans="1:14" s="52" customFormat="1" ht="12.2" customHeight="1" thickBot="1" x14ac:dyDescent="0.25">
      <c r="A524" s="22" t="s">
        <v>635</v>
      </c>
      <c r="B524" s="105">
        <v>21</v>
      </c>
      <c r="C524" s="115">
        <v>3</v>
      </c>
      <c r="D524" s="2" t="s">
        <v>432</v>
      </c>
      <c r="E524" s="115"/>
      <c r="F524" s="18"/>
      <c r="G524" s="18"/>
      <c r="H524" s="18"/>
      <c r="I524" s="18"/>
      <c r="J524" s="18"/>
      <c r="K524" s="18">
        <v>0</v>
      </c>
      <c r="L524" s="88">
        <f>SUM(F524:K524)</f>
        <v>0</v>
      </c>
      <c r="N524" s="263"/>
    </row>
    <row r="525" spans="1:14" s="52" customFormat="1" ht="12.2" customHeight="1" thickTop="1" x14ac:dyDescent="0.2">
      <c r="A525" s="139" t="s">
        <v>63</v>
      </c>
      <c r="B525" s="107">
        <v>21</v>
      </c>
      <c r="C525" s="195">
        <v>4</v>
      </c>
      <c r="D525" s="196" t="s">
        <v>432</v>
      </c>
      <c r="E525" s="195"/>
      <c r="F525" s="108">
        <f>SUM(F522:F524)</f>
        <v>1400048.87</v>
      </c>
      <c r="G525" s="108">
        <f t="shared" ref="G525:L525" si="37">SUM(G522:G524)</f>
        <v>528702.29</v>
      </c>
      <c r="H525" s="108">
        <f t="shared" si="37"/>
        <v>511493.18</v>
      </c>
      <c r="I525" s="108">
        <f t="shared" si="37"/>
        <v>15334.990000000002</v>
      </c>
      <c r="J525" s="108">
        <f t="shared" si="37"/>
        <v>2386</v>
      </c>
      <c r="K525" s="108">
        <f t="shared" si="37"/>
        <v>3609.0499999999997</v>
      </c>
      <c r="L525" s="89">
        <f t="shared" si="37"/>
        <v>2461574.38</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186820.21</v>
      </c>
      <c r="G527" s="18">
        <v>108149.82</v>
      </c>
      <c r="H527" s="18">
        <v>127784.92</v>
      </c>
      <c r="I527" s="18">
        <v>3175.12</v>
      </c>
      <c r="J527" s="18">
        <v>5300.71</v>
      </c>
      <c r="K527" s="18">
        <v>0</v>
      </c>
      <c r="L527" s="88">
        <f>SUM(F527:K527)</f>
        <v>431230.78</v>
      </c>
      <c r="M527" s="8"/>
      <c r="N527" s="264"/>
    </row>
    <row r="528" spans="1:14" s="3" customFormat="1" ht="12.2" customHeight="1" x14ac:dyDescent="0.15">
      <c r="A528" s="22" t="s">
        <v>634</v>
      </c>
      <c r="B528" s="105">
        <v>21</v>
      </c>
      <c r="C528" s="115">
        <v>6</v>
      </c>
      <c r="D528" s="2" t="s">
        <v>432</v>
      </c>
      <c r="E528" s="115"/>
      <c r="F528" s="18">
        <f>52504.59+109257.5</f>
        <v>161762.09</v>
      </c>
      <c r="G528" s="18">
        <f>38070.46+38540.77</f>
        <v>76611.23</v>
      </c>
      <c r="H528" s="18">
        <f>85073.67+90720.17</f>
        <v>175793.84</v>
      </c>
      <c r="I528" s="18">
        <f>2585.6+0</f>
        <v>2585.6</v>
      </c>
      <c r="J528" s="18">
        <f>1575.2+5247.9</f>
        <v>6823.0999999999995</v>
      </c>
      <c r="K528" s="18">
        <v>5889.67</v>
      </c>
      <c r="L528" s="88">
        <f>SUM(F528:K528)</f>
        <v>429465.52999999997</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348582.3</v>
      </c>
      <c r="G530" s="89">
        <f t="shared" ref="G530:L530" si="38">SUM(G527:G529)</f>
        <v>184761.05</v>
      </c>
      <c r="H530" s="89">
        <f t="shared" si="38"/>
        <v>303578.76</v>
      </c>
      <c r="I530" s="89">
        <f t="shared" si="38"/>
        <v>5760.7199999999993</v>
      </c>
      <c r="J530" s="89">
        <f t="shared" si="38"/>
        <v>12123.81</v>
      </c>
      <c r="K530" s="89">
        <f t="shared" si="38"/>
        <v>5889.67</v>
      </c>
      <c r="L530" s="89">
        <f t="shared" si="38"/>
        <v>860696.31</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f>48444.2/2</f>
        <v>24222.1</v>
      </c>
      <c r="G532" s="18">
        <f>25998.32/2</f>
        <v>12999.16</v>
      </c>
      <c r="H532" s="18"/>
      <c r="I532" s="18"/>
      <c r="J532" s="18"/>
      <c r="K532" s="18"/>
      <c r="L532" s="88">
        <f>SUM(F532:K532)</f>
        <v>37221.259999999995</v>
      </c>
      <c r="M532" s="8"/>
      <c r="N532" s="264"/>
    </row>
    <row r="533" spans="1:14" s="3" customFormat="1" ht="12.2" customHeight="1" x14ac:dyDescent="0.15">
      <c r="A533" s="22" t="s">
        <v>634</v>
      </c>
      <c r="B533" s="105">
        <v>21</v>
      </c>
      <c r="C533" s="105">
        <v>10</v>
      </c>
      <c r="D533" s="2" t="s">
        <v>432</v>
      </c>
      <c r="E533" s="105"/>
      <c r="F533" s="18">
        <v>24222.1</v>
      </c>
      <c r="G533" s="18">
        <v>12999.16</v>
      </c>
      <c r="H533" s="18"/>
      <c r="I533" s="18"/>
      <c r="J533" s="18"/>
      <c r="K533" s="18"/>
      <c r="L533" s="88">
        <f>SUM(F533:K533)</f>
        <v>37221.259999999995</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48444.2</v>
      </c>
      <c r="G535" s="89">
        <f t="shared" ref="G535:L535" si="39">SUM(G532:G534)</f>
        <v>25998.32</v>
      </c>
      <c r="H535" s="89">
        <f t="shared" si="39"/>
        <v>0</v>
      </c>
      <c r="I535" s="89">
        <f t="shared" si="39"/>
        <v>0</v>
      </c>
      <c r="J535" s="89">
        <f t="shared" si="39"/>
        <v>0</v>
      </c>
      <c r="K535" s="89">
        <f t="shared" si="39"/>
        <v>0</v>
      </c>
      <c r="L535" s="89">
        <f t="shared" si="39"/>
        <v>74442.51999999999</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1198.08</v>
      </c>
      <c r="I537" s="18"/>
      <c r="J537" s="18"/>
      <c r="K537" s="18"/>
      <c r="L537" s="88">
        <f>SUM(F537:K537)</f>
        <v>1198.08</v>
      </c>
      <c r="M537" s="8"/>
      <c r="N537" s="264"/>
    </row>
    <row r="538" spans="1:14" s="3" customFormat="1" ht="12.2" customHeight="1" x14ac:dyDescent="0.15">
      <c r="A538" s="22" t="s">
        <v>634</v>
      </c>
      <c r="B538" s="105">
        <v>21</v>
      </c>
      <c r="C538" s="105">
        <v>14</v>
      </c>
      <c r="D538" s="2" t="s">
        <v>432</v>
      </c>
      <c r="E538" s="105"/>
      <c r="F538" s="18"/>
      <c r="G538" s="18"/>
      <c r="H538" s="18">
        <v>2340.16</v>
      </c>
      <c r="I538" s="18"/>
      <c r="J538" s="18"/>
      <c r="K538" s="18"/>
      <c r="L538" s="88">
        <f>SUM(F538:K538)</f>
        <v>2340.16</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3538.24</v>
      </c>
      <c r="I540" s="89">
        <f t="shared" si="40"/>
        <v>0</v>
      </c>
      <c r="J540" s="89">
        <f t="shared" si="40"/>
        <v>0</v>
      </c>
      <c r="K540" s="89">
        <f t="shared" si="40"/>
        <v>0</v>
      </c>
      <c r="L540" s="89">
        <f t="shared" si="40"/>
        <v>3538.24</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129438.26</v>
      </c>
      <c r="I542" s="18"/>
      <c r="J542" s="18"/>
      <c r="K542" s="18"/>
      <c r="L542" s="88">
        <f>SUM(F542:K542)</f>
        <v>129438.26</v>
      </c>
      <c r="M542" s="8"/>
      <c r="N542" s="264"/>
    </row>
    <row r="543" spans="1:14" s="3" customFormat="1" ht="12.2" customHeight="1" x14ac:dyDescent="0.15">
      <c r="A543" s="22" t="s">
        <v>634</v>
      </c>
      <c r="B543" s="105">
        <v>21</v>
      </c>
      <c r="C543" s="105">
        <v>18</v>
      </c>
      <c r="D543" s="2" t="s">
        <v>432</v>
      </c>
      <c r="E543" s="105"/>
      <c r="F543" s="18"/>
      <c r="G543" s="18"/>
      <c r="H543" s="18">
        <v>46049.37</v>
      </c>
      <c r="I543" s="18"/>
      <c r="J543" s="18"/>
      <c r="K543" s="18"/>
      <c r="L543" s="88">
        <f>SUM(F543:K543)</f>
        <v>46049.37</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1">SUM(G542:G544)</f>
        <v>0</v>
      </c>
      <c r="H545" s="193">
        <f t="shared" si="41"/>
        <v>175487.63</v>
      </c>
      <c r="I545" s="193">
        <f t="shared" si="41"/>
        <v>0</v>
      </c>
      <c r="J545" s="193">
        <f t="shared" si="41"/>
        <v>0</v>
      </c>
      <c r="K545" s="193">
        <f t="shared" si="41"/>
        <v>0</v>
      </c>
      <c r="L545" s="193">
        <f t="shared" si="41"/>
        <v>175487.63</v>
      </c>
      <c r="M545" s="8"/>
      <c r="N545" s="264"/>
    </row>
    <row r="546" spans="1:14" s="3" customFormat="1" ht="12.2" customHeight="1" thickTop="1" x14ac:dyDescent="0.15">
      <c r="A546" s="98" t="s">
        <v>72</v>
      </c>
      <c r="B546" s="107">
        <v>21</v>
      </c>
      <c r="C546" s="107">
        <v>21</v>
      </c>
      <c r="D546" s="158" t="s">
        <v>432</v>
      </c>
      <c r="E546" s="107"/>
      <c r="F546" s="89">
        <f>F525+F530+F535+F540+F545</f>
        <v>1797075.37</v>
      </c>
      <c r="G546" s="89">
        <f t="shared" ref="G546:L546" si="42">G525+G530+G535+G540+G545</f>
        <v>739461.66</v>
      </c>
      <c r="H546" s="89">
        <f t="shared" si="42"/>
        <v>994097.80999999994</v>
      </c>
      <c r="I546" s="89">
        <f t="shared" si="42"/>
        <v>21095.71</v>
      </c>
      <c r="J546" s="89">
        <f t="shared" si="42"/>
        <v>14509.81</v>
      </c>
      <c r="K546" s="89">
        <f t="shared" si="42"/>
        <v>9498.7199999999993</v>
      </c>
      <c r="L546" s="89">
        <f t="shared" si="42"/>
        <v>3575739.08</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1354488.15</v>
      </c>
      <c r="G550" s="87">
        <f>L527</f>
        <v>431230.78</v>
      </c>
      <c r="H550" s="87">
        <f>L532</f>
        <v>37221.259999999995</v>
      </c>
      <c r="I550" s="87">
        <f>L537</f>
        <v>1198.08</v>
      </c>
      <c r="J550" s="87">
        <f>L542</f>
        <v>129438.26</v>
      </c>
      <c r="K550" s="87">
        <f>SUM(F550:J550)</f>
        <v>1953576.53</v>
      </c>
      <c r="L550" s="24" t="s">
        <v>288</v>
      </c>
      <c r="M550" s="8"/>
      <c r="N550" s="264"/>
    </row>
    <row r="551" spans="1:14" s="3" customFormat="1" ht="12.2" customHeight="1" x14ac:dyDescent="0.15">
      <c r="A551" s="22" t="s">
        <v>634</v>
      </c>
      <c r="B551" s="75">
        <v>21</v>
      </c>
      <c r="C551" s="75">
        <v>23</v>
      </c>
      <c r="D551" s="2" t="s">
        <v>432</v>
      </c>
      <c r="E551" s="75"/>
      <c r="F551" s="87">
        <f>L523</f>
        <v>1107086.2300000002</v>
      </c>
      <c r="G551" s="87">
        <f>L528</f>
        <v>429465.52999999997</v>
      </c>
      <c r="H551" s="87">
        <f>L533</f>
        <v>37221.259999999995</v>
      </c>
      <c r="I551" s="87">
        <f>L538</f>
        <v>2340.16</v>
      </c>
      <c r="J551" s="87">
        <f>L543</f>
        <v>46049.37</v>
      </c>
      <c r="K551" s="87">
        <f>SUM(F551:J551)</f>
        <v>1622162.5500000003</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3">SUM(F550:F552)</f>
        <v>2461574.38</v>
      </c>
      <c r="G553" s="89">
        <f t="shared" si="43"/>
        <v>860696.31</v>
      </c>
      <c r="H553" s="89">
        <f t="shared" si="43"/>
        <v>74442.51999999999</v>
      </c>
      <c r="I553" s="89">
        <f t="shared" si="43"/>
        <v>3538.24</v>
      </c>
      <c r="J553" s="89">
        <f t="shared" si="43"/>
        <v>175487.63</v>
      </c>
      <c r="K553" s="89">
        <f t="shared" si="43"/>
        <v>3575739.08</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4000</v>
      </c>
      <c r="G563" s="18">
        <v>0</v>
      </c>
      <c r="H563" s="18">
        <v>0</v>
      </c>
      <c r="I563" s="18">
        <v>0</v>
      </c>
      <c r="J563" s="18">
        <v>0</v>
      </c>
      <c r="K563" s="18">
        <v>0</v>
      </c>
      <c r="L563" s="88">
        <f>SUM(F563:K563)</f>
        <v>4000</v>
      </c>
      <c r="M563" s="8"/>
      <c r="N563" s="264"/>
    </row>
    <row r="564" spans="1:14" s="3" customFormat="1" ht="12.2" customHeight="1" x14ac:dyDescent="0.15">
      <c r="A564" s="22" t="s">
        <v>634</v>
      </c>
      <c r="B564" s="105">
        <v>22</v>
      </c>
      <c r="C564" s="115">
        <v>6</v>
      </c>
      <c r="D564" s="2" t="s">
        <v>432</v>
      </c>
      <c r="E564" s="115"/>
      <c r="F564" s="18">
        <v>2500</v>
      </c>
      <c r="G564" s="18">
        <v>0</v>
      </c>
      <c r="H564" s="18">
        <v>0</v>
      </c>
      <c r="I564" s="18">
        <v>0</v>
      </c>
      <c r="J564" s="18">
        <v>0</v>
      </c>
      <c r="K564" s="18">
        <v>0</v>
      </c>
      <c r="L564" s="88">
        <f>SUM(F564:K564)</f>
        <v>2500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5">SUM(F563:F565)</f>
        <v>6500</v>
      </c>
      <c r="G566" s="89">
        <f t="shared" si="45"/>
        <v>0</v>
      </c>
      <c r="H566" s="89">
        <f t="shared" si="45"/>
        <v>0</v>
      </c>
      <c r="I566" s="89">
        <f t="shared" si="45"/>
        <v>0</v>
      </c>
      <c r="J566" s="89">
        <f t="shared" si="45"/>
        <v>0</v>
      </c>
      <c r="K566" s="89">
        <f t="shared" si="45"/>
        <v>0</v>
      </c>
      <c r="L566" s="89">
        <f t="shared" si="45"/>
        <v>6500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45050</v>
      </c>
      <c r="G568" s="18">
        <v>36986.25</v>
      </c>
      <c r="H568" s="18">
        <v>0</v>
      </c>
      <c r="I568" s="18">
        <v>1371.08</v>
      </c>
      <c r="J568" s="18">
        <v>0</v>
      </c>
      <c r="K568" s="18">
        <v>0</v>
      </c>
      <c r="L568" s="88">
        <f>SUM(F568:K568)</f>
        <v>83407.33</v>
      </c>
      <c r="M568" s="8"/>
      <c r="N568" s="264"/>
    </row>
    <row r="569" spans="1:14" s="3" customFormat="1" ht="12.2" customHeight="1" x14ac:dyDescent="0.15">
      <c r="A569" s="22" t="s">
        <v>634</v>
      </c>
      <c r="B569" s="105">
        <v>22</v>
      </c>
      <c r="C569" s="105">
        <v>10</v>
      </c>
      <c r="D569" s="2" t="s">
        <v>432</v>
      </c>
      <c r="E569" s="105"/>
      <c r="F569" s="18">
        <v>51000</v>
      </c>
      <c r="G569" s="18">
        <v>22389.11</v>
      </c>
      <c r="H569" s="18">
        <v>0</v>
      </c>
      <c r="I569" s="18">
        <v>1955.65</v>
      </c>
      <c r="J569" s="18">
        <v>0</v>
      </c>
      <c r="K569" s="18">
        <v>0</v>
      </c>
      <c r="L569" s="88">
        <f>SUM(F569:K569)</f>
        <v>75344.759999999995</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96050</v>
      </c>
      <c r="G571" s="193">
        <f t="shared" ref="G571:L571" si="46">SUM(G568:G570)</f>
        <v>59375.360000000001</v>
      </c>
      <c r="H571" s="193">
        <f t="shared" si="46"/>
        <v>0</v>
      </c>
      <c r="I571" s="193">
        <f t="shared" si="46"/>
        <v>3326.73</v>
      </c>
      <c r="J571" s="193">
        <f t="shared" si="46"/>
        <v>0</v>
      </c>
      <c r="K571" s="193">
        <f t="shared" si="46"/>
        <v>0</v>
      </c>
      <c r="L571" s="193">
        <f t="shared" si="46"/>
        <v>158752.09</v>
      </c>
      <c r="M571" s="8"/>
      <c r="N571" s="264"/>
    </row>
    <row r="572" spans="1:14" s="3" customFormat="1" ht="12.2" customHeight="1" thickTop="1" x14ac:dyDescent="0.15">
      <c r="A572" s="98" t="s">
        <v>88</v>
      </c>
      <c r="B572" s="107">
        <v>22</v>
      </c>
      <c r="C572" s="107">
        <v>13</v>
      </c>
      <c r="D572" s="158" t="s">
        <v>432</v>
      </c>
      <c r="E572" s="107"/>
      <c r="F572" s="89">
        <f>F561+F566+F571</f>
        <v>102550</v>
      </c>
      <c r="G572" s="89">
        <f t="shared" ref="G572:L572" si="47">G561+G566+G571</f>
        <v>59375.360000000001</v>
      </c>
      <c r="H572" s="89">
        <f t="shared" si="47"/>
        <v>0</v>
      </c>
      <c r="I572" s="89">
        <f t="shared" si="47"/>
        <v>3326.73</v>
      </c>
      <c r="J572" s="89">
        <f t="shared" si="47"/>
        <v>0</v>
      </c>
      <c r="K572" s="89">
        <f t="shared" si="47"/>
        <v>0</v>
      </c>
      <c r="L572" s="89">
        <f t="shared" si="47"/>
        <v>165252.09</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0</v>
      </c>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c r="I577" s="87">
        <f t="shared" ref="I577:I588" si="48">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c r="I579" s="87">
        <f t="shared" si="48"/>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0</v>
      </c>
      <c r="G580" s="18">
        <v>0</v>
      </c>
      <c r="H580" s="18"/>
      <c r="I580" s="87">
        <f t="shared" si="48"/>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0</v>
      </c>
      <c r="H581" s="18"/>
      <c r="I581" s="87">
        <f t="shared" si="48"/>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115182.62</v>
      </c>
      <c r="G583" s="18">
        <v>98647.89</v>
      </c>
      <c r="H583" s="18"/>
      <c r="I583" s="87">
        <f t="shared" si="48"/>
        <v>213830.51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0</v>
      </c>
      <c r="H584" s="18"/>
      <c r="I584" s="87">
        <f t="shared" si="48"/>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c r="I585" s="87">
        <f t="shared" si="48"/>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v>0</v>
      </c>
      <c r="H586" s="18"/>
      <c r="I586" s="87">
        <f t="shared" si="48"/>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v>0</v>
      </c>
      <c r="G588" s="18">
        <v>0</v>
      </c>
      <c r="H588" s="18"/>
      <c r="I588" s="87">
        <f t="shared" si="48"/>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376007.1</f>
        <v>376007.1</v>
      </c>
      <c r="I592" s="18">
        <v>291684.01</v>
      </c>
      <c r="J592" s="18"/>
      <c r="K592" s="104">
        <f t="shared" ref="K592:K598" si="49">SUM(H592:J592)</f>
        <v>667691.11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129438.26</v>
      </c>
      <c r="I593" s="18">
        <v>46049.37</v>
      </c>
      <c r="J593" s="18"/>
      <c r="K593" s="104">
        <f t="shared" si="49"/>
        <v>175487.63</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c r="K594" s="104">
        <f t="shared" si="49"/>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1875.08</v>
      </c>
      <c r="J595" s="18"/>
      <c r="K595" s="104">
        <f t="shared" si="49"/>
        <v>1875.08</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0</v>
      </c>
      <c r="I596" s="18">
        <v>480.42</v>
      </c>
      <c r="J596" s="18"/>
      <c r="K596" s="104">
        <f t="shared" si="49"/>
        <v>480.42</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c r="K597" s="104">
        <f t="shared" si="49"/>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1482.08</v>
      </c>
      <c r="I598" s="18">
        <v>1660.28</v>
      </c>
      <c r="J598" s="18"/>
      <c r="K598" s="104">
        <f t="shared" si="49"/>
        <v>3142.3599999999997</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506927.44</v>
      </c>
      <c r="I599" s="108">
        <f>SUM(I592:I598)</f>
        <v>341749.16000000003</v>
      </c>
      <c r="J599" s="108">
        <f>SUM(J592:J598)</f>
        <v>0</v>
      </c>
      <c r="K599" s="108">
        <f>SUM(K592:K598)</f>
        <v>848676.6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59539.03</v>
      </c>
      <c r="I605" s="18">
        <f>127450.37+58288.1+5247.9</f>
        <v>190986.37</v>
      </c>
      <c r="J605" s="18"/>
      <c r="K605" s="104">
        <f>SUM(H605:J605)</f>
        <v>250525.4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59539.03</v>
      </c>
      <c r="I606" s="108">
        <f>SUM(I603:I605)</f>
        <v>190986.37</v>
      </c>
      <c r="J606" s="108">
        <f>SUM(J603:J605)</f>
        <v>0</v>
      </c>
      <c r="K606" s="108">
        <f>SUM(K603:K605)</f>
        <v>250525.4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7851.25</v>
      </c>
      <c r="G612" s="18">
        <v>1862.71</v>
      </c>
      <c r="H612" s="18">
        <v>1401.83</v>
      </c>
      <c r="I612" s="18">
        <v>0</v>
      </c>
      <c r="J612" s="18">
        <v>0</v>
      </c>
      <c r="K612" s="18">
        <v>0</v>
      </c>
      <c r="L612" s="88">
        <f>SUM(F612:K612)</f>
        <v>11115.789999999999</v>
      </c>
      <c r="M612" s="8"/>
      <c r="N612" s="264"/>
    </row>
    <row r="613" spans="1:14" s="3" customFormat="1" ht="12.2" customHeight="1" x14ac:dyDescent="0.15">
      <c r="A613" s="22" t="s">
        <v>634</v>
      </c>
      <c r="B613" s="75">
        <v>23</v>
      </c>
      <c r="C613" s="75">
        <v>14</v>
      </c>
      <c r="D613" s="2" t="s">
        <v>432</v>
      </c>
      <c r="E613" s="75"/>
      <c r="F613" s="18">
        <v>5577.5</v>
      </c>
      <c r="G613" s="18">
        <v>1289.47</v>
      </c>
      <c r="H613" s="18">
        <v>1000</v>
      </c>
      <c r="I613" s="18">
        <v>0</v>
      </c>
      <c r="J613" s="18">
        <v>0</v>
      </c>
      <c r="K613" s="18"/>
      <c r="L613" s="88">
        <f>SUM(F613:K613)</f>
        <v>7866.97</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0">SUM(F612:F614)</f>
        <v>13428.75</v>
      </c>
      <c r="G615" s="108">
        <f t="shared" si="50"/>
        <v>3152.1800000000003</v>
      </c>
      <c r="H615" s="108">
        <f t="shared" si="50"/>
        <v>2401.83</v>
      </c>
      <c r="I615" s="108">
        <f t="shared" si="50"/>
        <v>0</v>
      </c>
      <c r="J615" s="108">
        <f t="shared" si="50"/>
        <v>0</v>
      </c>
      <c r="K615" s="108">
        <f t="shared" si="50"/>
        <v>0</v>
      </c>
      <c r="L615" s="89">
        <f t="shared" si="50"/>
        <v>18982.759999999998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865042.55999999994</v>
      </c>
      <c r="H618" s="109">
        <f>SUM(F52)</f>
        <v>865042.56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103099.93000000001</v>
      </c>
      <c r="H619" s="109">
        <f>SUM(G52)</f>
        <v>103099.93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120064.51000000001</v>
      </c>
      <c r="H620" s="109">
        <f>SUM(H52)</f>
        <v>120064.51000000001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1020092.7</v>
      </c>
      <c r="H622" s="109">
        <f>SUM(J52)</f>
        <v>1020092.7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835369.68</v>
      </c>
      <c r="H623" s="109">
        <f>F477</f>
        <v>835369.68000000156</v>
      </c>
      <c r="I623" s="121" t="s">
        <v>101</v>
      </c>
      <c r="J623" s="109">
        <f t="shared" ref="J623:J656" si="51">G623-H623</f>
        <v>-1.5133991837501526E-9</v>
      </c>
      <c r="K623" s="109"/>
      <c r="L623" s="109"/>
      <c r="M623" s="8"/>
    </row>
    <row r="624" spans="1:14" s="3" customFormat="1" ht="12.2" customHeight="1" x14ac:dyDescent="0.15">
      <c r="A624" s="97"/>
      <c r="B624" s="105"/>
      <c r="C624" s="119"/>
      <c r="D624" s="119"/>
      <c r="E624" s="119"/>
      <c r="F624" s="119" t="s">
        <v>866</v>
      </c>
      <c r="G624" s="109">
        <f>G51</f>
        <v>103096.51</v>
      </c>
      <c r="H624" s="109">
        <f>G477</f>
        <v>103096.51000000013</v>
      </c>
      <c r="I624" s="121" t="s">
        <v>102</v>
      </c>
      <c r="J624" s="109">
        <f t="shared" si="51"/>
        <v>-1.3096723705530167E-10</v>
      </c>
      <c r="K624" s="109"/>
      <c r="L624" s="109"/>
      <c r="M624" s="8"/>
    </row>
    <row r="625" spans="1:13" s="3" customFormat="1" ht="12.2" customHeight="1" x14ac:dyDescent="0.15">
      <c r="A625" s="97"/>
      <c r="B625" s="105"/>
      <c r="C625" s="105"/>
      <c r="D625" s="105"/>
      <c r="E625" s="105"/>
      <c r="F625" s="120" t="s">
        <v>867</v>
      </c>
      <c r="G625" s="109">
        <f>H51</f>
        <v>8696.34</v>
      </c>
      <c r="H625" s="109">
        <f>H477</f>
        <v>8696.3400000000838</v>
      </c>
      <c r="I625" s="121" t="s">
        <v>103</v>
      </c>
      <c r="J625" s="109">
        <f t="shared" si="51"/>
        <v>-8.3673512563109398E-11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1020092.7</v>
      </c>
      <c r="H627" s="109">
        <f>J477</f>
        <v>1020092.7000000001</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15586412.710000001</v>
      </c>
      <c r="H628" s="104">
        <f>SUM(F469)</f>
        <v>15586412.710000001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336721.25</v>
      </c>
      <c r="H629" s="104">
        <f>SUM(G469)</f>
        <v>336721.25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687838.96000000008</v>
      </c>
      <c r="H630" s="104">
        <f>SUM(H469)</f>
        <v>687838.96000000008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748508.79</v>
      </c>
      <c r="H632" s="104">
        <f>SUM(J469)</f>
        <v>748508.79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15540349.59</v>
      </c>
      <c r="H633" s="104">
        <f>SUM(F473)</f>
        <v>15540349.59</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687838.96</v>
      </c>
      <c r="H634" s="104">
        <f>SUM(H473)</f>
        <v>687838.96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353882.17</v>
      </c>
      <c r="H636" s="104">
        <f>SUM(G473)</f>
        <v>353882.17</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748508.79</v>
      </c>
      <c r="H638" s="164">
        <f>SUM(J469)</f>
        <v>748508.79</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1020092.7</v>
      </c>
      <c r="H641" s="104">
        <f>SUM(G462)</f>
        <v>1020092.7</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1020092.7</v>
      </c>
      <c r="H643" s="104">
        <f>SUM(I462)</f>
        <v>1020092.7</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748.26</v>
      </c>
      <c r="H645" s="104">
        <f>H409</f>
        <v>748.26</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747760.53</v>
      </c>
      <c r="H646" s="104">
        <f>G409</f>
        <v>747760.53</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748508.79</v>
      </c>
      <c r="H647" s="104">
        <f>L409</f>
        <v>748508.79</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848676.6</v>
      </c>
      <c r="H648" s="104">
        <f>L209+L227+L245</f>
        <v>848676.6</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250525.4</v>
      </c>
      <c r="H649" s="104">
        <f>(J258+J339)-(J256+J337)</f>
        <v>250525.39999999997</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506927.44</v>
      </c>
      <c r="H650" s="104">
        <f>H599</f>
        <v>506927.44</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341749.16</v>
      </c>
      <c r="H651" s="104">
        <f>I599</f>
        <v>341749.16000000003</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747760.53</v>
      </c>
      <c r="H656" s="104">
        <f>K267+K348</f>
        <v>747760.53</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8156104.54</v>
      </c>
      <c r="G661" s="19">
        <f>(L230+L310+L360)</f>
        <v>6617761.6500000004</v>
      </c>
      <c r="H661" s="19">
        <f>(L248+L329+L361)</f>
        <v>0</v>
      </c>
      <c r="I661" s="19">
        <f>SUM(F661:H661)</f>
        <v>14773866.190000001</v>
      </c>
      <c r="J661" s="13"/>
      <c r="K661" s="13"/>
      <c r="L661" s="13"/>
      <c r="M661" s="9"/>
    </row>
    <row r="662" spans="1:13" s="3" customFormat="1" ht="12.2" customHeight="1" x14ac:dyDescent="0.2">
      <c r="A662" s="1" t="s">
        <v>127</v>
      </c>
      <c r="F662" s="19">
        <f>(L359/IF(SUM(L359:L361)=0,1,SUM(L359:L361))*(SUM(G97:G110)))</f>
        <v>3780.1421424142391</v>
      </c>
      <c r="G662" s="19">
        <f>(L360/IF(SUM(L359:L361)=0,1,SUM(L359:L361))*(SUM(G97:G110)))</f>
        <v>3813.3278575857612</v>
      </c>
      <c r="H662" s="19">
        <f>(L361/IF(SUM(L359:L361)=0,1,SUM(L359:L361))*(SUM(G97:G110)))</f>
        <v>0</v>
      </c>
      <c r="I662" s="19">
        <f>SUM(F662:H662)</f>
        <v>7593.47</v>
      </c>
      <c r="J662"/>
      <c r="K662" s="13"/>
      <c r="L662" s="13"/>
      <c r="M662" s="8"/>
    </row>
    <row r="663" spans="1:13" s="3" customFormat="1" ht="12.2" customHeight="1" x14ac:dyDescent="0.2">
      <c r="A663" s="1" t="s">
        <v>128</v>
      </c>
      <c r="F663" s="19">
        <f>(L209+L288)-(J209+J288)</f>
        <v>531767.43999999994</v>
      </c>
      <c r="G663" s="19">
        <f>(L227+L307)-(J227+J307)</f>
        <v>358654.16</v>
      </c>
      <c r="H663" s="19">
        <f>(L245+L326)-(J245+J326)</f>
        <v>0</v>
      </c>
      <c r="I663" s="19">
        <f>SUM(F663:H663)</f>
        <v>890421.59999999986</v>
      </c>
      <c r="J663"/>
      <c r="K663" s="13"/>
      <c r="L663" s="13"/>
      <c r="M663" s="9"/>
    </row>
    <row r="664" spans="1:13" s="3" customFormat="1" ht="12.2" customHeight="1" x14ac:dyDescent="0.15">
      <c r="A664" s="198" t="s">
        <v>129</v>
      </c>
      <c r="B664" s="169"/>
      <c r="C664" s="169"/>
      <c r="D664" s="169"/>
      <c r="E664" s="169"/>
      <c r="F664" s="199">
        <f>SUM(F576:F588)+SUM(H603:H605)+SUM(L612)</f>
        <v>185837.44</v>
      </c>
      <c r="G664" s="199">
        <f>SUM(G576:G588)+SUM(I603:I605)+L613</f>
        <v>297501.23</v>
      </c>
      <c r="H664" s="199">
        <f>SUM(H576:H588)+SUM(J603:J605)+L614</f>
        <v>0</v>
      </c>
      <c r="I664" s="19">
        <f>SUM(F664:H664)</f>
        <v>483338.67</v>
      </c>
      <c r="J664" s="13"/>
      <c r="K664" s="13"/>
      <c r="L664" s="13"/>
      <c r="M664" s="9"/>
    </row>
    <row r="665" spans="1:13" s="3" customFormat="1" ht="12.2" customHeight="1" x14ac:dyDescent="0.15">
      <c r="A665" s="1" t="s">
        <v>130</v>
      </c>
      <c r="F665" s="19">
        <f>F661-SUM(F662:F664)</f>
        <v>7434719.517857586</v>
      </c>
      <c r="G665" s="19">
        <f>G661-SUM(G662:G664)</f>
        <v>5957792.9321424142</v>
      </c>
      <c r="H665" s="19">
        <f>H661-SUM(H662:H664)</f>
        <v>0</v>
      </c>
      <c r="I665" s="19">
        <f>I661-SUM(I662:I664)</f>
        <v>13392512.450000001</v>
      </c>
      <c r="J665" s="13"/>
      <c r="K665" s="13"/>
      <c r="L665" s="13"/>
      <c r="M665" s="8"/>
    </row>
    <row r="666" spans="1:13" s="3" customFormat="1" ht="12.2" customHeight="1" x14ac:dyDescent="0.25">
      <c r="A666" s="1" t="s">
        <v>131</v>
      </c>
      <c r="F666" s="391">
        <v>507.27</v>
      </c>
      <c r="G666" s="391">
        <v>329.25</v>
      </c>
      <c r="H666" s="391">
        <v>0</v>
      </c>
      <c r="I666" s="19">
        <f>SUM(F666:H666)</f>
        <v>836.52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14656.34</v>
      </c>
      <c r="G668" s="19">
        <f>ROUND(G665/G666,2)</f>
        <v>18095.04</v>
      </c>
      <c r="H668" s="19" t="e">
        <f>ROUND(H665/H666,2)</f>
        <v>#DIV/0!</v>
      </c>
      <c r="I668" s="19">
        <f>ROUND(I665/I666,2)</f>
        <v>16009.79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14656.34</v>
      </c>
      <c r="G673" s="19">
        <f>ROUND((G665+G670)/(G666+G671),2)</f>
        <v>18095.04</v>
      </c>
      <c r="H673" s="19" t="e">
        <f>ROUND((H665+H670)/(H666+H671),2)</f>
        <v>#DIV/0!</v>
      </c>
      <c r="I673" s="19">
        <f>ROUND((I665+I670)/(I666+I671),2)</f>
        <v>16009.79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H9" sqref="H9"/>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'DOE25'!F162+'DOE25'!H162</f>
        <v>66024.899999999994</v>
      </c>
      <c r="F7" s="345"/>
    </row>
    <row r="8" spans="2:6" x14ac:dyDescent="0.25">
      <c r="B8" s="345"/>
      <c r="C8" s="345"/>
      <c r="D8" s="345"/>
      <c r="E8" s="345"/>
      <c r="F8" s="345"/>
    </row>
    <row r="9" spans="2:6" x14ac:dyDescent="0.25">
      <c r="B9" s="345"/>
      <c r="C9" s="345" t="s">
        <v>1650</v>
      </c>
      <c r="D9" s="345" t="s">
        <v>1651</v>
      </c>
      <c r="E9" s="341"/>
      <c r="F9" s="345"/>
    </row>
    <row r="10" spans="2:6" x14ac:dyDescent="0.25">
      <c r="B10" s="345"/>
      <c r="C10" s="345"/>
      <c r="D10" s="345"/>
      <c r="E10" s="345"/>
      <c r="F10" s="345"/>
    </row>
    <row r="11" spans="2:6" x14ac:dyDescent="0.25">
      <c r="B11" s="345"/>
      <c r="C11" s="345" t="s">
        <v>1652</v>
      </c>
      <c r="D11" s="345" t="s">
        <v>1653</v>
      </c>
      <c r="E11" s="341"/>
      <c r="F11" s="345"/>
    </row>
    <row r="12" spans="2:6" x14ac:dyDescent="0.25">
      <c r="B12" s="345"/>
      <c r="C12" s="345"/>
      <c r="D12" s="345"/>
      <c r="E12" s="345"/>
      <c r="F12" s="345"/>
    </row>
    <row r="13" spans="2:6" x14ac:dyDescent="0.25">
      <c r="B13" s="345"/>
      <c r="C13" s="345" t="s">
        <v>1654</v>
      </c>
      <c r="D13" s="345" t="s">
        <v>1655</v>
      </c>
      <c r="E13" s="341"/>
      <c r="F13" s="345"/>
    </row>
    <row r="14" spans="2:6" x14ac:dyDescent="0.25">
      <c r="B14" s="345"/>
      <c r="C14" s="345"/>
      <c r="D14" s="345"/>
      <c r="E14" s="345"/>
      <c r="F14" s="345"/>
    </row>
    <row r="15" spans="2:6" x14ac:dyDescent="0.25">
      <c r="B15" s="345"/>
      <c r="C15" s="345" t="s">
        <v>1656</v>
      </c>
      <c r="D15" s="345" t="s">
        <v>1657</v>
      </c>
      <c r="E15" s="341"/>
      <c r="F15" s="345"/>
    </row>
    <row r="16" spans="2:6" x14ac:dyDescent="0.25">
      <c r="B16" s="345"/>
      <c r="C16" s="345"/>
      <c r="D16" s="345"/>
      <c r="E16" s="345"/>
      <c r="F16" s="345"/>
    </row>
    <row r="17" spans="2:8" x14ac:dyDescent="0.25">
      <c r="B17" s="345"/>
      <c r="C17" s="345" t="s">
        <v>1658</v>
      </c>
      <c r="D17" s="346">
        <v>21.018999999999998</v>
      </c>
      <c r="E17" s="358">
        <v>184600</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58">
        <f>7736.8+121320.5+8261.58</f>
        <v>137318.88</v>
      </c>
      <c r="F22" s="345"/>
    </row>
    <row r="23" spans="2:8" x14ac:dyDescent="0.25">
      <c r="B23" s="345"/>
      <c r="C23" s="345"/>
      <c r="D23" s="345"/>
      <c r="E23" s="345"/>
      <c r="F23" s="345"/>
    </row>
    <row r="24" spans="2:8" ht="26.25" customHeight="1" x14ac:dyDescent="0.25">
      <c r="B24" s="345"/>
      <c r="C24" s="347" t="s">
        <v>1661</v>
      </c>
      <c r="D24" s="345"/>
      <c r="E24" s="358">
        <v>51294.17</v>
      </c>
      <c r="F24" s="345"/>
    </row>
    <row r="25" spans="2:8" ht="18" x14ac:dyDescent="0.25">
      <c r="B25" s="345"/>
      <c r="C25" s="348"/>
      <c r="D25" s="345"/>
      <c r="E25" s="345"/>
      <c r="F25" s="345"/>
    </row>
    <row r="26" spans="2:8" ht="27.75" customHeight="1" x14ac:dyDescent="0.25">
      <c r="B26" s="345"/>
      <c r="C26" s="347" t="s">
        <v>1662</v>
      </c>
      <c r="D26" s="345"/>
      <c r="E26" s="358">
        <f>7736.8+70026.33+8261.58</f>
        <v>86024.71</v>
      </c>
      <c r="F26" s="345"/>
    </row>
    <row r="27" spans="2:8" x14ac:dyDescent="0.25">
      <c r="B27" s="345"/>
      <c r="C27" s="347"/>
      <c r="D27" s="345"/>
      <c r="E27" s="345"/>
      <c r="F27" s="345"/>
    </row>
    <row r="28" spans="2:8" ht="15.75" customHeight="1" x14ac:dyDescent="0.25">
      <c r="B28" s="345"/>
      <c r="C28" s="347" t="s">
        <v>1663</v>
      </c>
      <c r="D28" s="345"/>
      <c r="E28" s="358">
        <v>0</v>
      </c>
      <c r="F28" s="345"/>
    </row>
    <row r="29" spans="2:8" x14ac:dyDescent="0.25">
      <c r="B29" s="345"/>
      <c r="C29" s="345"/>
      <c r="D29" s="345"/>
      <c r="E29" s="345"/>
      <c r="F29" s="345"/>
    </row>
    <row r="30" spans="2:8" ht="16.5" customHeight="1" x14ac:dyDescent="0.25">
      <c r="B30" s="345"/>
      <c r="C30" s="347" t="s">
        <v>1664</v>
      </c>
      <c r="D30" s="345"/>
      <c r="E30" s="358">
        <f>58288.1+55017.92</f>
        <v>113306.01999999999</v>
      </c>
      <c r="F30" s="345"/>
    </row>
    <row r="31" spans="2:8" x14ac:dyDescent="0.25">
      <c r="B31" s="345"/>
      <c r="C31" s="345"/>
      <c r="D31" s="345"/>
      <c r="E31" s="345"/>
      <c r="F31" s="345"/>
      <c r="H31" s="357"/>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Weare School District</v>
      </c>
      <c r="C5" s="362"/>
      <c r="D5" s="362"/>
      <c r="E5" s="362"/>
      <c r="F5" s="362"/>
    </row>
    <row r="8" spans="1:9" ht="18" x14ac:dyDescent="0.25">
      <c r="A8" s="317" t="s">
        <v>1576</v>
      </c>
      <c r="F8" s="324" t="s">
        <v>1594</v>
      </c>
    </row>
    <row r="9" spans="1:9" ht="15" x14ac:dyDescent="0.2">
      <c r="A9" s="315" t="s">
        <v>1577</v>
      </c>
      <c r="B9" s="318">
        <f>'DOE25'!G97</f>
        <v>7593.47</v>
      </c>
      <c r="F9" s="315" t="s">
        <v>1590</v>
      </c>
    </row>
    <row r="10" spans="1:9" ht="15" x14ac:dyDescent="0.2">
      <c r="A10" s="315" t="s">
        <v>1578</v>
      </c>
      <c r="B10" s="318">
        <f>'DOE25'!G112-'DOE25'!G97</f>
        <v>0</v>
      </c>
      <c r="F10" s="315" t="s">
        <v>1591</v>
      </c>
    </row>
    <row r="11" spans="1:9" ht="15" x14ac:dyDescent="0.2">
      <c r="A11" s="315" t="s">
        <v>1579</v>
      </c>
      <c r="B11" s="318">
        <f>'DOE25'!G140</f>
        <v>7500.78</v>
      </c>
      <c r="F11" s="315" t="s">
        <v>1592</v>
      </c>
    </row>
    <row r="12" spans="1:9" ht="15" x14ac:dyDescent="0.2">
      <c r="A12" s="315" t="s">
        <v>1580</v>
      </c>
      <c r="B12" s="318">
        <f>'DOE25'!G170</f>
        <v>321627</v>
      </c>
      <c r="F12" s="315" t="s">
        <v>1593</v>
      </c>
    </row>
    <row r="13" spans="1:9" ht="15" x14ac:dyDescent="0.2">
      <c r="A13" s="315" t="s">
        <v>1581</v>
      </c>
      <c r="B13" s="318">
        <f>'DOE25'!G193-'DOE25'!G180</f>
        <v>0</v>
      </c>
      <c r="F13" s="315" t="s">
        <v>1603</v>
      </c>
    </row>
    <row r="14" spans="1:9" ht="18" x14ac:dyDescent="0.25">
      <c r="A14" s="317" t="s">
        <v>732</v>
      </c>
      <c r="B14" s="319">
        <f>SUM(B9:B13)</f>
        <v>336721.25</v>
      </c>
    </row>
    <row r="16" spans="1:9" ht="18" x14ac:dyDescent="0.25">
      <c r="A16" s="317" t="s">
        <v>786</v>
      </c>
      <c r="F16" s="324" t="s">
        <v>1595</v>
      </c>
    </row>
    <row r="17" spans="1:6" ht="15" x14ac:dyDescent="0.2">
      <c r="A17" s="315" t="s">
        <v>1582</v>
      </c>
      <c r="B17" s="318">
        <f>'DOE25'!L363-'DOE25'!L362</f>
        <v>353882.17</v>
      </c>
      <c r="F17" s="315" t="s">
        <v>1596</v>
      </c>
    </row>
    <row r="18" spans="1:6" ht="15" x14ac:dyDescent="0.2">
      <c r="A18" s="315" t="s">
        <v>1583</v>
      </c>
      <c r="B18" s="328">
        <v>0</v>
      </c>
      <c r="F18" s="324" t="s">
        <v>1620</v>
      </c>
    </row>
    <row r="19" spans="1:6" ht="18" x14ac:dyDescent="0.25">
      <c r="A19" s="317" t="s">
        <v>725</v>
      </c>
      <c r="B19" s="319">
        <f>SUM(B17:B18)</f>
        <v>353882.17</v>
      </c>
    </row>
    <row r="21" spans="1:6" ht="18.75" thickBot="1" x14ac:dyDescent="0.3">
      <c r="A21" s="317" t="s">
        <v>1584</v>
      </c>
    </row>
    <row r="22" spans="1:6" ht="18.75" thickTop="1" x14ac:dyDescent="0.25">
      <c r="A22" s="317" t="s">
        <v>1585</v>
      </c>
      <c r="B22" s="323">
        <f>B14-B19</f>
        <v>-17160.919999999984</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120257.43000000011</v>
      </c>
      <c r="F31" s="315" t="s">
        <v>1600</v>
      </c>
    </row>
    <row r="33" spans="1:6" ht="15" x14ac:dyDescent="0.2">
      <c r="A33" s="315" t="s">
        <v>1629</v>
      </c>
      <c r="B33" s="318">
        <f>'DOE25'!G477</f>
        <v>103096.51000000013</v>
      </c>
      <c r="F33" s="315" t="s">
        <v>1601</v>
      </c>
    </row>
    <row r="36" spans="1:6" ht="15" x14ac:dyDescent="0.2">
      <c r="A36" s="315" t="s">
        <v>1587</v>
      </c>
      <c r="B36" s="329">
        <v>35256.480000000003</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J36" sqref="J3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Weare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3711700.3200000003</v>
      </c>
      <c r="C9" s="229">
        <f>'DOE25'!G198+'DOE25'!G216+'DOE25'!G234+'DOE25'!G277+'DOE25'!G296+'DOE25'!G315</f>
        <v>1959253.39</v>
      </c>
    </row>
    <row r="10" spans="1:3" x14ac:dyDescent="0.2">
      <c r="A10" t="s">
        <v>775</v>
      </c>
      <c r="B10" s="240">
        <v>3412481.67</v>
      </c>
      <c r="C10" s="240">
        <v>1932514.32</v>
      </c>
    </row>
    <row r="11" spans="1:3" x14ac:dyDescent="0.2">
      <c r="A11" t="s">
        <v>776</v>
      </c>
      <c r="B11" s="240">
        <v>157332.76999999999</v>
      </c>
      <c r="C11" s="240">
        <v>15384.47</v>
      </c>
    </row>
    <row r="12" spans="1:3" x14ac:dyDescent="0.2">
      <c r="A12" t="s">
        <v>777</v>
      </c>
      <c r="B12" s="240">
        <v>141885.88</v>
      </c>
      <c r="C12" s="240">
        <v>11354.6</v>
      </c>
    </row>
    <row r="13" spans="1:3" x14ac:dyDescent="0.2">
      <c r="A13" t="str">
        <f>IF(B9=B13,IF(C9=C13,"Check Total OK","Check Total Error"),"Check Total Error")</f>
        <v>Check Total OK</v>
      </c>
      <c r="B13" s="231">
        <f>SUM(B10:B12)</f>
        <v>3711700.32</v>
      </c>
      <c r="C13" s="231">
        <f>SUM(C10:C12)</f>
        <v>1959253.3900000001</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1510940.41</v>
      </c>
      <c r="C18" s="229">
        <f>'DOE25'!G199+'DOE25'!G217+'DOE25'!G235+'DOE25'!G278+'DOE25'!G297+'DOE25'!G316</f>
        <v>567398.06000000006</v>
      </c>
    </row>
    <row r="19" spans="1:3" x14ac:dyDescent="0.2">
      <c r="A19" t="s">
        <v>775</v>
      </c>
      <c r="B19" s="240">
        <v>769644.25</v>
      </c>
      <c r="C19" s="240">
        <v>479017.93</v>
      </c>
    </row>
    <row r="20" spans="1:3" x14ac:dyDescent="0.2">
      <c r="A20" t="s">
        <v>776</v>
      </c>
      <c r="B20" s="240">
        <v>602044.92000000004</v>
      </c>
      <c r="C20" s="240">
        <v>46468.33</v>
      </c>
    </row>
    <row r="21" spans="1:3" x14ac:dyDescent="0.2">
      <c r="A21" t="s">
        <v>777</v>
      </c>
      <c r="B21" s="240">
        <f>29993.74+109257.5</f>
        <v>139251.24</v>
      </c>
      <c r="C21" s="240">
        <f>3371.03+38540.77</f>
        <v>41911.799999999996</v>
      </c>
    </row>
    <row r="22" spans="1:3" x14ac:dyDescent="0.2">
      <c r="A22" t="str">
        <f>IF(B18=B22,IF(C18=C22,"Check Total OK","Check Total Error"),"Check Total Error")</f>
        <v>Check Total OK</v>
      </c>
      <c r="B22" s="231">
        <f>SUM(B19:B21)</f>
        <v>1510940.41</v>
      </c>
      <c r="C22" s="231">
        <f>SUM(C19:C21)</f>
        <v>567398.06000000006</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67128.58</v>
      </c>
      <c r="C36" s="235">
        <f>'DOE25'!G201+'DOE25'!G219+'DOE25'!G237+'DOE25'!G280+'DOE25'!G299+'DOE25'!G318</f>
        <v>14368.43</v>
      </c>
    </row>
    <row r="37" spans="1:3" x14ac:dyDescent="0.2">
      <c r="A37" t="s">
        <v>775</v>
      </c>
      <c r="B37" s="240">
        <v>67086.92</v>
      </c>
      <c r="C37" s="240">
        <v>9626.85</v>
      </c>
    </row>
    <row r="38" spans="1:3" x14ac:dyDescent="0.2">
      <c r="A38" t="s">
        <v>776</v>
      </c>
      <c r="B38" s="240"/>
      <c r="C38" s="240"/>
    </row>
    <row r="39" spans="1:3" x14ac:dyDescent="0.2">
      <c r="A39" t="s">
        <v>777</v>
      </c>
      <c r="B39" s="240">
        <v>41.66</v>
      </c>
      <c r="C39" s="240">
        <v>4741.58</v>
      </c>
    </row>
    <row r="40" spans="1:3" x14ac:dyDescent="0.2">
      <c r="A40" t="str">
        <f>IF(B36=B40,IF(C36=C40,"Check Total OK","Check Total Error"),"Check Total Error")</f>
        <v>Check Total OK</v>
      </c>
      <c r="B40" s="231">
        <f>SUM(B37:B39)</f>
        <v>67128.58</v>
      </c>
      <c r="C40" s="231">
        <f>SUM(C37:C39)</f>
        <v>14368.43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Weare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8511417.0299999993</v>
      </c>
      <c r="D5" s="20">
        <f>SUM('DOE25'!L198:L201)+SUM('DOE25'!L216:L219)+SUM('DOE25'!L234:L237)-F5-G5-H5</f>
        <v>8289207.9399999995</v>
      </c>
      <c r="E5" s="243"/>
      <c r="F5" s="244">
        <v>165530.43</v>
      </c>
      <c r="G5" s="53">
        <f>SUM('DOE25'!J198:J201)+SUM('DOE25'!J216:J219)+SUM('DOE25'!J234:J237)</f>
        <v>48035.61</v>
      </c>
      <c r="H5" s="53">
        <f>SUM('DOE25'!K198:K201)+SUM('DOE25'!K216:K219)+SUM('DOE25'!K234:K237)</f>
        <v>8643.0499999999993</v>
      </c>
      <c r="I5" s="254"/>
    </row>
    <row r="6" spans="1:9" x14ac:dyDescent="0.2">
      <c r="A6" s="32">
        <v>2100</v>
      </c>
      <c r="B6" t="s">
        <v>796</v>
      </c>
      <c r="C6" s="273">
        <f t="shared" si="0"/>
        <v>1160366.8499999999</v>
      </c>
      <c r="D6" s="20">
        <f>'DOE25'!L203+'DOE25'!L221+'DOE25'!L239-F6-G6-H6</f>
        <v>966653.39</v>
      </c>
      <c r="E6" s="243"/>
      <c r="F6" s="244">
        <v>186432.8</v>
      </c>
      <c r="G6" s="53">
        <f>'DOE25'!J203+'DOE25'!J221+'DOE25'!J239</f>
        <v>7280.66</v>
      </c>
      <c r="H6" s="53">
        <f>'DOE25'!K203+'DOE25'!K221+'DOE25'!K239</f>
        <v>0</v>
      </c>
      <c r="I6" s="254"/>
    </row>
    <row r="7" spans="1:9" x14ac:dyDescent="0.2">
      <c r="A7" s="32">
        <v>2200</v>
      </c>
      <c r="B7" t="s">
        <v>821</v>
      </c>
      <c r="C7" s="273">
        <f t="shared" si="0"/>
        <v>486806.76</v>
      </c>
      <c r="D7" s="20">
        <f>'DOE25'!L204+'DOE25'!L222+'DOE25'!L240-F7-G7-H7</f>
        <v>364071.87</v>
      </c>
      <c r="E7" s="243"/>
      <c r="F7" s="244"/>
      <c r="G7" s="53">
        <f>'DOE25'!J204+'DOE25'!J222+'DOE25'!J240</f>
        <v>47130.67</v>
      </c>
      <c r="H7" s="53">
        <f>'DOE25'!K204+'DOE25'!K222+'DOE25'!K240</f>
        <v>75604.22</v>
      </c>
      <c r="I7" s="254"/>
    </row>
    <row r="8" spans="1:9" x14ac:dyDescent="0.2">
      <c r="A8" s="32">
        <v>2300</v>
      </c>
      <c r="B8" t="s">
        <v>797</v>
      </c>
      <c r="C8" s="273">
        <f t="shared" si="0"/>
        <v>359358.11</v>
      </c>
      <c r="D8" s="243"/>
      <c r="E8" s="20">
        <f>'DOE25'!L205+'DOE25'!L223+'DOE25'!L241-F8-G8-H8-D9-D11</f>
        <v>342547.26</v>
      </c>
      <c r="F8" s="244"/>
      <c r="G8" s="53">
        <f>'DOE25'!J205+'DOE25'!J223+'DOE25'!J241</f>
        <v>0</v>
      </c>
      <c r="H8" s="53">
        <f>'DOE25'!K205+'DOE25'!K223+'DOE25'!K241</f>
        <v>16810.849999999999</v>
      </c>
      <c r="I8" s="254"/>
    </row>
    <row r="9" spans="1:9" ht="14.25" x14ac:dyDescent="0.2">
      <c r="A9" s="32">
        <v>2310</v>
      </c>
      <c r="B9" s="185" t="s">
        <v>888</v>
      </c>
      <c r="C9" s="273">
        <f t="shared" si="0"/>
        <v>65836.2</v>
      </c>
      <c r="D9" s="244">
        <v>65836.2</v>
      </c>
      <c r="E9" s="243"/>
      <c r="F9" s="251"/>
      <c r="G9" s="251"/>
      <c r="H9" s="251"/>
      <c r="I9" s="254"/>
    </row>
    <row r="10" spans="1:9" ht="14.25" x14ac:dyDescent="0.2">
      <c r="A10" s="32">
        <v>2317</v>
      </c>
      <c r="B10" s="185" t="s">
        <v>889</v>
      </c>
      <c r="C10" s="273">
        <f t="shared" si="0"/>
        <v>8450</v>
      </c>
      <c r="D10" s="243"/>
      <c r="E10" s="244">
        <v>8450</v>
      </c>
      <c r="F10" s="251"/>
      <c r="G10" s="251"/>
      <c r="H10" s="251"/>
      <c r="I10" s="254"/>
    </row>
    <row r="11" spans="1:9" ht="14.25" x14ac:dyDescent="0.2">
      <c r="A11" s="32">
        <v>2321</v>
      </c>
      <c r="B11" s="185" t="s">
        <v>890</v>
      </c>
      <c r="C11" s="273">
        <f t="shared" si="0"/>
        <v>219484.39</v>
      </c>
      <c r="D11" s="244">
        <v>219484.39</v>
      </c>
      <c r="E11" s="243"/>
      <c r="F11" s="251"/>
      <c r="G11" s="251"/>
      <c r="H11" s="251"/>
      <c r="I11" s="254"/>
    </row>
    <row r="12" spans="1:9" x14ac:dyDescent="0.2">
      <c r="A12" s="32">
        <v>2400</v>
      </c>
      <c r="B12" t="s">
        <v>711</v>
      </c>
      <c r="C12" s="273">
        <f t="shared" si="0"/>
        <v>950982.51</v>
      </c>
      <c r="D12" s="20">
        <f>'DOE25'!L206+'DOE25'!L224+'DOE25'!L242-F12-G12-H12</f>
        <v>944940.97</v>
      </c>
      <c r="E12" s="243"/>
      <c r="F12" s="244"/>
      <c r="G12" s="53">
        <f>'DOE25'!J206+'DOE25'!J224+'DOE25'!J242</f>
        <v>4453.54</v>
      </c>
      <c r="H12" s="53">
        <f>'DOE25'!K206+'DOE25'!K224+'DOE25'!K242</f>
        <v>1588</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1130216.6099999999</v>
      </c>
      <c r="D14" s="20">
        <f>'DOE25'!L208+'DOE25'!L226+'DOE25'!L244-F14-G14-H14</f>
        <v>1105145.6099999999</v>
      </c>
      <c r="E14" s="243"/>
      <c r="F14" s="244"/>
      <c r="G14" s="53">
        <f>'DOE25'!J208+'DOE25'!J226+'DOE25'!J244</f>
        <v>25071</v>
      </c>
      <c r="H14" s="53">
        <f>'DOE25'!K208+'DOE25'!K226+'DOE25'!K244</f>
        <v>0</v>
      </c>
      <c r="I14" s="254"/>
    </row>
    <row r="15" spans="1:9" x14ac:dyDescent="0.2">
      <c r="A15" s="32">
        <v>2700</v>
      </c>
      <c r="B15" t="s">
        <v>799</v>
      </c>
      <c r="C15" s="273">
        <f t="shared" si="0"/>
        <v>848676.6</v>
      </c>
      <c r="D15" s="20">
        <f>'DOE25'!L209+'DOE25'!L227+'DOE25'!L245-F15-G15-H15</f>
        <v>62543.469999999972</v>
      </c>
      <c r="E15" s="243"/>
      <c r="F15" s="244">
        <v>786133.13</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1059444</v>
      </c>
      <c r="D25" s="243"/>
      <c r="E25" s="243"/>
      <c r="F25" s="253"/>
      <c r="G25" s="251"/>
      <c r="H25" s="251"/>
      <c r="I25" s="252">
        <f>'DOE25'!L261+'DOE25'!L262+'DOE25'!L342+'DOE25'!L343</f>
        <v>1059444</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353882.17</v>
      </c>
      <c r="D29" s="281">
        <f>'DOE25'!L359+'DOE25'!L360+'DOE25'!L361-'DOE25'!I368-F29-G29-H29</f>
        <v>352259</v>
      </c>
      <c r="E29" s="243"/>
      <c r="F29" s="244"/>
      <c r="G29" s="53">
        <f>'DOE25'!J359+'DOE25'!J360+'DOE25'!J361</f>
        <v>0</v>
      </c>
      <c r="H29" s="53">
        <f>'DOE25'!K359+'DOE25'!K360+'DOE25'!K361</f>
        <v>1623.1699999999998</v>
      </c>
      <c r="I29" s="254"/>
    </row>
    <row r="30" spans="1:9" x14ac:dyDescent="0.2">
      <c r="A30" s="32"/>
      <c r="C30" s="274"/>
      <c r="D30" s="20"/>
      <c r="E30" s="278"/>
      <c r="F30" s="268"/>
      <c r="G30" s="53"/>
      <c r="H30" s="53"/>
      <c r="I30" s="254"/>
    </row>
    <row r="31" spans="1:9" x14ac:dyDescent="0.2">
      <c r="A31" s="32" t="s">
        <v>818</v>
      </c>
      <c r="B31" t="s">
        <v>817</v>
      </c>
      <c r="C31" s="273">
        <f>SUM(D31:I31)</f>
        <v>687838.96</v>
      </c>
      <c r="D31" s="20">
        <f>'DOE25'!L291+'DOE25'!L310+'DOE25'!L329+'DOE25'!L334+'DOE25'!L335+'DOE25'!L336-F31-G31-H31</f>
        <v>553582.00999999989</v>
      </c>
      <c r="E31" s="243"/>
      <c r="F31" s="244"/>
      <c r="G31" s="53">
        <f>'DOE25'!J291+'DOE25'!J310+'DOE25'!J329+'DOE25'!J334+'DOE25'!J335+'DOE25'!J336</f>
        <v>118553.92</v>
      </c>
      <c r="H31" s="53">
        <f>'DOE25'!K291+'DOE25'!K310+'DOE25'!K329+'DOE25'!K334+'DOE25'!K335+'DOE25'!K336</f>
        <v>15703.029999999999</v>
      </c>
      <c r="I31" s="254"/>
    </row>
    <row r="32" spans="1:9" ht="12" thickBot="1" x14ac:dyDescent="0.25">
      <c r="C32" s="274"/>
      <c r="G32" s="249"/>
      <c r="H32" s="249"/>
      <c r="I32" s="256"/>
    </row>
    <row r="33" spans="1:9" ht="12" thickTop="1" x14ac:dyDescent="0.2">
      <c r="B33" t="s">
        <v>809</v>
      </c>
      <c r="D33" s="245">
        <f t="shared" ref="D33:I33" si="1">SUM(D5:D31)</f>
        <v>12923724.85</v>
      </c>
      <c r="E33" s="245">
        <f t="shared" si="1"/>
        <v>350997.26</v>
      </c>
      <c r="F33" s="245">
        <f t="shared" si="1"/>
        <v>1138096.3599999999</v>
      </c>
      <c r="G33" s="245">
        <f t="shared" si="1"/>
        <v>250525.39999999997</v>
      </c>
      <c r="H33" s="245">
        <f t="shared" si="1"/>
        <v>119972.31999999999</v>
      </c>
      <c r="I33" s="245">
        <f t="shared" si="1"/>
        <v>1059444</v>
      </c>
    </row>
    <row r="35" spans="1:9" ht="12" thickBot="1" x14ac:dyDescent="0.25">
      <c r="B35" s="249" t="s">
        <v>831</v>
      </c>
      <c r="D35" s="250">
        <f>E33</f>
        <v>350997.26</v>
      </c>
      <c r="E35" s="246"/>
      <c r="F35" s="333" t="s">
        <v>1632</v>
      </c>
      <c r="G35" s="334"/>
      <c r="H35" s="334"/>
      <c r="I35" s="334"/>
    </row>
    <row r="36" spans="1:9" ht="12" thickTop="1" x14ac:dyDescent="0.2">
      <c r="B36" t="s">
        <v>810</v>
      </c>
      <c r="D36" s="20">
        <f>D33</f>
        <v>12923724.85</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26" sqref="E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Weare School District</v>
      </c>
      <c r="B2" s="126">
        <f>'DOE25'!B2</f>
        <v>555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7979936.7400000002</v>
      </c>
      <c r="G4" s="300">
        <f>'DOE25'!L212+'DOE25'!L291</f>
        <v>7979936.7400000002</v>
      </c>
      <c r="H4" s="352">
        <f>F4-G4</f>
        <v>0</v>
      </c>
      <c r="I4" s="370" t="str">
        <f>IF(H4=0,"","ISSUES!! Please review page 7 and 11 totals in comparison with total on this page")</f>
        <v/>
      </c>
      <c r="N4"/>
    </row>
    <row r="5" spans="1:18" x14ac:dyDescent="0.2">
      <c r="A5" s="21" t="s">
        <v>1465</v>
      </c>
      <c r="B5" s="301">
        <f>IFERROR(VLOOKUP(A5,'School Tables'!$C$3:$D$365,2,FALSE),"")</f>
        <v>26810</v>
      </c>
      <c r="C5" s="294" t="str">
        <f>IFERROR(INDEX('School Tables'!$B$3:$B$365,MATCH('School Level Expenditures'!B5,'School Tables'!$D$3:$D$365,0)),"")</f>
        <v>Weare</v>
      </c>
      <c r="D5" s="291">
        <f>'DOE25'!L212</f>
        <v>7736680.5</v>
      </c>
      <c r="E5" s="291">
        <f>'DOE25'!L291</f>
        <v>243256.24</v>
      </c>
      <c r="F5" s="304">
        <f>D5+E5</f>
        <v>7979936.7400000002</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3"/>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3"/>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3"/>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0">
        <f>SUM(D5:D20)</f>
        <v>7736680.5</v>
      </c>
      <c r="E21" s="350">
        <f>SUM(E5:E20)</f>
        <v>243256.24</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6440047.2800000003</v>
      </c>
      <c r="G24" s="300">
        <f>'DOE25'!L230+'DOE25'!L310</f>
        <v>6440047.2800000003</v>
      </c>
      <c r="H24" s="352">
        <f>F24-G24</f>
        <v>0</v>
      </c>
      <c r="I24" s="370" t="str">
        <f>IF(H24=0,"","ISSUES!! Please review page 8 and 12 totals in comparison with total on this page")</f>
        <v/>
      </c>
      <c r="N24"/>
    </row>
    <row r="25" spans="1:14" x14ac:dyDescent="0.2">
      <c r="A25" s="21" t="s">
        <v>1466</v>
      </c>
      <c r="B25" s="301">
        <f>IFERROR(VLOOKUP(A25,'School Tables'!$I$3:$J$80,2,FALSE),"")</f>
        <v>20720</v>
      </c>
      <c r="C25" s="294" t="str">
        <f t="array" ref="C25">IFERROR(INDEX('School Tables'!$H$3:$H$80,MATCH('School Level Expenditures'!B25,'School Tables'!$J$3:$J$80,0)),"")</f>
        <v>Weare</v>
      </c>
      <c r="D25" s="291">
        <f>'DOE25'!L230</f>
        <v>5996464.5600000005</v>
      </c>
      <c r="E25" s="291">
        <f>'DOE25'!L310</f>
        <v>443582.72000000003</v>
      </c>
      <c r="F25" s="304">
        <f>D25+E25</f>
        <v>6440047.2800000003</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0">
        <f>SUM(D25:D32)</f>
        <v>5996464.5600000005</v>
      </c>
      <c r="E33" s="350">
        <f>SUM(E25:E32)</f>
        <v>443582.72000000003</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2">
        <f>F36-G36</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0">
        <f>SUM(D37:D42)</f>
        <v>0</v>
      </c>
      <c r="E43" s="351">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Weare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740792.86</v>
      </c>
      <c r="D8" s="95">
        <f>'DOE25'!G9</f>
        <v>26788.69</v>
      </c>
      <c r="E8" s="95">
        <f>'DOE25'!H9</f>
        <v>-30947.65</v>
      </c>
      <c r="F8" s="95">
        <f>'DOE25'!I9</f>
        <v>0</v>
      </c>
      <c r="G8" s="95">
        <f>'DOE25'!J9</f>
        <v>1020092.7</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124249.7</v>
      </c>
      <c r="D12" s="95">
        <f>'DOE25'!G13</f>
        <v>76311.240000000005</v>
      </c>
      <c r="E12" s="95">
        <f>'DOE25'!H13</f>
        <v>151012.16</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865042.55999999994</v>
      </c>
      <c r="D18" s="41">
        <f>SUM(D8:D17)</f>
        <v>103099.93000000001</v>
      </c>
      <c r="E18" s="41">
        <f>SUM(E8:E17)</f>
        <v>120064.51000000001</v>
      </c>
      <c r="F18" s="41">
        <f>SUM(F8:F17)</f>
        <v>0</v>
      </c>
      <c r="G18" s="41">
        <f>SUM(G8:G17)</f>
        <v>1020092.7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-90816.75</v>
      </c>
      <c r="D21" s="95">
        <f>'DOE25'!G22</f>
        <v>-13801.12</v>
      </c>
      <c r="E21" s="95">
        <f>'DOE25'!H22</f>
        <v>104617.87000000001</v>
      </c>
      <c r="F21" s="95">
        <f>'DOE25'!I22</f>
        <v>0</v>
      </c>
      <c r="G21" s="95">
        <f>'DOE25'!J22</f>
        <v>0</v>
      </c>
      <c r="H21" s="124"/>
      <c r="I21" s="124"/>
    </row>
    <row r="22" spans="1:9" x14ac:dyDescent="0.2">
      <c r="A22" s="1" t="s">
        <v>151</v>
      </c>
      <c r="B22" s="6">
        <v>410</v>
      </c>
      <c r="C22" s="95">
        <f>'DOE25'!F23</f>
        <v>6512.88</v>
      </c>
      <c r="D22" s="95">
        <f>'DOE25'!G23</f>
        <v>1554.92</v>
      </c>
      <c r="E22" s="95">
        <f>'DOE25'!H23</f>
        <v>6750.3</v>
      </c>
      <c r="F22" s="95">
        <f>'DOE25'!I23</f>
        <v>0</v>
      </c>
      <c r="G22" s="95">
        <f>'DOE25'!J23</f>
        <v>0</v>
      </c>
      <c r="H22" s="124"/>
      <c r="I22" s="124"/>
    </row>
    <row r="23" spans="1:9" x14ac:dyDescent="0.2">
      <c r="A23" s="1" t="s">
        <v>152</v>
      </c>
      <c r="B23" s="6">
        <v>420</v>
      </c>
      <c r="C23" s="95">
        <f>'DOE25'!F24</f>
        <v>29189.040000000001</v>
      </c>
      <c r="D23" s="95">
        <f>'DOE25'!G24</f>
        <v>0</v>
      </c>
      <c r="E23" s="95">
        <f>'DOE25'!H24</f>
        <v>0</v>
      </c>
      <c r="F23" s="95">
        <f>'DOE25'!I24</f>
        <v>0</v>
      </c>
      <c r="G23" s="95">
        <f>'DOE25'!J24</f>
        <v>0</v>
      </c>
      <c r="H23" s="124"/>
      <c r="I23" s="124"/>
    </row>
    <row r="24" spans="1:9" x14ac:dyDescent="0.2">
      <c r="A24" s="1" t="s">
        <v>153</v>
      </c>
      <c r="B24" s="6">
        <v>430</v>
      </c>
      <c r="C24" s="95">
        <f>'DOE25'!F25</f>
        <v>28500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24870.3</v>
      </c>
      <c r="D27" s="95">
        <f>'DOE25'!G28</f>
        <v>0</v>
      </c>
      <c r="E27" s="95">
        <f>'DOE25'!H28</f>
        <v>0</v>
      </c>
      <c r="F27" s="95">
        <f>'DOE25'!I28</f>
        <v>0</v>
      </c>
      <c r="G27" s="24" t="s">
        <v>288</v>
      </c>
      <c r="H27" s="124"/>
      <c r="I27" s="124"/>
    </row>
    <row r="28" spans="1:9" x14ac:dyDescent="0.2">
      <c r="A28" s="1" t="s">
        <v>157</v>
      </c>
      <c r="B28" s="6">
        <v>470</v>
      </c>
      <c r="C28" s="95">
        <f>'DOE25'!F29</f>
        <v>31417.41</v>
      </c>
      <c r="D28" s="95">
        <f>'DOE25'!G29</f>
        <v>0</v>
      </c>
      <c r="E28" s="95">
        <f>'DOE25'!H29</f>
        <v>0</v>
      </c>
      <c r="F28" s="95">
        <f>'DOE25'!I29</f>
        <v>0</v>
      </c>
      <c r="G28" s="24" t="s">
        <v>288</v>
      </c>
      <c r="H28" s="124"/>
      <c r="I28" s="124"/>
    </row>
    <row r="29" spans="1:9" x14ac:dyDescent="0.2">
      <c r="A29" s="1" t="s">
        <v>158</v>
      </c>
      <c r="B29" s="6">
        <v>480</v>
      </c>
      <c r="C29" s="95">
        <f>'DOE25'!F30</f>
        <v>0</v>
      </c>
      <c r="D29" s="95">
        <f>'DOE25'!G30</f>
        <v>12249.62</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29672.880000000005</v>
      </c>
      <c r="D31" s="41">
        <f>SUM(D21:D30)</f>
        <v>3.4200000000000728</v>
      </c>
      <c r="E31" s="41">
        <f>SUM(E21:E30)</f>
        <v>111368.17000000001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103096.51</v>
      </c>
      <c r="E47" s="95">
        <f>'DOE25'!H48</f>
        <v>8696.34</v>
      </c>
      <c r="F47" s="95">
        <f>'DOE25'!I48</f>
        <v>0</v>
      </c>
      <c r="G47" s="95">
        <f>'DOE25'!J48</f>
        <v>1020092.7</v>
      </c>
      <c r="H47" s="124"/>
      <c r="I47" s="124"/>
    </row>
    <row r="48" spans="1:9" x14ac:dyDescent="0.2">
      <c r="A48" s="1" t="s">
        <v>882</v>
      </c>
      <c r="B48" s="6">
        <v>753</v>
      </c>
      <c r="C48" s="95">
        <f>'DOE25'!F49</f>
        <v>259116</v>
      </c>
      <c r="D48" s="95">
        <f>'DOE25'!G49</f>
        <v>0</v>
      </c>
      <c r="E48" s="95">
        <f>'DOE25'!H49</f>
        <v>0</v>
      </c>
      <c r="F48" s="95">
        <f>'DOE25'!I49</f>
        <v>0</v>
      </c>
      <c r="G48" s="95">
        <f>'DOE25'!J49</f>
        <v>0</v>
      </c>
      <c r="H48" s="124"/>
      <c r="I48" s="124"/>
    </row>
    <row r="49" spans="1:9" ht="12" thickBot="1" x14ac:dyDescent="0.25">
      <c r="A49" s="29" t="s">
        <v>883</v>
      </c>
      <c r="B49" s="71">
        <v>770</v>
      </c>
      <c r="C49" s="95">
        <f>'DOE25'!F50</f>
        <v>576253.68000000005</v>
      </c>
      <c r="D49" s="24" t="s">
        <v>288</v>
      </c>
      <c r="E49" s="24" t="s">
        <v>288</v>
      </c>
      <c r="F49" s="24" t="s">
        <v>288</v>
      </c>
      <c r="G49" s="24" t="s">
        <v>288</v>
      </c>
      <c r="H49" s="124"/>
      <c r="I49" s="124"/>
    </row>
    <row r="50" spans="1:9" ht="12.75" thickTop="1" thickBot="1" x14ac:dyDescent="0.25">
      <c r="A50" s="38" t="s">
        <v>884</v>
      </c>
      <c r="B50" s="48"/>
      <c r="C50" s="41">
        <f>SUM(C34:C49)</f>
        <v>835369.68</v>
      </c>
      <c r="D50" s="41">
        <f>SUM(D34:D49)</f>
        <v>103096.51</v>
      </c>
      <c r="E50" s="41">
        <f>SUM(E34:E49)</f>
        <v>8696.34</v>
      </c>
      <c r="F50" s="41">
        <f>SUM(F34:F49)</f>
        <v>0</v>
      </c>
      <c r="G50" s="41">
        <f>SUM(G34:G49)</f>
        <v>1020092.7</v>
      </c>
      <c r="H50" s="124"/>
      <c r="I50" s="124"/>
    </row>
    <row r="51" spans="1:9" ht="12" thickTop="1" x14ac:dyDescent="0.2">
      <c r="A51" s="38" t="s">
        <v>885</v>
      </c>
      <c r="B51" s="2"/>
      <c r="C51" s="41">
        <f>C50+C31</f>
        <v>865042.56</v>
      </c>
      <c r="D51" s="41">
        <f>D50+D31</f>
        <v>103099.93</v>
      </c>
      <c r="E51" s="41">
        <f>E50+E31</f>
        <v>120064.51000000001</v>
      </c>
      <c r="F51" s="41">
        <f>F50+F31</f>
        <v>0</v>
      </c>
      <c r="G51" s="41">
        <f>G50+G31</f>
        <v>1020092.7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7992873.21</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86208</v>
      </c>
      <c r="D58" s="24" t="s">
        <v>288</v>
      </c>
      <c r="E58" s="95">
        <f>'DOE25'!H94</f>
        <v>0</v>
      </c>
      <c r="F58" s="24" t="s">
        <v>288</v>
      </c>
      <c r="G58" s="24" t="s">
        <v>288</v>
      </c>
      <c r="H58"/>
      <c r="I58"/>
    </row>
    <row r="59" spans="1:9" x14ac:dyDescent="0.2">
      <c r="A59" s="69" t="s">
        <v>168</v>
      </c>
      <c r="B59" s="37" t="s">
        <v>169</v>
      </c>
      <c r="C59" s="95">
        <f>'DOE25'!F96</f>
        <v>997.66</v>
      </c>
      <c r="D59" s="95">
        <f>'DOE25'!G96</f>
        <v>0</v>
      </c>
      <c r="E59" s="95">
        <f>'DOE25'!H96</f>
        <v>0</v>
      </c>
      <c r="F59" s="95">
        <f>'DOE25'!I96</f>
        <v>0</v>
      </c>
      <c r="G59" s="95">
        <f>'DOE25'!J96</f>
        <v>748.26</v>
      </c>
      <c r="H59"/>
      <c r="I59"/>
    </row>
    <row r="60" spans="1:9" x14ac:dyDescent="0.2">
      <c r="A60" s="1" t="s">
        <v>170</v>
      </c>
      <c r="B60" s="118" t="s">
        <v>171</v>
      </c>
      <c r="C60" s="24" t="s">
        <v>288</v>
      </c>
      <c r="D60" s="95">
        <f>'DOE25'!G97</f>
        <v>7593.47</v>
      </c>
      <c r="E60" s="24" t="s">
        <v>288</v>
      </c>
      <c r="F60" s="24" t="s">
        <v>288</v>
      </c>
      <c r="G60" s="24" t="s">
        <v>288</v>
      </c>
      <c r="H60"/>
      <c r="I60"/>
    </row>
    <row r="61" spans="1:9" ht="12" thickBot="1" x14ac:dyDescent="0.25">
      <c r="A61" s="1" t="s">
        <v>172</v>
      </c>
      <c r="B61" s="118" t="s">
        <v>173</v>
      </c>
      <c r="C61" s="95">
        <f>SUM('DOE25'!F98:F110)</f>
        <v>224826.71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312032.37</v>
      </c>
      <c r="D62" s="130">
        <f>SUM(D57:D61)</f>
        <v>7593.47</v>
      </c>
      <c r="E62" s="130">
        <f>SUM(E57:E61)</f>
        <v>0</v>
      </c>
      <c r="F62" s="130">
        <f>SUM(F57:F61)</f>
        <v>0</v>
      </c>
      <c r="G62" s="130">
        <f>SUM(G57:G61)</f>
        <v>748.26</v>
      </c>
      <c r="H62"/>
      <c r="I62"/>
    </row>
    <row r="63" spans="1:9" ht="12" thickTop="1" x14ac:dyDescent="0.2">
      <c r="A63" s="29" t="s">
        <v>175</v>
      </c>
      <c r="B63" s="6"/>
      <c r="C63" s="22">
        <f>C56+C62</f>
        <v>8304905.5800000001</v>
      </c>
      <c r="D63" s="22">
        <f>D56+D62</f>
        <v>7593.47</v>
      </c>
      <c r="E63" s="22">
        <f>E56+E62</f>
        <v>0</v>
      </c>
      <c r="F63" s="22">
        <f>F56+F62</f>
        <v>0</v>
      </c>
      <c r="G63" s="22">
        <f>G56+G62</f>
        <v>748.26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5645891.79</v>
      </c>
      <c r="D66" s="24" t="s">
        <v>288</v>
      </c>
      <c r="E66" s="24" t="s">
        <v>288</v>
      </c>
      <c r="F66" s="24" t="s">
        <v>288</v>
      </c>
      <c r="G66" s="24" t="s">
        <v>288</v>
      </c>
      <c r="H66"/>
      <c r="I66"/>
    </row>
    <row r="67" spans="1:9" x14ac:dyDescent="0.2">
      <c r="A67" s="1" t="s">
        <v>770</v>
      </c>
      <c r="B67" s="6">
        <v>3112</v>
      </c>
      <c r="C67" s="95">
        <f>'DOE25'!F118</f>
        <v>1190436.79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3990.42</v>
      </c>
      <c r="D69" s="95">
        <f>'DOE25'!G120</f>
        <v>0</v>
      </c>
      <c r="E69" s="95">
        <f>'DOE25'!H120</f>
        <v>0</v>
      </c>
      <c r="F69" s="95">
        <f>'DOE25'!I120</f>
        <v>0</v>
      </c>
      <c r="G69" s="95">
        <f>'DOE25'!J120</f>
        <v>0</v>
      </c>
      <c r="H69"/>
      <c r="I69"/>
    </row>
    <row r="70" spans="1:9" ht="12" thickTop="1" x14ac:dyDescent="0.2">
      <c r="A70" s="29" t="s">
        <v>252</v>
      </c>
      <c r="B70" s="2"/>
      <c r="C70" s="139">
        <f>SUM(C66:C69)</f>
        <v>6840319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369686.39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29256.27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7500.78</v>
      </c>
      <c r="E77" s="95">
        <f>SUM('DOE25'!H131:H135)</f>
        <v>33714.36</v>
      </c>
      <c r="F77" s="95">
        <f>SUM('DOE25'!I131:I135)</f>
        <v>0</v>
      </c>
      <c r="G77" s="95">
        <f>SUM('DOE25'!J131:J135)</f>
        <v>0</v>
      </c>
      <c r="H77"/>
      <c r="I77"/>
    </row>
    <row r="78" spans="1:9" ht="12.75" thickTop="1" thickBot="1" x14ac:dyDescent="0.25">
      <c r="A78" s="29" t="s">
        <v>259</v>
      </c>
      <c r="B78" s="6"/>
      <c r="C78" s="130">
        <f>SUM(C72:C77)</f>
        <v>398942.66000000003</v>
      </c>
      <c r="D78" s="130">
        <f>SUM(D72:D77)</f>
        <v>7500.78</v>
      </c>
      <c r="E78" s="130">
        <f>SUM(E72:E77)</f>
        <v>33714.36</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7239261.6600000001</v>
      </c>
      <c r="D81" s="130">
        <f>SUM(D79:D80)+D78+D70</f>
        <v>7500.78</v>
      </c>
      <c r="E81" s="130">
        <f>SUM(E79:E80)+E78+E70</f>
        <v>33714.36</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2710.35</v>
      </c>
      <c r="F87" s="95">
        <f>SUM('DOE25'!I149:I152)</f>
        <v>0</v>
      </c>
      <c r="G87" s="24" t="s">
        <v>288</v>
      </c>
    </row>
    <row r="88" spans="1:9" x14ac:dyDescent="0.2">
      <c r="A88" s="288" t="s">
        <v>747</v>
      </c>
      <c r="B88" s="330" t="s">
        <v>184</v>
      </c>
      <c r="C88" s="331">
        <f>SUM('DOE25'!F153:F162)</f>
        <v>42245.47</v>
      </c>
      <c r="D88" s="331">
        <f>SUM('DOE25'!G153:G162)</f>
        <v>321627</v>
      </c>
      <c r="E88" s="331">
        <f>SUM('DOE25'!H153:H162)</f>
        <v>651414.25</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42245.47</v>
      </c>
      <c r="D91" s="131">
        <f>SUM(D85:D90)</f>
        <v>321627</v>
      </c>
      <c r="E91" s="131">
        <f>SUM(E85:E90)</f>
        <v>654124.6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747760.53</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747760.53</v>
      </c>
    </row>
    <row r="104" spans="1:7" ht="12.75" thickTop="1" thickBot="1" x14ac:dyDescent="0.25">
      <c r="A104" s="33" t="s">
        <v>761</v>
      </c>
      <c r="C104" s="86">
        <f>C63+C81+C91+C103</f>
        <v>15586412.710000001</v>
      </c>
      <c r="D104" s="86">
        <f>D63+D81+D91+D103</f>
        <v>336721.25</v>
      </c>
      <c r="E104" s="86">
        <f>E63+E81+E91+E103</f>
        <v>687838.96</v>
      </c>
      <c r="F104" s="86">
        <f>F63+F81+F91+F103</f>
        <v>0</v>
      </c>
      <c r="G104" s="86">
        <f>G63+G81+G103</f>
        <v>748508.79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5871130.1699999999</v>
      </c>
      <c r="D109" s="24" t="s">
        <v>288</v>
      </c>
      <c r="E109" s="95">
        <f>('DOE25'!L277)+('DOE25'!L296)+('DOE25'!L315)</f>
        <v>210369.22</v>
      </c>
      <c r="F109" s="24" t="s">
        <v>288</v>
      </c>
      <c r="G109" s="24" t="s">
        <v>288</v>
      </c>
    </row>
    <row r="110" spans="1:7" x14ac:dyDescent="0.2">
      <c r="A110" t="s">
        <v>198</v>
      </c>
      <c r="B110" s="32" t="s">
        <v>199</v>
      </c>
      <c r="C110" s="95">
        <f>('DOE25'!L199)+('DOE25'!L217)+('DOE25'!L235)</f>
        <v>2460653.0699999998</v>
      </c>
      <c r="D110" s="24" t="s">
        <v>288</v>
      </c>
      <c r="E110" s="95">
        <f>('DOE25'!L278)+('DOE25'!L297)+('DOE25'!L316)</f>
        <v>252366.36</v>
      </c>
      <c r="F110" s="24" t="s">
        <v>288</v>
      </c>
      <c r="G110" s="24" t="s">
        <v>288</v>
      </c>
    </row>
    <row r="111" spans="1:7" x14ac:dyDescent="0.2">
      <c r="A111" t="s">
        <v>200</v>
      </c>
      <c r="B111" s="32" t="s">
        <v>165</v>
      </c>
      <c r="C111" s="95">
        <f>('DOE25'!L200)+('DOE25'!L218)+('DOE25'!L236)</f>
        <v>91099.199999999997</v>
      </c>
      <c r="D111" s="24" t="s">
        <v>288</v>
      </c>
      <c r="E111" s="95">
        <f>('DOE25'!L279)+('DOE25'!L298)+('DOE25'!L317)</f>
        <v>0</v>
      </c>
      <c r="F111" s="24" t="s">
        <v>288</v>
      </c>
      <c r="G111" s="24" t="s">
        <v>288</v>
      </c>
    </row>
    <row r="112" spans="1:7" x14ac:dyDescent="0.2">
      <c r="A112" t="s">
        <v>201</v>
      </c>
      <c r="B112" s="32" t="s">
        <v>167</v>
      </c>
      <c r="C112" s="95">
        <f>('DOE25'!L201)+('DOE25'!L219)+('DOE25'!L237)</f>
        <v>88534.59</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1000</v>
      </c>
      <c r="F114" s="24" t="s">
        <v>288</v>
      </c>
      <c r="G114" s="24" t="s">
        <v>288</v>
      </c>
    </row>
    <row r="115" spans="1:7" ht="12.75" thickTop="1" thickBot="1" x14ac:dyDescent="0.25">
      <c r="A115" s="33" t="s">
        <v>205</v>
      </c>
      <c r="C115" s="86">
        <f>SUM(C109:C114)</f>
        <v>8511417.0299999993</v>
      </c>
      <c r="D115" s="86">
        <f>SUM(D109:D114)</f>
        <v>0</v>
      </c>
      <c r="E115" s="86">
        <f>SUM(E109:E114)</f>
        <v>463735.57999999996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1160366.8500000001</v>
      </c>
      <c r="D118" s="24" t="s">
        <v>288</v>
      </c>
      <c r="E118" s="95">
        <f>+('DOE25'!L282)+('DOE25'!L301)+('DOE25'!L320)</f>
        <v>0</v>
      </c>
      <c r="F118" s="24" t="s">
        <v>288</v>
      </c>
      <c r="G118" s="24" t="s">
        <v>288</v>
      </c>
    </row>
    <row r="119" spans="1:7" x14ac:dyDescent="0.2">
      <c r="A119" t="s">
        <v>208</v>
      </c>
      <c r="B119" s="32" t="s">
        <v>209</v>
      </c>
      <c r="C119" s="95">
        <f>('DOE25'!L204)+('DOE25'!L222)+('DOE25'!L240)</f>
        <v>486806.76</v>
      </c>
      <c r="D119" s="24" t="s">
        <v>288</v>
      </c>
      <c r="E119" s="95">
        <f>+('DOE25'!L283)+('DOE25'!L302)+('DOE25'!L321)</f>
        <v>107003.42</v>
      </c>
      <c r="F119" s="24" t="s">
        <v>288</v>
      </c>
      <c r="G119" s="24" t="s">
        <v>288</v>
      </c>
    </row>
    <row r="120" spans="1:7" x14ac:dyDescent="0.2">
      <c r="A120" t="s">
        <v>210</v>
      </c>
      <c r="B120" s="32" t="s">
        <v>211</v>
      </c>
      <c r="C120" s="95">
        <f>('DOE25'!L205)+('DOE25'!L223)+('DOE25'!L241)</f>
        <v>644678.69999999995</v>
      </c>
      <c r="D120" s="24" t="s">
        <v>288</v>
      </c>
      <c r="E120" s="95">
        <f>+('DOE25'!L284)+('DOE25'!L303)+('DOE25'!L322)</f>
        <v>5907.7799999999988</v>
      </c>
      <c r="F120" s="24" t="s">
        <v>288</v>
      </c>
      <c r="G120" s="24" t="s">
        <v>288</v>
      </c>
    </row>
    <row r="121" spans="1:7" x14ac:dyDescent="0.2">
      <c r="A121" t="s">
        <v>212</v>
      </c>
      <c r="B121" s="32" t="s">
        <v>213</v>
      </c>
      <c r="C121" s="95">
        <f>('DOE25'!L206)+('DOE25'!L224)+('DOE25'!L242)</f>
        <v>950982.51</v>
      </c>
      <c r="D121" s="24" t="s">
        <v>288</v>
      </c>
      <c r="E121" s="95">
        <f>+('DOE25'!L285)+('DOE25'!L304)+('DOE25'!L323)</f>
        <v>2255.7800000000002</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1130216.6099999999</v>
      </c>
      <c r="D123" s="24" t="s">
        <v>288</v>
      </c>
      <c r="E123" s="95">
        <f>+('DOE25'!L287)+('DOE25'!L306)+('DOE25'!L325)</f>
        <v>67191.399999999994</v>
      </c>
      <c r="F123" s="24" t="s">
        <v>288</v>
      </c>
      <c r="G123" s="24" t="s">
        <v>288</v>
      </c>
    </row>
    <row r="124" spans="1:7" x14ac:dyDescent="0.2">
      <c r="A124" t="s">
        <v>218</v>
      </c>
      <c r="B124" s="32" t="s">
        <v>219</v>
      </c>
      <c r="C124" s="95">
        <f>('DOE25'!L209)+('DOE25'!L227)+('DOE25'!L245+'DOE25'!L255)</f>
        <v>848676.6</v>
      </c>
      <c r="D124" s="24" t="s">
        <v>288</v>
      </c>
      <c r="E124" s="95">
        <f>+('DOE25'!L288)+('DOE25'!L307)+('DOE25'!L326)</f>
        <v>41745</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353882.17</v>
      </c>
      <c r="E127" s="24" t="s">
        <v>288</v>
      </c>
      <c r="F127" s="24" t="s">
        <v>288</v>
      </c>
      <c r="G127" s="24" t="s">
        <v>288</v>
      </c>
    </row>
    <row r="128" spans="1:7" ht="12.75" thickTop="1" thickBot="1" x14ac:dyDescent="0.25">
      <c r="A128" s="33" t="s">
        <v>226</v>
      </c>
      <c r="C128" s="86">
        <f>SUM(C118:C127)</f>
        <v>5221728.0299999993</v>
      </c>
      <c r="D128" s="86">
        <f>SUM(D118:D127)</f>
        <v>353882.17</v>
      </c>
      <c r="E128" s="86">
        <f>SUM(E118:E127)</f>
        <v>224103.38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940136.47</v>
      </c>
      <c r="D131" s="24" t="s">
        <v>288</v>
      </c>
      <c r="E131" s="129">
        <f>'DOE25'!L342</f>
        <v>0</v>
      </c>
      <c r="F131" s="24" t="s">
        <v>288</v>
      </c>
      <c r="G131" s="24" t="s">
        <v>288</v>
      </c>
    </row>
    <row r="132" spans="1:7" x14ac:dyDescent="0.2">
      <c r="A132" t="s">
        <v>230</v>
      </c>
      <c r="B132" s="32">
        <v>5120</v>
      </c>
      <c r="C132" s="95">
        <f>'DOE25'!L262</f>
        <v>119307.53</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748187.33000000007</v>
      </c>
      <c r="D138" s="24" t="s">
        <v>288</v>
      </c>
      <c r="E138" s="24" t="s">
        <v>288</v>
      </c>
      <c r="F138" s="24" t="s">
        <v>288</v>
      </c>
      <c r="G138" s="24" t="s">
        <v>288</v>
      </c>
    </row>
    <row r="139" spans="1:7" x14ac:dyDescent="0.2">
      <c r="A139" t="s">
        <v>239</v>
      </c>
      <c r="B139" s="32">
        <v>5252</v>
      </c>
      <c r="C139" s="95">
        <f>'DOE25'!L402</f>
        <v>321.46000000000004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-748.26000000000931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1807204.53</v>
      </c>
      <c r="D144" s="141">
        <f>SUM(D130:D143)</f>
        <v>0</v>
      </c>
      <c r="E144" s="141">
        <f>SUM(E130:E143)</f>
        <v>0</v>
      </c>
      <c r="F144" s="141">
        <f>SUM(F130:F143)</f>
        <v>0</v>
      </c>
      <c r="G144" s="141">
        <f>SUM(G130:G143)</f>
        <v>0</v>
      </c>
    </row>
    <row r="145" spans="1:9" ht="12.75" thickTop="1" thickBot="1" x14ac:dyDescent="0.25">
      <c r="A145" s="33" t="s">
        <v>244</v>
      </c>
      <c r="C145" s="86">
        <f>(C115+C128+C144)</f>
        <v>15540349.589999998</v>
      </c>
      <c r="D145" s="86">
        <f>(D115+D128+D144)</f>
        <v>353882.17</v>
      </c>
      <c r="E145" s="86">
        <f>(E115+E128+E144)</f>
        <v>687838.96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910000</v>
      </c>
      <c r="C158" s="137">
        <f>'DOE25'!G498</f>
        <v>30136.47</v>
      </c>
      <c r="D158" s="137">
        <f>'DOE25'!H498</f>
        <v>0</v>
      </c>
      <c r="E158" s="137">
        <f>'DOE25'!I498</f>
        <v>0</v>
      </c>
      <c r="F158" s="137">
        <f>'DOE25'!J498</f>
        <v>0</v>
      </c>
      <c r="G158" s="138">
        <f t="shared" si="0"/>
        <v>940136.47</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Weare School District</v>
      </c>
    </row>
    <row r="3" spans="1:4" x14ac:dyDescent="0.2">
      <c r="B3" s="188" t="s">
        <v>1666</v>
      </c>
    </row>
    <row r="4" spans="1:4" x14ac:dyDescent="0.2">
      <c r="B4" t="s">
        <v>61</v>
      </c>
      <c r="C4" s="179">
        <f>IF('DOE25'!F666+'DOE25'!F671=0,0,ROUND('DOE25'!F673,0))</f>
        <v>14656</v>
      </c>
    </row>
    <row r="5" spans="1:4" x14ac:dyDescent="0.2">
      <c r="B5" t="s">
        <v>700</v>
      </c>
      <c r="C5" s="179">
        <f>IF('DOE25'!G666+'DOE25'!G671=0,0,ROUND('DOE25'!G673,0))</f>
        <v>18095</v>
      </c>
    </row>
    <row r="6" spans="1:4" x14ac:dyDescent="0.2">
      <c r="B6" t="s">
        <v>62</v>
      </c>
      <c r="C6" s="179">
        <f>IF('DOE25'!H666+'DOE25'!H671=0,0,ROUND('DOE25'!H673,0))</f>
        <v>0</v>
      </c>
    </row>
    <row r="7" spans="1:4" x14ac:dyDescent="0.2">
      <c r="B7" t="s">
        <v>701</v>
      </c>
      <c r="C7" s="179">
        <f>IF('DOE25'!I666+'DOE25'!I671=0,0,ROUND('DOE25'!I673,0))</f>
        <v>16010</v>
      </c>
    </row>
    <row r="9" spans="1:4" x14ac:dyDescent="0.2">
      <c r="A9" s="187" t="s">
        <v>94</v>
      </c>
      <c r="B9" s="188" t="s">
        <v>1671</v>
      </c>
      <c r="C9" s="181" t="s">
        <v>720</v>
      </c>
      <c r="D9" s="181" t="s">
        <v>721</v>
      </c>
    </row>
    <row r="10" spans="1:4" x14ac:dyDescent="0.2">
      <c r="A10">
        <v>1100</v>
      </c>
      <c r="B10" t="s">
        <v>702</v>
      </c>
      <c r="C10" s="179">
        <f>ROUND('DOE25'!L198+'DOE25'!L216+'DOE25'!L234+'DOE25'!L277+'DOE25'!L296+'DOE25'!L315,0)</f>
        <v>6081499</v>
      </c>
      <c r="D10" s="182">
        <f>ROUND((C10/$C$28)*100,1)</f>
        <v>40.9</v>
      </c>
    </row>
    <row r="11" spans="1:4" x14ac:dyDescent="0.2">
      <c r="A11">
        <v>1200</v>
      </c>
      <c r="B11" t="s">
        <v>703</v>
      </c>
      <c r="C11" s="179">
        <f>ROUND('DOE25'!L199+'DOE25'!L217+'DOE25'!L235+'DOE25'!L278+'DOE25'!L297+'DOE25'!L316,0)</f>
        <v>2713019</v>
      </c>
      <c r="D11" s="182">
        <f>ROUND((C11/$C$28)*100,1)</f>
        <v>18.2</v>
      </c>
    </row>
    <row r="12" spans="1:4" x14ac:dyDescent="0.2">
      <c r="A12">
        <v>1300</v>
      </c>
      <c r="B12" t="s">
        <v>704</v>
      </c>
      <c r="C12" s="179">
        <f>ROUND('DOE25'!L200+'DOE25'!L218+'DOE25'!L236+'DOE25'!L279+'DOE25'!L298+'DOE25'!L317,0)</f>
        <v>91099</v>
      </c>
      <c r="D12" s="182">
        <f>ROUND((C12/$C$28)*100,1)</f>
        <v>0.6</v>
      </c>
    </row>
    <row r="13" spans="1:4" x14ac:dyDescent="0.2">
      <c r="A13">
        <v>1400</v>
      </c>
      <c r="B13" t="s">
        <v>705</v>
      </c>
      <c r="C13" s="179">
        <f>ROUND('DOE25'!L201+'DOE25'!L219+'DOE25'!L237+'DOE25'!L280+'DOE25'!L299+'DOE25'!L318,0)</f>
        <v>88535</v>
      </c>
      <c r="D13" s="182">
        <f>ROUND((C13/$C$28)*100,1)</f>
        <v>0.6</v>
      </c>
    </row>
    <row r="14" spans="1:4" x14ac:dyDescent="0.2">
      <c r="D14" s="182"/>
    </row>
    <row r="15" spans="1:4" x14ac:dyDescent="0.2">
      <c r="A15">
        <v>2100</v>
      </c>
      <c r="B15" t="s">
        <v>706</v>
      </c>
      <c r="C15" s="179">
        <f>ROUND('DOE25'!L203+'DOE25'!L221+'DOE25'!L239+'DOE25'!L282+'DOE25'!L301+'DOE25'!L320,0)</f>
        <v>1160367</v>
      </c>
      <c r="D15" s="182">
        <f t="shared" ref="D15:D27" si="0">ROUND((C15/$C$28)*100,1)</f>
        <v>7.8</v>
      </c>
    </row>
    <row r="16" spans="1:4" x14ac:dyDescent="0.2">
      <c r="A16">
        <v>2200</v>
      </c>
      <c r="B16" t="s">
        <v>707</v>
      </c>
      <c r="C16" s="179">
        <f>ROUND('DOE25'!L204+'DOE25'!L222+'DOE25'!L240+'DOE25'!L283+'DOE25'!L302+'DOE25'!L321,0)</f>
        <v>593810</v>
      </c>
      <c r="D16" s="182">
        <f t="shared" si="0"/>
        <v>4</v>
      </c>
    </row>
    <row r="17" spans="1:4" x14ac:dyDescent="0.2">
      <c r="A17" s="183" t="s">
        <v>723</v>
      </c>
      <c r="B17" t="s">
        <v>738</v>
      </c>
      <c r="C17" s="179">
        <f>ROUND('DOE25'!L205+'DOE25'!L210+'DOE25'!L223+'DOE25'!L228+'DOE25'!L241+'DOE25'!L246+'DOE25'!L284+'DOE25'!L289+'DOE25'!L303+'DOE25'!L308+'DOE25'!L322+'DOE25'!L327,0)</f>
        <v>650586</v>
      </c>
      <c r="D17" s="182">
        <f t="shared" si="0"/>
        <v>4.4000000000000004</v>
      </c>
    </row>
    <row r="18" spans="1:4" x14ac:dyDescent="0.2">
      <c r="A18">
        <v>2400</v>
      </c>
      <c r="B18" t="s">
        <v>711</v>
      </c>
      <c r="C18" s="179">
        <f>ROUND('DOE25'!L206+'DOE25'!L224+'DOE25'!L242+'DOE25'!L285+'DOE25'!L304+'DOE25'!L323,0)</f>
        <v>953238</v>
      </c>
      <c r="D18" s="182">
        <f t="shared" si="0"/>
        <v>6.4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1197408</v>
      </c>
      <c r="D20" s="182">
        <f t="shared" si="0"/>
        <v>8</v>
      </c>
    </row>
    <row r="21" spans="1:4" x14ac:dyDescent="0.2">
      <c r="A21">
        <v>2700</v>
      </c>
      <c r="B21" t="s">
        <v>710</v>
      </c>
      <c r="C21" s="179">
        <f>ROUND('DOE25'!L209+'DOE25'!L227+'DOE25'!L245+'DOE25'!L288+'DOE25'!L307+'DOE25'!L326,0)</f>
        <v>890422</v>
      </c>
      <c r="D21" s="182">
        <f t="shared" si="0"/>
        <v>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1000</v>
      </c>
      <c r="D24" s="182">
        <f t="shared" si="0"/>
        <v>0</v>
      </c>
    </row>
    <row r="25" spans="1:4" x14ac:dyDescent="0.2">
      <c r="A25">
        <v>5120</v>
      </c>
      <c r="B25" t="s">
        <v>716</v>
      </c>
      <c r="C25" s="179">
        <f>ROUND('DOE25'!L262+'DOE25'!L343,0)</f>
        <v>119308</v>
      </c>
      <c r="D25" s="182">
        <f t="shared" si="0"/>
        <v>0.8</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346288.53</v>
      </c>
      <c r="D27" s="182">
        <f t="shared" si="0"/>
        <v>2.2999999999999998</v>
      </c>
    </row>
    <row r="28" spans="1:4" x14ac:dyDescent="0.2">
      <c r="B28" s="187" t="s">
        <v>719</v>
      </c>
      <c r="C28" s="180">
        <f>SUM(C10:C27)</f>
        <v>14886579.529999999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14886579.529999999</v>
      </c>
    </row>
    <row r="31" spans="1:4" x14ac:dyDescent="0.2">
      <c r="B31" s="33"/>
      <c r="C31" s="180"/>
    </row>
    <row r="32" spans="1:4" x14ac:dyDescent="0.2">
      <c r="A32">
        <v>5100</v>
      </c>
      <c r="B32" s="33" t="s">
        <v>726</v>
      </c>
      <c r="C32" s="180">
        <f>ROUND('DOE25'!L261+'DOE25'!L342,0)</f>
        <v>940136</v>
      </c>
    </row>
    <row r="34" spans="1:4" x14ac:dyDescent="0.2">
      <c r="A34" s="187" t="s">
        <v>94</v>
      </c>
      <c r="B34" s="188" t="s">
        <v>1667</v>
      </c>
      <c r="C34" s="181" t="s">
        <v>720</v>
      </c>
      <c r="D34" s="181" t="s">
        <v>721</v>
      </c>
    </row>
    <row r="35" spans="1:4" x14ac:dyDescent="0.2">
      <c r="A35">
        <v>1100</v>
      </c>
      <c r="B35" s="185" t="s">
        <v>727</v>
      </c>
      <c r="C35" s="179">
        <f>ROUND('DOE25'!F60+'DOE25'!G60+'DOE25'!H60+'DOE25'!I60+'DOE25'!J60,0)</f>
        <v>7992873</v>
      </c>
      <c r="D35" s="182">
        <f t="shared" ref="D35:D40" si="1">ROUND((C35/$C$41)*100,1)</f>
        <v>48.1</v>
      </c>
    </row>
    <row r="36" spans="1:4" x14ac:dyDescent="0.2">
      <c r="B36" s="185" t="s">
        <v>739</v>
      </c>
      <c r="C36" s="179">
        <f>SUM('DOE25'!F112:J112)-SUM('DOE25'!G97:G110)+('DOE25'!F175+'DOE25'!F176+'DOE25'!I175+'DOE25'!I176)-C35</f>
        <v>312780.83999999985</v>
      </c>
      <c r="D36" s="182">
        <f t="shared" si="1"/>
        <v>1.9</v>
      </c>
    </row>
    <row r="37" spans="1:4" x14ac:dyDescent="0.2">
      <c r="A37" s="183" t="s">
        <v>835</v>
      </c>
      <c r="B37" s="185" t="s">
        <v>728</v>
      </c>
      <c r="C37" s="179">
        <f>ROUND('DOE25'!F117+'DOE25'!F118,0)</f>
        <v>6836329</v>
      </c>
      <c r="D37" s="182">
        <f t="shared" si="1"/>
        <v>41.2</v>
      </c>
    </row>
    <row r="38" spans="1:4" x14ac:dyDescent="0.2">
      <c r="A38" s="183" t="s">
        <v>734</v>
      </c>
      <c r="B38" s="185" t="s">
        <v>729</v>
      </c>
      <c r="C38" s="179">
        <f>ROUND(SUM('DOE25'!F140:J140)-SUM('DOE25'!F117:F119),0)</f>
        <v>444148</v>
      </c>
      <c r="D38" s="182">
        <f t="shared" si="1"/>
        <v>2.7</v>
      </c>
    </row>
    <row r="39" spans="1:4" x14ac:dyDescent="0.2">
      <c r="A39">
        <v>4000</v>
      </c>
      <c r="B39" s="185" t="s">
        <v>730</v>
      </c>
      <c r="C39" s="179">
        <f>ROUND('DOE25'!F170+'DOE25'!G170+'DOE25'!H170+'DOE25'!I170,0)</f>
        <v>1017997</v>
      </c>
      <c r="D39" s="182">
        <f t="shared" si="1"/>
        <v>6.1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16604127.84</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6" sqref="C6:M6"/>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Weare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v>2</v>
      </c>
      <c r="B4" s="219">
        <v>5</v>
      </c>
      <c r="C4" s="374" t="s">
        <v>1673</v>
      </c>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v>4</v>
      </c>
      <c r="B5" s="219">
        <v>4</v>
      </c>
      <c r="C5" s="374" t="s">
        <v>1674</v>
      </c>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v>22</v>
      </c>
      <c r="B6" s="219">
        <v>21</v>
      </c>
      <c r="C6" s="374" t="s">
        <v>1675</v>
      </c>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2021-12-09T16:29:51Z</dcterms:modified>
</cp:coreProperties>
</file>