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81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'DOE25'!$A$1:$L$673</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22" i="1" l="1"/>
  <c r="C12" i="12" l="1"/>
  <c r="C11" i="12"/>
  <c r="C10" i="12"/>
  <c r="C21" i="12" l="1"/>
  <c r="C20" i="12"/>
  <c r="C19" i="12"/>
  <c r="F315" i="1" l="1"/>
  <c r="G315" i="1"/>
  <c r="G277" i="1"/>
  <c r="H102" i="1"/>
  <c r="H156" i="1"/>
  <c r="F14" i="13" l="1"/>
  <c r="F15" i="13"/>
  <c r="F50" i="1" l="1"/>
  <c r="H244" i="1"/>
  <c r="H208" i="1"/>
  <c r="H198" i="1" l="1"/>
  <c r="I198" i="1"/>
  <c r="K198" i="1"/>
  <c r="G204" i="1"/>
  <c r="H205" i="1"/>
  <c r="I205" i="1"/>
  <c r="K205" i="1"/>
  <c r="K206" i="1"/>
  <c r="I208" i="1"/>
  <c r="H48" i="1"/>
  <c r="F44" i="1" l="1"/>
  <c r="H596" i="1" l="1"/>
  <c r="J592" i="1"/>
  <c r="J594" i="1"/>
  <c r="H241" i="1"/>
  <c r="H234" i="1"/>
  <c r="I244" i="1"/>
  <c r="I242" i="1"/>
  <c r="H242" i="1"/>
  <c r="K241" i="1"/>
  <c r="I241" i="1"/>
  <c r="G240" i="1"/>
  <c r="H239" i="1"/>
  <c r="I237" i="1"/>
  <c r="H235" i="1"/>
  <c r="I234" i="1"/>
  <c r="G397" i="1" l="1"/>
  <c r="G393" i="1"/>
  <c r="F63" i="1" l="1"/>
  <c r="J474" i="1" l="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E120" i="2" s="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2" i="2"/>
  <c r="D115" i="2"/>
  <c r="F115" i="2"/>
  <c r="G115" i="2"/>
  <c r="C119"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G653" i="1"/>
  <c r="H653" i="1"/>
  <c r="G654" i="1"/>
  <c r="H654" i="1"/>
  <c r="G655" i="1"/>
  <c r="H655" i="1"/>
  <c r="H656" i="1"/>
  <c r="J656" i="1" s="1"/>
  <c r="G62" i="2"/>
  <c r="I170" i="1"/>
  <c r="E121" i="2" l="1"/>
  <c r="K353" i="1"/>
  <c r="J652" i="1"/>
  <c r="C120" i="2"/>
  <c r="F409" i="1"/>
  <c r="H644" i="1" s="1"/>
  <c r="J644" i="1" s="1"/>
  <c r="G646" i="1"/>
  <c r="C125" i="2"/>
  <c r="H663" i="1"/>
  <c r="C13" i="10"/>
  <c r="C121" i="2"/>
  <c r="C112" i="2"/>
  <c r="J258" i="1"/>
  <c r="J272" i="1" s="1"/>
  <c r="J112" i="1"/>
  <c r="J194" i="1" s="1"/>
  <c r="G647" i="1" s="1"/>
  <c r="I409" i="1"/>
  <c r="D50" i="2"/>
  <c r="G662" i="1"/>
  <c r="E123" i="2"/>
  <c r="E110" i="2"/>
  <c r="D15" i="13"/>
  <c r="C15" i="13" s="1"/>
  <c r="H409" i="1"/>
  <c r="H645" i="1" s="1"/>
  <c r="J645" i="1" s="1"/>
  <c r="J572" i="1"/>
  <c r="G409" i="1"/>
  <c r="H646" i="1" s="1"/>
  <c r="J646" i="1" s="1"/>
  <c r="G553" i="1"/>
  <c r="A40" i="12"/>
  <c r="E119" i="2"/>
  <c r="D6" i="13"/>
  <c r="C6" i="13" s="1"/>
  <c r="E13" i="13"/>
  <c r="C13" i="13" s="1"/>
  <c r="G339" i="1"/>
  <c r="G353"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E128" i="2" l="1"/>
  <c r="F661" i="1"/>
  <c r="F665" i="1" s="1"/>
  <c r="F668" i="1" s="1"/>
  <c r="E115" i="2"/>
  <c r="E51" i="2"/>
  <c r="C81" i="2"/>
  <c r="F194" i="1"/>
  <c r="G628" i="1" s="1"/>
  <c r="J628" i="1" s="1"/>
  <c r="I663" i="1"/>
  <c r="H649" i="1"/>
  <c r="J649" i="1" s="1"/>
  <c r="C141" i="2"/>
  <c r="C144" i="2" s="1"/>
  <c r="H661" i="1"/>
  <c r="H665" i="1" s="1"/>
  <c r="H668" i="1" s="1"/>
  <c r="H194" i="1"/>
  <c r="G630" i="1" s="1"/>
  <c r="J630"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<sst xmlns="http://schemas.openxmlformats.org/spreadsheetml/2006/main" count="5578" uniqueCount="1677">
  <si>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</si>
  <si>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</si>
  <si>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</si>
  <si>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</si>
  <si>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</si>
  <si>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</si>
  <si>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</si>
  <si>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</si>
  <si>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</si>
  <si>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</si>
  <si>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</si>
  <si>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</si>
  <si>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</si>
  <si>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</si>
  <si>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</si>
  <si>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</si>
  <si>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</si>
  <si>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</si>
  <si>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</si>
  <si>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</si>
  <si>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</si>
  <si>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</si>
  <si>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</si>
  <si>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</si>
  <si>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</si>
  <si>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</si>
  <si>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</si>
  <si>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</si>
  <si>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</si>
  <si>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</si>
  <si>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</si>
  <si>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</si>
  <si>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</si>
  <si>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</si>
  <si>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</si>
  <si>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</si>
  <si>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</si>
  <si>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</si>
  <si>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</si>
  <si>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</si>
  <si>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</si>
  <si>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</si>
  <si>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</si>
  <si>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</si>
  <si>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</si>
  <si>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</si>
  <si>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</si>
  <si>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</si>
  <si>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</si>
  <si>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</si>
  <si>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</si>
  <si>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</si>
  <si>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</si>
  <si>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</si>
  <si>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</si>
  <si>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</si>
  <si>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</si>
  <si>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</si>
  <si>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</si>
  <si>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</si>
  <si>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</si>
  <si>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</si>
  <si>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</si>
  <si>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</si>
  <si>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</si>
  <si>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</si>
  <si>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</si>
  <si>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</si>
  <si>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</si>
  <si>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</si>
  <si>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</si>
  <si>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</si>
  <si>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</si>
  <si>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</si>
  <si>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</si>
  <si>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</si>
  <si>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</si>
  <si>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</si>
  <si>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</si>
  <si>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</si>
  <si>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</si>
  <si>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</si>
  <si>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</si>
  <si>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</si>
  <si>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</si>
  <si>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</si>
  <si>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</si>
  <si>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</si>
  <si>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</si>
  <si>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</si>
  <si>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</si>
  <si>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</si>
  <si>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</si>
  <si>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</si>
  <si>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</si>
  <si>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</si>
  <si>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</si>
  <si>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</si>
  <si>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</si>
  <si>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</si>
  <si>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</si>
  <si>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</si>
  <si>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</si>
  <si>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</si>
  <si>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</si>
  <si>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</si>
  <si>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</si>
  <si>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</si>
  <si>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</si>
  <si>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</si>
  <si>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</si>
  <si>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</si>
  <si>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</si>
  <si>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</si>
  <si>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</si>
  <si>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</si>
  <si>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</si>
  <si>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</si>
  <si>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</si>
  <si>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</si>
  <si>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</si>
  <si>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</si>
  <si>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</si>
  <si>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</si>
  <si>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</si>
  <si>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</si>
  <si>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</si>
  <si>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</si>
  <si>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</si>
  <si>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</si>
  <si>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</si>
  <si>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</si>
  <si>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</si>
  <si>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</si>
  <si>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</si>
  <si>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</si>
  <si>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</si>
  <si>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</si>
  <si>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</si>
  <si>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</si>
  <si>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</si>
  <si>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</si>
  <si>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</si>
  <si>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</si>
  <si>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</si>
  <si>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</si>
  <si>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</si>
  <si>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</si>
  <si>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</si>
  <si>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</si>
  <si>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</si>
  <si>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</si>
  <si>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</si>
  <si>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</si>
  <si>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</si>
  <si>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</si>
  <si>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</si>
  <si>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</si>
  <si>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</si>
  <si>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</si>
  <si>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</si>
  <si>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</si>
  <si>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</si>
  <si>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</si>
  <si>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</si>
  <si>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</si>
  <si>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</si>
  <si>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</si>
  <si>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</si>
  <si>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</si>
  <si>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</si>
  <si>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</si>
  <si>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</si>
  <si>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</si>
  <si>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</si>
  <si>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</si>
  <si>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</si>
  <si>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</si>
  <si>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</si>
  <si>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</si>
  <si>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</si>
  <si>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</si>
  <si>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</si>
  <si>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</si>
  <si>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</si>
  <si>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</si>
  <si>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</si>
  <si>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</si>
  <si>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</si>
  <si>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</si>
  <si>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</si>
  <si>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</si>
  <si>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</si>
  <si>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</si>
  <si>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</si>
  <si>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</si>
  <si>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</si>
  <si>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</si>
  <si>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</si>
  <si>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</si>
  <si>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</si>
  <si>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</si>
  <si>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</si>
  <si>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</si>
  <si>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</si>
  <si>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</si>
  <si>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</si>
  <si>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</si>
  <si>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</si>
  <si>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</si>
  <si>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</si>
  <si>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</si>
  <si>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</si>
  <si>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</si>
  <si>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</si>
  <si>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</si>
  <si>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</si>
  <si>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</si>
  <si>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</si>
  <si>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</si>
  <si>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</si>
  <si>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</si>
  <si>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</si>
  <si>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</si>
  <si>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</si>
  <si>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</si>
  <si>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</si>
  <si>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</si>
  <si>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</si>
  <si>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</si>
  <si>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</si>
  <si>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</si>
  <si>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</si>
  <si>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</si>
  <si>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</si>
  <si>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</si>
  <si>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</si>
  <si>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</si>
  <si>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</si>
  <si>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</si>
  <si>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</si>
  <si>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</si>
  <si>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</si>
  <si>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</si>
  <si>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</si>
  <si>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</si>
  <si>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</si>
  <si>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</si>
  <si>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</si>
  <si>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</si>
  <si>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</si>
  <si>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</si>
  <si>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</si>
  <si>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</si>
  <si>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</si>
  <si>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</si>
  <si>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</si>
  <si>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</si>
  <si>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</si>
  <si>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</si>
  <si>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</si>
  <si>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</si>
  <si>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</si>
  <si>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</si>
  <si>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</si>
  <si>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</si>
  <si>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</si>
  <si>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</si>
  <si>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</si>
  <si>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</si>
  <si>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</si>
  <si>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</si>
  <si>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</si>
  <si>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</si>
  <si>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</si>
  <si>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</si>
  <si>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</si>
  <si>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</si>
  <si>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</si>
  <si>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</si>
  <si>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</si>
  <si>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</si>
  <si>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</si>
  <si>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</si>
  <si>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</si>
  <si>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</si>
  <si>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</si>
  <si>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</si>
  <si>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</si>
  <si>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</si>
  <si>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</si>
  <si>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</si>
  <si>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</si>
  <si>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</si>
  <si>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</si>
  <si>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</si>
  <si>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</si>
  <si>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</si>
  <si>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</si>
  <si>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</si>
  <si>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</si>
  <si>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</si>
  <si>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</si>
  <si>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</si>
  <si>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</si>
  <si>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</si>
  <si>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</si>
  <si>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</si>
  <si>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</si>
  <si>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</si>
  <si>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</si>
  <si>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</si>
  <si>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</si>
  <si>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</si>
  <si>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</si>
  <si>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</si>
  <si>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</si>
  <si>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</si>
  <si>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</si>
  <si>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</si>
  <si>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</si>
  <si>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</si>
  <si>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</si>
  <si>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</si>
  <si>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</si>
  <si>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</si>
  <si>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</si>
  <si>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</si>
  <si>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</si>
  <si>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</si>
  <si>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</si>
  <si>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</si>
  <si>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</si>
  <si>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</si>
  <si>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</si>
  <si>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</si>
  <si>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</si>
  <si>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</si>
  <si>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</si>
  <si>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</si>
  <si>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</si>
  <si>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</si>
  <si>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</si>
  <si>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</si>
  <si>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</si>
  <si>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</si>
  <si>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</si>
  <si>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</si>
  <si>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</si>
  <si>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</si>
  <si>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</si>
  <si>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</si>
  <si>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</si>
  <si>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</si>
  <si>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</si>
  <si>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</si>
  <si>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</si>
  <si>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</si>
  <si>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</si>
  <si>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</si>
  <si>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</si>
  <si>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</si>
  <si>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</si>
  <si>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</si>
  <si>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</si>
  <si>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</si>
  <si>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</si>
  <si>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</si>
  <si>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</si>
  <si>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</si>
  <si>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</si>
  <si>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</si>
  <si>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</si>
  <si>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</si>
  <si>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</si>
  <si>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</si>
  <si>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</si>
  <si>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</si>
  <si>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</si>
  <si>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</si>
  <si>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</si>
  <si>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</si>
  <si>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</si>
  <si>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</si>
  <si>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</si>
  <si>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</si>
  <si>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</si>
  <si>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</si>
  <si>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</si>
  <si>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</si>
  <si>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</si>
  <si>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</si>
  <si>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</si>
  <si>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</si>
  <si>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</si>
  <si>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</si>
  <si>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</si>
  <si>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</si>
  <si>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</si>
  <si>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</si>
  <si>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</si>
  <si>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</si>
  <si>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</si>
  <si>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</si>
  <si>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</si>
  <si>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</si>
  <si>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</si>
  <si>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</si>
  <si>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</si>
  <si>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</si>
  <si>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</si>
  <si>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</si>
  <si>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</si>
  <si>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</si>
  <si>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</si>
  <si>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</si>
  <si>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</si>
  <si>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</si>
  <si>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</si>
  <si>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</si>
  <si>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</si>
  <si>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</si>
  <si>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</si>
  <si>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</si>
  <si>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</si>
  <si>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</si>
  <si>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</si>
  <si>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</si>
  <si>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</si>
  <si>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</si>
  <si>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</si>
  <si>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</si>
  <si>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</si>
  <si>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</si>
  <si>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</si>
  <si>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</si>
  <si>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</si>
  <si>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</si>
  <si>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</si>
  <si>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</si>
  <si>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</si>
  <si>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</si>
  <si>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</si>
  <si>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</si>
  <si>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</si>
  <si>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</si>
  <si>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</si>
  <si>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</si>
  <si>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</si>
  <si>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</si>
  <si>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</si>
  <si>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</si>
  <si>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</si>
  <si>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</si>
  <si>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</si>
  <si>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</si>
  <si>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</si>
  <si>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</si>
  <si>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</si>
  <si>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</si>
  <si>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</si>
  <si>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</si>
  <si>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</si>
  <si>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</si>
  <si>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</si>
  <si>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</si>
  <si>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</si>
  <si>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</si>
  <si>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</si>
  <si>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</si>
  <si>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</si>
  <si>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</si>
  <si>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</si>
  <si>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</si>
  <si>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</si>
  <si>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</si>
  <si>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</si>
  <si>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</si>
  <si>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</si>
  <si>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</si>
  <si>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</si>
  <si>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</si>
  <si>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</si>
  <si>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</si>
  <si>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</si>
  <si>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</si>
  <si>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</si>
  <si>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</si>
  <si>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</si>
  <si>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</si>
  <si>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</si>
  <si>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</si>
  <si>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</si>
  <si>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</si>
  <si>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</si>
  <si>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</si>
  <si>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</si>
  <si>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</si>
  <si>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</si>
  <si>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</si>
  <si>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</si>
  <si>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</si>
  <si>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</si>
  <si>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</si>
  <si>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</si>
  <si>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</si>
  <si>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</si>
  <si>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</si>
  <si>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</si>
  <si>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</si>
  <si>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</si>
  <si>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</si>
  <si>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</si>
  <si>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</si>
  <si>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</si>
  <si>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</si>
  <si>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</si>
  <si>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</si>
  <si>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</si>
  <si>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</si>
  <si>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</si>
  <si>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</si>
  <si>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</si>
  <si>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</si>
  <si>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</si>
  <si>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</si>
  <si>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</si>
  <si>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</si>
  <si>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</si>
  <si>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</si>
  <si>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</si>
  <si>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</si>
  <si>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</si>
  <si>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</si>
  <si>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</si>
  <si>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</si>
  <si>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</si>
  <si>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</si>
  <si>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</si>
  <si>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</si>
  <si>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</si>
  <si>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</si>
  <si>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</si>
  <si>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</si>
  <si>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</si>
  <si>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</si>
  <si>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</si>
  <si>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</si>
  <si>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</si>
  <si>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</si>
  <si>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</si>
  <si>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</si>
  <si>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</si>
  <si>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</si>
  <si>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</si>
  <si>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</si>
  <si>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</si>
  <si>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</si>
  <si>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</si>
  <si>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</si>
  <si>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</si>
  <si>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</si>
  <si>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</si>
  <si>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</si>
  <si>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</si>
  <si>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</si>
  <si>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</si>
  <si>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</si>
  <si>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</si>
  <si>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</si>
  <si>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</si>
  <si>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</si>
  <si>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</si>
  <si>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</si>
  <si>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</si>
  <si>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</si>
  <si>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</si>
  <si>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</si>
  <si>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</si>
  <si>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</si>
  <si>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</si>
  <si>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</si>
  <si>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</si>
  <si>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</si>
  <si>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</si>
  <si>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</si>
  <si>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</si>
  <si>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</si>
  <si>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</si>
  <si>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</si>
  <si>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</si>
  <si>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</si>
  <si>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</si>
  <si>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</si>
  <si>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</si>
  <si>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</si>
  <si>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</si>
  <si>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</si>
  <si>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</si>
  <si>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</si>
  <si>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</si>
  <si>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</si>
  <si>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</si>
  <si>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</si>
  <si>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</si>
  <si>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</si>
  <si>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</si>
  <si>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</si>
  <si>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</si>
  <si>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</si>
  <si>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</si>
  <si>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</si>
  <si>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</si>
  <si>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</si>
  <si>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</si>
  <si>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</si>
  <si>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</si>
  <si>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</si>
  <si>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</si>
  <si>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</si>
  <si>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</si>
  <si>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</si>
  <si>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</si>
  <si>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</si>
  <si>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</si>
  <si>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</si>
  <si>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</si>
  <si>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</si>
  <si>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</si>
  <si>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</si>
  <si>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</si>
  <si>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</si>
  <si>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</si>
  <si>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</si>
  <si>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</si>
  <si>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</si>
  <si>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</si>
  <si>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</si>
  <si>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</si>
  <si>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</si>
  <si>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</si>
  <si>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</si>
  <si>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</si>
  <si>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</si>
  <si>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</si>
  <si>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</si>
  <si>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</si>
  <si>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</si>
  <si>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</si>
  <si>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</si>
  <si>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</si>
  <si>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</si>
  <si>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</si>
  <si>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</si>
  <si>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</si>
  <si>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</si>
  <si>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</si>
  <si>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</si>
  <si>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</si>
  <si>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</si>
  <si>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</si>
  <si>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</si>
  <si>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</si>
  <si>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</si>
  <si>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</si>
  <si>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</si>
  <si>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</si>
  <si>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</si>
  <si>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</si>
  <si>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</si>
  <si>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</si>
  <si>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</si>
  <si>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</si>
  <si>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</si>
  <si>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</si>
  <si>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</si>
  <si>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</si>
  <si>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</si>
  <si>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</si>
  <si>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</si>
  <si>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</si>
  <si>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</si>
  <si>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</si>
  <si>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</si>
  <si>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</si>
  <si>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</si>
  <si>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</si>
  <si>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</si>
  <si>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</si>
  <si>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</si>
  <si>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</si>
  <si>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</si>
  <si>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</si>
  <si>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</si>
  <si>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</si>
  <si>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</si>
  <si>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</si>
  <si>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</si>
  <si>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</si>
  <si>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</si>
  <si>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</si>
  <si>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</si>
  <si>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</si>
  <si>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</si>
  <si>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</si>
  <si>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</si>
  <si>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</si>
  <si>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</si>
  <si>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</si>
  <si>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</si>
  <si>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</si>
  <si>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</si>
  <si>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</si>
  <si>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</si>
  <si>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</si>
  <si>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</si>
  <si>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</si>
  <si>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</si>
  <si>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</si>
  <si>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</si>
  <si>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</si>
  <si>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</si>
  <si>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</si>
  <si>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</si>
  <si>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</si>
  <si>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</si>
  <si>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</si>
  <si>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</si>
  <si>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</si>
  <si>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</si>
  <si>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</si>
  <si>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</si>
  <si>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</si>
  <si>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</si>
  <si>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</si>
  <si>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</si>
  <si>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</si>
  <si>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</si>
  <si>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</si>
  <si>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</si>
  <si>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</si>
  <si>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</si>
  <si>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</si>
  <si>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</si>
  <si>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</si>
  <si>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</si>
  <si>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</si>
  <si>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</si>
  <si>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</si>
  <si>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</si>
  <si>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</si>
  <si>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</si>
  <si>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</si>
  <si>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</si>
  <si>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</si>
  <si>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</si>
  <si>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</si>
  <si>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</si>
  <si>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</si>
  <si>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</si>
  <si>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</si>
  <si>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</si>
  <si>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</si>
  <si>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</si>
  <si>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</si>
  <si>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</si>
  <si>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</si>
  <si>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</si>
  <si>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</si>
  <si>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</si>
  <si>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</si>
  <si>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</si>
  <si>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</si>
  <si>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</si>
  <si>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</si>
  <si>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</si>
  <si>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</si>
  <si>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</si>
  <si>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</si>
  <si>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</si>
  <si>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</si>
  <si>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</si>
  <si>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</si>
  <si>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</si>
  <si>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</si>
  <si>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</si>
  <si>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</si>
  <si>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</si>
  <si>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</si>
  <si>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</si>
  <si>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</si>
  <si>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</si>
  <si>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</si>
  <si>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</si>
  <si>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</si>
  <si>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</si>
  <si>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</si>
  <si>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</si>
  <si>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</si>
  <si>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</si>
  <si>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</si>
  <si>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</si>
  <si>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</si>
  <si>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</si>
  <si>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</si>
  <si>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</si>
  <si>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</si>
  <si>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</si>
  <si>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</si>
  <si>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</si>
  <si>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</si>
  <si>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</si>
  <si>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</si>
  <si>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</si>
  <si>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</si>
  <si>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</si>
  <si>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</si>
  <si>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</si>
  <si>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</si>
  <si>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</si>
  <si>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</si>
  <si>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</si>
  <si>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</si>
  <si>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</si>
  <si>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</si>
  <si>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</si>
  <si>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</si>
  <si>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</si>
  <si>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</si>
  <si>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</si>
  <si>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</si>
  <si>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</si>
  <si>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</si>
  <si>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</si>
  <si>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</si>
  <si>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</si>
  <si>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</si>
  <si>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</si>
  <si>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</si>
  <si>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</si>
  <si>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</si>
  <si>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</si>
  <si>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</si>
  <si>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</si>
  <si>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</si>
  <si>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</si>
  <si>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</si>
  <si>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</si>
  <si>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</si>
  <si>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</si>
  <si>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</si>
  <si>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</si>
  <si>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</si>
  <si>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</si>
  <si>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</si>
  <si>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</si>
  <si>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</si>
  <si>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</si>
  <si>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</si>
  <si>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</si>
  <si>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</si>
  <si>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</si>
  <si>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</si>
  <si>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</si>
  <si>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</si>
  <si>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</si>
  <si>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</si>
  <si>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</si>
  <si>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</si>
  <si>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</si>
  <si>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</si>
  <si>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</si>
  <si>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</si>
  <si>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</si>
  <si>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</si>
  <si>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</si>
  <si>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</si>
  <si>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</si>
  <si>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</si>
  <si>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</si>
  <si>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</si>
  <si>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</si>
  <si>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</si>
  <si>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</si>
  <si>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</si>
  <si>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</si>
  <si>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</si>
  <si>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</si>
  <si>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</si>
  <si>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</si>
  <si>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</si>
  <si>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</si>
  <si>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</si>
  <si>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</si>
  <si>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</si>
  <si>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</si>
  <si>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</si>
  <si>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</si>
  <si>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</si>
  <si>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</si>
  <si>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</si>
  <si>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</si>
  <si>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</si>
  <si>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</si>
  <si>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</si>
  <si>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</si>
  <si>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</si>
  <si>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</si>
  <si>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</si>
  <si>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</si>
  <si>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</si>
  <si>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</si>
  <si>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</si>
  <si>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</si>
  <si>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</si>
  <si>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</si>
  <si>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</si>
  <si>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</si>
  <si>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</si>
  <si>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</si>
  <si>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</si>
  <si>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</si>
  <si>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</si>
  <si>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</si>
  <si>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</si>
  <si>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</si>
  <si>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</si>
  <si>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</si>
  <si>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</si>
  <si>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</si>
  <si>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</si>
  <si>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</si>
  <si>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</si>
  <si>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</si>
  <si>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</si>
  <si>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</si>
  <si>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</si>
  <si>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</si>
  <si>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</si>
  <si>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</si>
  <si>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</si>
  <si>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</si>
  <si>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</si>
  <si>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</si>
  <si>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</si>
  <si>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</si>
  <si>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</si>
  <si>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</si>
  <si>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</si>
  <si>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</si>
  <si>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</si>
  <si>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</si>
  <si>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</si>
  <si>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</si>
  <si>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</si>
  <si>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</si>
  <si>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</si>
  <si>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</si>
  <si>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</si>
  <si>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</si>
  <si>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</si>
  <si>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</si>
  <si>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</si>
  <si>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</si>
  <si>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</si>
  <si>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</si>
  <si>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</si>
  <si>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</si>
  <si>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</si>
  <si>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</si>
  <si>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</si>
  <si>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</si>
  <si>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</si>
  <si>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</si>
  <si>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</si>
  <si>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</si>
  <si>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</si>
  <si>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</si>
  <si>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</si>
  <si>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</si>
  <si>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</si>
  <si>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</si>
  <si>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</si>
  <si>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</si>
  <si>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</si>
  <si>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</si>
  <si>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</si>
  <si>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</si>
  <si>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</si>
  <si>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</si>
  <si>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</si>
  <si>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</si>
  <si>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</si>
  <si>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</si>
  <si>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</si>
  <si>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</si>
  <si>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</si>
  <si>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</si>
  <si>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</si>
  <si>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</si>
  <si>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</si>
  <si>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</si>
  <si>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</si>
  <si>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</si>
  <si>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</si>
  <si>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</si>
  <si>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</si>
  <si>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</si>
  <si>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</si>
  <si>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</si>
  <si>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</si>
  <si>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</si>
  <si>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</si>
  <si>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</si>
  <si>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</si>
  <si>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</si>
  <si>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</si>
  <si>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</si>
  <si>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</si>
  <si>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</si>
  <si>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</si>
  <si>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</si>
  <si>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</si>
  <si>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</si>
  <si>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</si>
  <si>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</si>
  <si>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</si>
  <si>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</si>
  <si>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</si>
  <si>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</si>
  <si>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</si>
  <si>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</si>
  <si>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</si>
  <si>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</si>
  <si>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</si>
  <si>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</si>
  <si>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</si>
  <si>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</si>
  <si>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</si>
  <si>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</si>
  <si>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</si>
  <si>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</si>
  <si>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</si>
  <si>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</si>
  <si>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</si>
  <si>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</si>
  <si>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</si>
  <si>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</si>
  <si>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</si>
  <si>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</si>
  <si>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</si>
  <si>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</si>
  <si>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</si>
  <si>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</si>
  <si>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</si>
  <si>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</si>
  <si>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</si>
  <si>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</si>
  <si>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</si>
  <si>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</si>
  <si>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</si>
  <si>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</si>
  <si>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</si>
  <si>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</si>
  <si>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</si>
  <si>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</si>
  <si>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</si>
  <si>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</si>
  <si>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</si>
  <si>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</si>
  <si>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</si>
  <si>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</si>
  <si>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</si>
  <si>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</si>
  <si>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</si>
  <si>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</si>
  <si>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</si>
  <si>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</si>
  <si>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</si>
  <si>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</si>
  <si>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</si>
  <si>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</si>
  <si>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</si>
  <si>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</si>
  <si>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</si>
  <si>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</si>
  <si>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</si>
  <si>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</si>
  <si>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</si>
  <si>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</si>
  <si>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</si>
  <si>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</si>
  <si>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</si>
  <si>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</si>
  <si>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</si>
  <si>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</si>
  <si>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</si>
  <si>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</si>
  <si>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</si>
  <si>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</si>
  <si>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</si>
  <si>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</si>
  <si>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</si>
  <si>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</si>
  <si>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</si>
  <si>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</si>
  <si>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</si>
  <si>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</si>
  <si>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</si>
  <si>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</si>
  <si>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</si>
  <si>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</si>
  <si>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</si>
  <si>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</si>
  <si>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</si>
  <si>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</si>
  <si>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</si>
  <si>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</si>
  <si>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</si>
  <si>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</si>
  <si>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</si>
  <si>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</si>
  <si>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</si>
  <si>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</si>
  <si>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</si>
  <si>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</si>
  <si>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</si>
  <si>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</si>
  <si>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</si>
  <si>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</si>
  <si>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</si>
  <si>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</si>
  <si>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</si>
  <si>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</si>
  <si>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</si>
  <si>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</si>
  <si>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</si>
  <si>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</si>
  <si>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</si>
  <si>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</si>
  <si>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</si>
  <si>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</si>
  <si>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</si>
  <si>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</si>
  <si>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</si>
  <si>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</si>
  <si>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</si>
  <si>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</si>
  <si>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</si>
  <si>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</si>
  <si>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</si>
  <si>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</si>
  <si>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</si>
  <si>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</si>
  <si>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</si>
  <si>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</si>
  <si>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</si>
  <si>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</si>
  <si>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</si>
  <si>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</si>
  <si>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</si>
  <si>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</si>
  <si>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</si>
  <si>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</si>
  <si>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</si>
  <si>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</si>
  <si>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</si>
  <si>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</si>
  <si>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</si>
  <si>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</si>
  <si>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</si>
  <si>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</si>
  <si>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</si>
  <si>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</si>
  <si>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</si>
  <si>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</si>
  <si>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</si>
  <si>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</si>
  <si>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</si>
  <si>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</si>
  <si>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</si>
  <si>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</si>
  <si>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</si>
  <si>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</si>
  <si>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</si>
  <si>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</si>
  <si>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</si>
  <si>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</si>
  <si>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</si>
  <si>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</si>
  <si>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</si>
  <si>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</si>
  <si>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</si>
  <si>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</si>
  <si>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</si>
  <si>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</si>
  <si>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</si>
  <si>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</si>
  <si>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</si>
  <si>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</si>
  <si>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</si>
  <si>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</si>
  <si>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</si>
  <si>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</si>
  <si>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</si>
  <si>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</si>
  <si>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</si>
  <si>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</si>
  <si>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</si>
  <si>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</si>
  <si>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</si>
  <si>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</si>
  <si>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</si>
  <si>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</si>
  <si>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</si>
  <si>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</si>
  <si>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</si>
  <si>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</si>
  <si>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</si>
  <si>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</si>
  <si>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</si>
  <si>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</si>
  <si>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</si>
  <si>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</si>
  <si>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</si>
  <si>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</si>
  <si>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</si>
  <si>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</si>
  <si>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</si>
  <si>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</si>
  <si>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</si>
  <si>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</si>
  <si>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</si>
  <si>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</si>
  <si>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</si>
  <si>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</si>
  <si>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</si>
  <si>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</si>
  <si>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</si>
  <si>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</si>
  <si>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</si>
  <si>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</si>
  <si>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</si>
  <si>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</si>
  <si>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</si>
  <si>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</si>
  <si>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</si>
  <si>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</si>
  <si>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</si>
  <si>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</si>
  <si>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</si>
  <si>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</si>
  <si>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</si>
  <si>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</si>
  <si>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</si>
  <si>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</si>
  <si>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</si>
  <si>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</si>
  <si>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</si>
  <si>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</si>
  <si>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</si>
  <si>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</si>
  <si>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</si>
  <si>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</si>
  <si>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</si>
  <si>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</si>
  <si>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</si>
  <si>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</si>
  <si>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</si>
  <si>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</si>
  <si>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</si>
  <si>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</si>
  <si>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</si>
  <si>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</si>
  <si>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</si>
  <si>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</si>
  <si>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</si>
  <si>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</si>
  <si>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</si>
  <si>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</si>
  <si>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</si>
  <si>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</si>
  <si>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</si>
  <si>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</si>
  <si>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</si>
  <si>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</si>
  <si>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</si>
  <si>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</si>
  <si>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</si>
  <si>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</si>
  <si>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</si>
  <si>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</si>
  <si>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</si>
  <si>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</si>
  <si>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</si>
  <si>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</si>
  <si>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</si>
  <si>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</si>
  <si>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</si>
  <si>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</si>
  <si>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</si>
  <si>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</si>
  <si>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</si>
  <si>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</si>
  <si>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</si>
  <si>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</si>
  <si>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</si>
  <si>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</si>
  <si>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</si>
  <si>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</si>
  <si>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</si>
  <si>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</si>
  <si>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</si>
  <si>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</si>
  <si>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</si>
  <si>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</si>
  <si>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</si>
  <si>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</si>
  <si>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</si>
  <si>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</si>
  <si>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</si>
  <si>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</si>
  <si>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</si>
  <si>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</si>
  <si>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</si>
  <si>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</si>
  <si>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</si>
  <si>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</si>
  <si>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</si>
  <si>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</si>
  <si>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</si>
  <si>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</si>
  <si>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</si>
  <si>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</si>
  <si>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</si>
  <si>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</si>
  <si>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</si>
  <si>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</si>
  <si>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</si>
  <si>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</si>
  <si>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</si>
  <si>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</si>
  <si>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</si>
  <si>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</si>
  <si>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</si>
  <si>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</si>
  <si>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</si>
  <si>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</si>
  <si>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</si>
  <si>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</si>
  <si>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</si>
  <si>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</si>
  <si>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</si>
  <si>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</si>
  <si>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</si>
  <si>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</si>
  <si>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</si>
  <si>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</si>
  <si>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</si>
  <si>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</si>
  <si>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</si>
  <si>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</si>
  <si>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</si>
  <si>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</si>
  <si>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</si>
  <si>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</si>
  <si>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</si>
  <si>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</si>
  <si>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</si>
  <si>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</si>
  <si>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</si>
  <si>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</si>
  <si>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</si>
  <si>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</si>
  <si>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</si>
  <si>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</si>
  <si>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</si>
  <si>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</si>
  <si>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</si>
  <si>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</si>
  <si>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</si>
  <si>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</si>
  <si>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</si>
  <si>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</si>
  <si>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</si>
  <si>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</si>
  <si>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</si>
  <si>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</si>
  <si>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</si>
  <si>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</si>
  <si>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</si>
  <si>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</si>
  <si>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</si>
  <si>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</si>
  <si>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</si>
  <si>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</si>
  <si>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</si>
  <si>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</si>
  <si>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</si>
  <si>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</si>
  <si>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</si>
  <si>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</si>
  <si>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</si>
  <si>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</si>
  <si>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</si>
  <si>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</si>
  <si>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</si>
  <si>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</si>
  <si>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</si>
  <si>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</si>
  <si>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</si>
  <si>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</si>
  <si>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</si>
  <si>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</si>
  <si>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</si>
  <si>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</si>
  <si>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</si>
  <si>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</si>
  <si>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</si>
  <si>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</si>
  <si>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</si>
  <si>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</si>
  <si>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</si>
  <si>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</si>
  <si>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</si>
  <si>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</si>
  <si>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</si>
  <si>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</si>
  <si>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</si>
  <si>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</si>
  <si>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</si>
  <si>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</si>
  <si>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</si>
  <si>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</si>
  <si>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</si>
  <si>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</si>
  <si>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</si>
  <si>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</si>
  <si>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</si>
  <si>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</si>
  <si>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</si>
  <si>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</si>
  <si>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</si>
  <si>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</si>
  <si>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</si>
  <si>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</si>
  <si>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</si>
  <si>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</si>
  <si>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</si>
  <si>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</si>
  <si>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</si>
  <si>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</si>
  <si>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</si>
  <si>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</si>
  <si>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</si>
  <si>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</si>
  <si>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</si>
  <si>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</si>
  <si>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</si>
  <si>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</si>
  <si>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</si>
  <si>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</si>
  <si>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</si>
  <si>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</si>
  <si>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</si>
  <si>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</si>
  <si>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</si>
  <si>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</si>
  <si>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</si>
  <si>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</si>
  <si>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</si>
  <si>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</si>
  <si>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</si>
  <si>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</si>
  <si>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</si>
  <si>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</si>
  <si>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</si>
  <si>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</si>
  <si>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</si>
  <si>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</si>
  <si>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</si>
  <si>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</si>
  <si>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</si>
  <si>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</si>
  <si>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</si>
  <si>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</si>
  <si>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</si>
  <si>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</si>
  <si>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</si>
  <si>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</si>
  <si>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</si>
  <si>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</si>
  <si>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</si>
  <si>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</si>
  <si>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</si>
  <si>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</si>
  <si>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</si>
  <si>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</si>
  <si>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</si>
  <si>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</si>
  <si>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</si>
  <si>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</si>
  <si>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</si>
  <si>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</si>
  <si>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</si>
  <si>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</si>
  <si>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</si>
  <si>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</si>
  <si>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</si>
  <si>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</si>
  <si>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</si>
  <si>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</si>
  <si>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</si>
  <si>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</si>
  <si>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</si>
  <si>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</si>
  <si>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</si>
  <si>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</si>
  <si>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</si>
  <si>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</si>
  <si>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</si>
  <si>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</si>
  <si>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</si>
  <si>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</si>
  <si>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</si>
  <si>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</si>
  <si>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</si>
  <si>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</si>
  <si>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</si>
  <si>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</si>
  <si>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</si>
  <si>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</si>
  <si>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</si>
  <si>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</si>
  <si>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</si>
  <si>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</si>
  <si>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</si>
  <si>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</si>
  <si>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</si>
  <si>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</si>
  <si>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</si>
  <si>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</si>
  <si>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</si>
  <si>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</si>
  <si>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</si>
  <si>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</si>
  <si>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</si>
  <si>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</si>
  <si>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</si>
  <si>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</si>
  <si>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</si>
  <si>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</si>
  <si>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</si>
  <si>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</si>
  <si>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</si>
  <si>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</si>
  <si>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</si>
  <si>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</si>
  <si>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</si>
  <si>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</si>
  <si>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</si>
  <si>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</si>
  <si>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</si>
  <si>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</si>
  <si>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</si>
  <si>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</si>
  <si>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</si>
  <si>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</si>
  <si>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</si>
  <si>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</si>
  <si>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</si>
  <si>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</si>
  <si>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</si>
  <si>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</si>
  <si>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</si>
  <si>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</si>
  <si>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</si>
  <si>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</si>
  <si>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</si>
  <si>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</si>
  <si>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</si>
  <si>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</si>
  <si>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</si>
  <si>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</si>
  <si>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</si>
  <si>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</si>
  <si>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</si>
  <si>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</si>
  <si>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</si>
  <si>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</si>
  <si>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</si>
  <si>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</si>
  <si>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</si>
  <si>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</si>
  <si>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</si>
  <si>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</si>
  <si>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</si>
  <si>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</si>
  <si>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</si>
  <si>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</si>
  <si>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</si>
  <si>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</si>
  <si>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</si>
  <si>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</si>
  <si>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</si>
  <si>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</si>
  <si>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</si>
  <si>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</si>
  <si>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</si>
  <si>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</si>
  <si>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</si>
  <si>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</si>
  <si>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</si>
  <si>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</si>
  <si>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</si>
  <si>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</si>
  <si>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</si>
  <si>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</si>
  <si>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</si>
  <si>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</si>
  <si>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</si>
  <si>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</si>
  <si>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</si>
  <si>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</si>
  <si>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</si>
  <si>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</si>
  <si>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</si>
  <si>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</si>
  <si>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</si>
  <si>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</si>
  <si>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</si>
  <si>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</si>
  <si>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</si>
  <si>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</si>
  <si>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</si>
  <si>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</si>
  <si>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</si>
  <si>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</si>
  <si>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</si>
  <si>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</si>
  <si>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</si>
  <si>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</si>
  <si>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</si>
  <si>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</si>
  <si>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</si>
  <si>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</si>
  <si>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</si>
  <si>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</si>
  <si>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</si>
  <si>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</si>
  <si>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</si>
  <si>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</si>
  <si>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</si>
  <si>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</si>
  <si>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</si>
  <si>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</si>
  <si>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</si>
  <si>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</si>
  <si>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</si>
  <si>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</si>
  <si>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</si>
  <si>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</si>
  <si>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</si>
  <si>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</si>
  <si>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</si>
  <si>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</si>
  <si>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</si>
  <si>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</si>
  <si>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</si>
  <si>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</si>
  <si>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</si>
  <si>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</si>
  <si>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WHITE MOUNTAINS REGIONAL SCHOOL DISTRICT</t>
  </si>
  <si>
    <t xml:space="preserve">FY2020 DOE-25 reported an accrual of a transfer to General Fund of $30,000. However, as result of settlement of a dispute with the </t>
  </si>
  <si>
    <t>vendor, only $15,000 was paid to and accepted by the vendor as full and final payment.</t>
  </si>
  <si>
    <t>Private purpose and permanent funds were included in the FY2020 balance. However, these are not funded in any way by taxes.</t>
  </si>
  <si>
    <t>Vocational tuition aid is reported on an accrual basis consistent with WMRSD's historical accounting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</si>
</sst>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13" fillId="0" borderId="0" xfId="0" applyNumberFormat="1" applyFont="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pageSetUpPr fitToPage="1"/>
  </sheetPr>
  <dimension ref="A1:CH677"/>
  <sheetViews>
    <sheetView tabSelected="1" zoomScale="95" zoomScaleNormal="95"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568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1532678.13</v>
      </c>
      <c r="G9" s="18"/>
      <c r="H9" s="18"/>
      <c r="I9" s="18"/>
      <c r="J9" s="67">
        <f>SUM(I440)</f>
        <v>1999747.1099999999</v>
      </c>
      <c r="K9" s="24" t="s">
        <v>288</v>
      </c>
      <c r="L9" s="24" t="s">
        <v>288</v>
      </c>
      <c r="M9" s="8"/>
      <c r="N9" s="264"/>
    </row>
    <row r="10" spans="1:14" s="3" customFormat="1" ht="12.2" customHeight="1" x14ac:dyDescent="0.15">
      <c r="A10" s="1" t="s">
        <v>562</v>
      </c>
      <c r="B10" s="2" t="s">
        <v>289</v>
      </c>
      <c r="C10" s="6">
        <v>2</v>
      </c>
      <c r="D10" s="2" t="s">
        <v>428</v>
      </c>
      <c r="E10" s="6">
        <v>110</v>
      </c>
      <c r="F10" s="18">
        <v>168.95</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v>278715</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1008361.64</v>
      </c>
      <c r="G12" s="18"/>
      <c r="H12" s="18">
        <v>29104.16</v>
      </c>
      <c r="I12" s="18"/>
      <c r="J12" s="67">
        <f>SUM(I442)</f>
        <v>193017.01</v>
      </c>
      <c r="K12" s="24" t="s">
        <v>288</v>
      </c>
      <c r="L12" s="24" t="s">
        <v>288</v>
      </c>
      <c r="M12" s="8"/>
      <c r="N12" s="264"/>
    </row>
    <row r="13" spans="1:14" s="3" customFormat="1" ht="12.2" customHeight="1" x14ac:dyDescent="0.15">
      <c r="A13" s="1" t="s">
        <v>604</v>
      </c>
      <c r="B13" s="2" t="s">
        <v>289</v>
      </c>
      <c r="C13" s="6">
        <v>5</v>
      </c>
      <c r="D13" s="2" t="s">
        <v>428</v>
      </c>
      <c r="E13" s="6">
        <v>140</v>
      </c>
      <c r="F13" s="18">
        <v>71746.84</v>
      </c>
      <c r="G13" s="18">
        <v>38549.019999999997</v>
      </c>
      <c r="H13" s="18">
        <v>1174557.6200000001</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50637.67</v>
      </c>
      <c r="G14" s="18"/>
      <c r="H14" s="18">
        <v>330.1</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68673.13</v>
      </c>
      <c r="G17" s="18"/>
      <c r="H17" s="18">
        <v>31040.36</v>
      </c>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3010981.3599999994</v>
      </c>
      <c r="G19" s="41">
        <f>SUM(G9:G18)</f>
        <v>38549.019999999997</v>
      </c>
      <c r="H19" s="41">
        <f>SUM(H9:H18)</f>
        <v>1235032.2400000002</v>
      </c>
      <c r="I19" s="41">
        <f>SUM(I9:I18)</f>
        <v>0</v>
      </c>
      <c r="J19" s="41">
        <f>SUM(J9:J18)</f>
        <v>2192764.12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36216.99</v>
      </c>
      <c r="H22" s="18">
        <v>1015194.4</v>
      </c>
      <c r="I22" s="18"/>
      <c r="J22" s="67">
        <f>SUM(I449)</f>
        <v>179071.42</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39298.050000000003</v>
      </c>
      <c r="G24" s="18">
        <v>41.67</v>
      </c>
      <c r="H24" s="18">
        <v>9894.73</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1427657.93</v>
      </c>
      <c r="G28" s="18">
        <v>177.62</v>
      </c>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234661.56</v>
      </c>
      <c r="G29" s="18">
        <v>2112.7399999999998</v>
      </c>
      <c r="H29" s="18">
        <v>16668.080000000002</v>
      </c>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237500</v>
      </c>
      <c r="G30" s="18"/>
      <c r="H30" s="18">
        <v>163840.76999999999</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1939117.54</v>
      </c>
      <c r="G32" s="41">
        <f>SUM(G22:G31)</f>
        <v>38549.019999999997</v>
      </c>
      <c r="H32" s="41">
        <f>SUM(H22:H31)</f>
        <v>1205597.98</v>
      </c>
      <c r="I32" s="41">
        <f>SUM(I22:I31)</f>
        <v>0</v>
      </c>
      <c r="J32" s="41">
        <f>SUM(J22:J31)</f>
        <v>179071.42</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68673.13</v>
      </c>
      <c r="G36" s="18"/>
      <c r="H36" s="18">
        <v>31040.36</v>
      </c>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f>50000+300000+10000+75000+50000+25000</f>
        <v>510000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29434.26-H36</f>
        <v>-1606.1000000000022</v>
      </c>
      <c r="I48" s="18"/>
      <c r="J48" s="13">
        <f>SUM(I460)</f>
        <v>2013692.7000000002</v>
      </c>
      <c r="K48" s="24" t="s">
        <v>288</v>
      </c>
      <c r="L48" s="24" t="s">
        <v>288</v>
      </c>
      <c r="M48" s="8"/>
      <c r="N48" s="264"/>
    </row>
    <row r="49" spans="1:14" s="3" customFormat="1" ht="12.2" customHeight="1" x14ac:dyDescent="0.15">
      <c r="A49" s="1" t="s">
        <v>859</v>
      </c>
      <c r="B49" s="2" t="s">
        <v>289</v>
      </c>
      <c r="C49" s="6">
        <v>34</v>
      </c>
      <c r="D49" s="2"/>
      <c r="E49" s="6">
        <v>753</v>
      </c>
      <c r="F49" s="18">
        <v>19190.95</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1071863.82-F44-F49-F36</f>
        <v>473999.74000000011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1071863.82</v>
      </c>
      <c r="G51" s="41">
        <f>SUM(G35:G50)</f>
        <v>0</v>
      </c>
      <c r="H51" s="41">
        <f>SUM(H35:H50)</f>
        <v>29434.26</v>
      </c>
      <c r="I51" s="41">
        <f>SUM(I35:I50)</f>
        <v>0</v>
      </c>
      <c r="J51" s="41">
        <f>SUM(J35:J50)</f>
        <v>2013692.7000000002</v>
      </c>
      <c r="K51" s="45" t="s">
        <v>288</v>
      </c>
      <c r="L51" s="45" t="s">
        <v>288</v>
      </c>
      <c r="N51" s="262"/>
    </row>
    <row r="52" spans="1:14" s="3" customFormat="1" ht="12.2" customHeight="1" thickTop="1" x14ac:dyDescent="0.15">
      <c r="A52" s="38" t="s">
        <v>455</v>
      </c>
      <c r="B52" s="39" t="s">
        <v>289</v>
      </c>
      <c r="C52" s="6">
        <v>37</v>
      </c>
      <c r="D52" s="39" t="s">
        <v>653</v>
      </c>
      <c r="E52" s="39"/>
      <c r="F52" s="41">
        <f>F51+F32</f>
        <v>3010981.3600000003</v>
      </c>
      <c r="G52" s="41">
        <f>G51+G32</f>
        <v>38549.019999999997</v>
      </c>
      <c r="H52" s="41">
        <f>H51+H32</f>
        <v>1235032.24</v>
      </c>
      <c r="I52" s="41">
        <f>I51+I32</f>
        <v>0</v>
      </c>
      <c r="J52" s="41">
        <f>J51+J32</f>
        <v>2192764.12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10370340</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10370340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18141.88+1639.92</f>
        <v>19781.800000000003</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27147.360000000001</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36967.46</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932753.64</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1016650.26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4004.94</v>
      </c>
      <c r="G96" s="18"/>
      <c r="H96" s="18"/>
      <c r="I96" s="18"/>
      <c r="J96" s="18">
        <v>11615.61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11703.83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v>21673.15</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v>5000</v>
      </c>
      <c r="H102" s="18">
        <f>80717.06-7000</f>
        <v>73717.06</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v>13875</v>
      </c>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16158.84</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29978.959999999999</v>
      </c>
      <c r="G110" s="18">
        <v>1807.55</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64017.74</v>
      </c>
      <c r="G111" s="41">
        <f>SUM(G96:G110)</f>
        <v>18511.38</v>
      </c>
      <c r="H111" s="41">
        <f>SUM(H96:H110)</f>
        <v>95390.209999999992</v>
      </c>
      <c r="I111" s="41">
        <f>SUM(I96:I110)</f>
        <v>0</v>
      </c>
      <c r="J111" s="41">
        <f>SUM(J96:J110)</f>
        <v>11615.61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11451008</v>
      </c>
      <c r="G112" s="41">
        <f>G60+G111</f>
        <v>18511.38</v>
      </c>
      <c r="H112" s="41">
        <f>H60+H79+H94+H111</f>
        <v>95390.209999999992</v>
      </c>
      <c r="I112" s="41">
        <f>I60+I111</f>
        <v>0</v>
      </c>
      <c r="J112" s="41">
        <f>J60+J111</f>
        <v>11615.61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7508566.3899999997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1995227</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9505788.6000000015</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337005.03</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117010.72</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5610.3</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3957.27</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8896.64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459626.05</v>
      </c>
      <c r="G136" s="41">
        <f>SUM(G123:G135)</f>
        <v>8896.64</v>
      </c>
      <c r="H136" s="41">
        <f>SUM(H123:H135)</f>
        <v>3957.27</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9965414.6500000022</v>
      </c>
      <c r="G140" s="41">
        <f>G121+SUM(G136:G137)</f>
        <v>8896.64</v>
      </c>
      <c r="H140" s="41">
        <f>H121+SUM(H136:H139)</f>
        <v>3957.27</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531807.31999999995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233162.75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f>68012.52-9240.07</f>
        <v>58772.450000000004</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352136.69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346116.31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72191.41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479590.67</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906312.09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72191.41</v>
      </c>
      <c r="G163" s="41">
        <f>SUM(G150:G162)</f>
        <v>352136.69</v>
      </c>
      <c r="H163" s="41">
        <f>SUM(H150:H162)</f>
        <v>2555761.59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24264.62</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96456.03</v>
      </c>
      <c r="G170" s="41">
        <f>G147+G163+SUM(G164:G169)</f>
        <v>352136.69</v>
      </c>
      <c r="H170" s="41">
        <f>H147+H163+SUM(H164:H169)</f>
        <v>2555761.59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119231.76</v>
      </c>
      <c r="H180" s="18"/>
      <c r="I180" s="18"/>
      <c r="J180" s="18">
        <v>1268755.6499999999</v>
      </c>
      <c r="K180" s="24" t="s">
        <v>288</v>
      </c>
      <c r="L180" s="24" t="s">
        <v>288</v>
      </c>
      <c r="M180" s="8"/>
      <c r="N180" s="264"/>
    </row>
    <row r="181" spans="1:14" s="3" customFormat="1" ht="12.2" customHeight="1" x14ac:dyDescent="0.15">
      <c r="A181" s="1" t="s">
        <v>525</v>
      </c>
      <c r="B181" s="2" t="s">
        <v>330</v>
      </c>
      <c r="C181" s="6">
        <v>7</v>
      </c>
      <c r="D181" s="2" t="s">
        <v>430</v>
      </c>
      <c r="E181" s="6">
        <v>5221</v>
      </c>
      <c r="F181" s="18">
        <v>85415.01</v>
      </c>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85415.01</v>
      </c>
      <c r="G184" s="41">
        <f>SUM(G180:G183)</f>
        <v>119231.76</v>
      </c>
      <c r="H184" s="41">
        <f>SUM(H180:H183)</f>
        <v>0</v>
      </c>
      <c r="I184" s="41">
        <f>SUM(I180:I183)</f>
        <v>0</v>
      </c>
      <c r="J184" s="41">
        <f>SUM(J180:J183)</f>
        <v>1268755.6499999999</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273048</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273048</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358463.01</v>
      </c>
      <c r="G193" s="41">
        <f>G184+SUM(G189:G192)</f>
        <v>119231.76</v>
      </c>
      <c r="H193" s="41">
        <f>+H184+SUM(H189:H192)</f>
        <v>0</v>
      </c>
      <c r="I193" s="41">
        <f>I178+I184+SUM(I189:I192)</f>
        <v>0</v>
      </c>
      <c r="J193" s="41">
        <f>J184</f>
        <v>1268755.6499999999</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21871341.690000005</v>
      </c>
      <c r="G194" s="47">
        <f>G112+G140+G170+G193</f>
        <v>498776.47000000003</v>
      </c>
      <c r="H194" s="47">
        <f>H112+H140+H170+H193</f>
        <v>2655109.0699999998</v>
      </c>
      <c r="I194" s="47">
        <f>I112+I140+I170+I193</f>
        <v>0</v>
      </c>
      <c r="J194" s="47">
        <f>J112+J140+J193</f>
        <v>1280371.26</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3046347.61</v>
      </c>
      <c r="G198" s="18">
        <v>1691860.92</v>
      </c>
      <c r="H198" s="18">
        <f>70807.71+37.57</f>
        <v>70845.280000000013</v>
      </c>
      <c r="I198" s="18">
        <f>57821.82+519.98</f>
        <v>58341.8</v>
      </c>
      <c r="J198" s="18">
        <v>16693.27</v>
      </c>
      <c r="K198" s="18">
        <f>70908.71+79</f>
        <v>70987.710000000006</v>
      </c>
      <c r="L198" s="19">
        <f>SUM(F198:K198)</f>
        <v>4955076.5899999989</v>
      </c>
      <c r="M198" s="8"/>
      <c r="N198" s="264"/>
    </row>
    <row r="199" spans="1:14" s="3" customFormat="1" ht="12.2" customHeight="1" x14ac:dyDescent="0.15">
      <c r="A199" s="1" t="s">
        <v>439</v>
      </c>
      <c r="B199" s="2" t="s">
        <v>341</v>
      </c>
      <c r="C199" s="2" t="s">
        <v>291</v>
      </c>
      <c r="D199" s="2" t="s">
        <v>431</v>
      </c>
      <c r="E199" s="6">
        <v>1200</v>
      </c>
      <c r="F199" s="18">
        <v>1008433.05</v>
      </c>
      <c r="G199" s="18">
        <v>614387.36</v>
      </c>
      <c r="H199" s="18">
        <v>286038.21999999997</v>
      </c>
      <c r="I199" s="18">
        <v>575.89</v>
      </c>
      <c r="J199" s="18">
        <v>139.99</v>
      </c>
      <c r="K199" s="18"/>
      <c r="L199" s="19">
        <f>SUM(F199:K199)</f>
        <v>1909574.51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70633.88</v>
      </c>
      <c r="G201" s="18">
        <v>15639.35</v>
      </c>
      <c r="H201" s="18">
        <v>11402.01</v>
      </c>
      <c r="I201" s="18">
        <v>2731.64</v>
      </c>
      <c r="J201" s="18">
        <v>1295.6600000000001</v>
      </c>
      <c r="K201" s="18">
        <v>5102.01</v>
      </c>
      <c r="L201" s="19">
        <f>SUM(F201:K201)</f>
        <v>106804.55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811714.83</v>
      </c>
      <c r="G203" s="18">
        <v>441741.98</v>
      </c>
      <c r="H203" s="18">
        <v>10176.719999999999</v>
      </c>
      <c r="I203" s="18">
        <v>7605.65</v>
      </c>
      <c r="J203" s="18">
        <v>209</v>
      </c>
      <c r="K203" s="18">
        <v>308</v>
      </c>
      <c r="L203" s="19">
        <f t="shared" ref="L203:L209" si="0">SUM(F203:K203)</f>
        <v>1271756.18</v>
      </c>
      <c r="M203" s="8"/>
      <c r="N203" s="264"/>
    </row>
    <row r="204" spans="1:14" s="3" customFormat="1" ht="12.2" customHeight="1" x14ac:dyDescent="0.15">
      <c r="A204" s="1" t="s">
        <v>443</v>
      </c>
      <c r="B204" s="2" t="s">
        <v>341</v>
      </c>
      <c r="C204" s="2" t="s">
        <v>295</v>
      </c>
      <c r="D204" s="2" t="s">
        <v>431</v>
      </c>
      <c r="E204" s="6">
        <v>2200</v>
      </c>
      <c r="F204" s="18">
        <v>128078.22</v>
      </c>
      <c r="G204" s="18">
        <f>97395.18+2000</f>
        <v>99395.18</v>
      </c>
      <c r="H204" s="18">
        <v>23895.27</v>
      </c>
      <c r="I204" s="18">
        <v>22688.83</v>
      </c>
      <c r="J204" s="18">
        <v>3468.02</v>
      </c>
      <c r="K204" s="18">
        <v>1680</v>
      </c>
      <c r="L204" s="19">
        <f t="shared" si="0"/>
        <v>279205.52</v>
      </c>
      <c r="M204" s="8"/>
      <c r="N204" s="264"/>
    </row>
    <row r="205" spans="1:14" s="3" customFormat="1" ht="12.2" customHeight="1" x14ac:dyDescent="0.15">
      <c r="A205" s="1" t="s">
        <v>444</v>
      </c>
      <c r="B205" s="2" t="s">
        <v>341</v>
      </c>
      <c r="C205" s="2" t="s">
        <v>296</v>
      </c>
      <c r="D205" s="2" t="s">
        <v>431</v>
      </c>
      <c r="E205" s="6">
        <v>2300</v>
      </c>
      <c r="F205" s="18">
        <v>329069.5</v>
      </c>
      <c r="G205" s="18">
        <v>140066.85</v>
      </c>
      <c r="H205" s="18">
        <f>90011.76+2641.99</f>
        <v>92653.75</v>
      </c>
      <c r="I205" s="18">
        <f>4617.14+75.51</f>
        <v>4692.6500000000005</v>
      </c>
      <c r="J205" s="18">
        <v>1013.91</v>
      </c>
      <c r="K205" s="18">
        <f>31342.43+76.67</f>
        <v>31419.1</v>
      </c>
      <c r="L205" s="19">
        <f t="shared" si="0"/>
        <v>598915.76</v>
      </c>
      <c r="M205" s="8"/>
      <c r="N205" s="264"/>
    </row>
    <row r="206" spans="1:14" s="3" customFormat="1" ht="12.2" customHeight="1" x14ac:dyDescent="0.15">
      <c r="A206" s="1" t="s">
        <v>445</v>
      </c>
      <c r="B206" s="2" t="s">
        <v>341</v>
      </c>
      <c r="C206" s="2" t="s">
        <v>297</v>
      </c>
      <c r="D206" s="2" t="s">
        <v>431</v>
      </c>
      <c r="E206" s="6">
        <v>2400</v>
      </c>
      <c r="F206" s="18">
        <v>470426.95</v>
      </c>
      <c r="G206" s="18">
        <v>268925.18</v>
      </c>
      <c r="H206" s="18">
        <v>30549.57</v>
      </c>
      <c r="I206" s="18">
        <v>6560.78</v>
      </c>
      <c r="J206" s="18">
        <v>5149.8999999999996</v>
      </c>
      <c r="K206" s="18">
        <f>11090.91+2002.21</f>
        <v>13093.119999999999</v>
      </c>
      <c r="L206" s="19">
        <f t="shared" si="0"/>
        <v>794705.5</v>
      </c>
      <c r="M206" s="8"/>
      <c r="N206" s="264"/>
    </row>
    <row r="207" spans="1:14" s="3" customFormat="1" ht="12.2" customHeight="1" x14ac:dyDescent="0.15">
      <c r="A207" s="1" t="s">
        <v>446</v>
      </c>
      <c r="B207" s="2" t="s">
        <v>341</v>
      </c>
      <c r="C207" s="2" t="s">
        <v>298</v>
      </c>
      <c r="D207" s="2" t="s">
        <v>431</v>
      </c>
      <c r="E207" s="6">
        <v>2500</v>
      </c>
      <c r="F207" s="18">
        <v>182552.88</v>
      </c>
      <c r="G207" s="18">
        <v>76811.13</v>
      </c>
      <c r="H207" s="18">
        <v>2967.17</v>
      </c>
      <c r="I207" s="18"/>
      <c r="J207" s="18"/>
      <c r="K207" s="18">
        <v>1548.94</v>
      </c>
      <c r="L207" s="19">
        <f t="shared" si="0"/>
        <v>263880.12</v>
      </c>
      <c r="M207" s="8"/>
      <c r="N207" s="264"/>
    </row>
    <row r="208" spans="1:14" s="3" customFormat="1" ht="12.2" customHeight="1" x14ac:dyDescent="0.15">
      <c r="A208" s="1" t="s">
        <v>447</v>
      </c>
      <c r="B208" s="2" t="s">
        <v>341</v>
      </c>
      <c r="C208" s="2" t="s">
        <v>299</v>
      </c>
      <c r="D208" s="2" t="s">
        <v>431</v>
      </c>
      <c r="E208" s="6">
        <v>2600</v>
      </c>
      <c r="F208" s="18">
        <v>425212.97</v>
      </c>
      <c r="G208" s="18">
        <v>267668.49</v>
      </c>
      <c r="H208" s="18">
        <f>415596.14+74710</f>
        <v>490306.14</v>
      </c>
      <c r="I208" s="18">
        <f>205743.22+219.09</f>
        <v>205962.31</v>
      </c>
      <c r="J208" s="18">
        <v>5561.9</v>
      </c>
      <c r="K208" s="18">
        <v>600</v>
      </c>
      <c r="L208" s="19">
        <f t="shared" si="0"/>
        <v>1395311.81</v>
      </c>
      <c r="M208" s="8"/>
      <c r="N208" s="264"/>
    </row>
    <row r="209" spans="1:14" s="3" customFormat="1" ht="12.2" customHeight="1" x14ac:dyDescent="0.15">
      <c r="A209" s="1" t="s">
        <v>448</v>
      </c>
      <c r="B209" s="2" t="s">
        <v>341</v>
      </c>
      <c r="C209" s="2" t="s">
        <v>300</v>
      </c>
      <c r="D209" s="2" t="s">
        <v>431</v>
      </c>
      <c r="E209" s="6">
        <v>2700</v>
      </c>
      <c r="F209" s="18">
        <v>26311.72</v>
      </c>
      <c r="G209" s="18">
        <v>6119.73</v>
      </c>
      <c r="H209" s="18">
        <v>624022.56999999995</v>
      </c>
      <c r="I209" s="18">
        <v>833.25</v>
      </c>
      <c r="J209" s="18"/>
      <c r="K209" s="18"/>
      <c r="L209" s="19">
        <f t="shared" si="0"/>
        <v>657287.2699999999</v>
      </c>
      <c r="M209" s="8"/>
      <c r="N209" s="264"/>
    </row>
    <row r="210" spans="1:14" s="3" customFormat="1" ht="12.2" customHeight="1" x14ac:dyDescent="0.15">
      <c r="A210" s="1" t="s">
        <v>449</v>
      </c>
      <c r="B210" s="2" t="s">
        <v>341</v>
      </c>
      <c r="C210" s="2" t="s">
        <v>343</v>
      </c>
      <c r="D210" s="2" t="s">
        <v>431</v>
      </c>
      <c r="E210" s="6">
        <v>2800</v>
      </c>
      <c r="F210" s="18">
        <v>32440.3</v>
      </c>
      <c r="G210" s="18">
        <v>10106.450000000001</v>
      </c>
      <c r="H210" s="18"/>
      <c r="I210" s="18"/>
      <c r="J210" s="18"/>
      <c r="K210" s="18">
        <v>12356.36</v>
      </c>
      <c r="L210" s="19">
        <f>SUM(F210:K210)</f>
        <v>54903.11</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6531221.9099999992</v>
      </c>
      <c r="G212" s="41">
        <f t="shared" si="1"/>
        <v>3632722.6200000006</v>
      </c>
      <c r="H212" s="41">
        <f t="shared" si="1"/>
        <v>1642856.7</v>
      </c>
      <c r="I212" s="41">
        <f t="shared" si="1"/>
        <v>309992.8</v>
      </c>
      <c r="J212" s="41">
        <f t="shared" si="1"/>
        <v>33531.65</v>
      </c>
      <c r="K212" s="41">
        <f t="shared" si="1"/>
        <v>137095.24</v>
      </c>
      <c r="L212" s="41">
        <f t="shared" si="1"/>
        <v>12287420.919999996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1308002.43</v>
      </c>
      <c r="G234" s="18">
        <v>684509.63</v>
      </c>
      <c r="H234" s="18">
        <f>70017.47+128.52</f>
        <v>70145.990000000005</v>
      </c>
      <c r="I234" s="18">
        <f>33639.67+320.83</f>
        <v>33960.5</v>
      </c>
      <c r="J234" s="18">
        <v>19446.61</v>
      </c>
      <c r="K234" s="18">
        <v>38273.800000000003</v>
      </c>
      <c r="L234" s="19">
        <f>SUM(F234:K234)</f>
        <v>2154338.96</v>
      </c>
      <c r="M234" s="8"/>
      <c r="N234" s="264"/>
    </row>
    <row r="235" spans="1:14" s="3" customFormat="1" ht="12.2" customHeight="1" x14ac:dyDescent="0.15">
      <c r="A235" s="1" t="s">
        <v>439</v>
      </c>
      <c r="B235" s="2" t="s">
        <v>350</v>
      </c>
      <c r="C235" s="2" t="s">
        <v>291</v>
      </c>
      <c r="D235" s="2" t="s">
        <v>431</v>
      </c>
      <c r="E235" s="6">
        <v>1200</v>
      </c>
      <c r="F235" s="18">
        <v>363385.19</v>
      </c>
      <c r="G235" s="18">
        <v>229234.29</v>
      </c>
      <c r="H235" s="18">
        <f>529736.49+7077.74</f>
        <v>536814.23</v>
      </c>
      <c r="I235" s="18">
        <v>1016.72</v>
      </c>
      <c r="J235" s="18">
        <v>176.97</v>
      </c>
      <c r="K235" s="18"/>
      <c r="L235" s="19">
        <f>SUM(F235:K235)</f>
        <v>1130627.3999999999</v>
      </c>
      <c r="M235" s="8"/>
      <c r="N235" s="264"/>
    </row>
    <row r="236" spans="1:14" s="3" customFormat="1" ht="12.2" customHeight="1" x14ac:dyDescent="0.15">
      <c r="A236" s="1" t="s">
        <v>440</v>
      </c>
      <c r="B236" s="2" t="s">
        <v>350</v>
      </c>
      <c r="C236" s="2" t="s">
        <v>292</v>
      </c>
      <c r="D236" s="2" t="s">
        <v>431</v>
      </c>
      <c r="E236" s="6">
        <v>1300</v>
      </c>
      <c r="F236" s="18">
        <v>363248.91</v>
      </c>
      <c r="G236" s="18">
        <v>150050.07999999999</v>
      </c>
      <c r="H236" s="18">
        <v>119.08</v>
      </c>
      <c r="I236" s="18">
        <v>27268.58</v>
      </c>
      <c r="J236" s="18">
        <v>241.76</v>
      </c>
      <c r="K236" s="18">
        <v>1630</v>
      </c>
      <c r="L236" s="19">
        <f>SUM(F236:K236)</f>
        <v>542558.41</v>
      </c>
      <c r="M236" s="8"/>
      <c r="N236" s="264"/>
    </row>
    <row r="237" spans="1:14" s="3" customFormat="1" ht="12.2" customHeight="1" x14ac:dyDescent="0.15">
      <c r="A237" s="1" t="s">
        <v>441</v>
      </c>
      <c r="B237" s="2" t="s">
        <v>350</v>
      </c>
      <c r="C237" s="2" t="s">
        <v>293</v>
      </c>
      <c r="D237" s="2" t="s">
        <v>431</v>
      </c>
      <c r="E237" s="6">
        <v>1400</v>
      </c>
      <c r="F237" s="18">
        <v>225713.37</v>
      </c>
      <c r="G237" s="18">
        <v>94079.65</v>
      </c>
      <c r="H237" s="18">
        <v>23159.39</v>
      </c>
      <c r="I237" s="18">
        <f>23345.57+125.94</f>
        <v>23471.51</v>
      </c>
      <c r="J237" s="18">
        <v>5866.71</v>
      </c>
      <c r="K237" s="18">
        <v>14193.72</v>
      </c>
      <c r="L237" s="19">
        <f>SUM(F237:K237)</f>
        <v>386484.35000000003</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332675.12</v>
      </c>
      <c r="G239" s="18">
        <v>167466.03</v>
      </c>
      <c r="H239" s="18">
        <f>8431.56+349</f>
        <v>8780.56</v>
      </c>
      <c r="I239" s="18">
        <v>1524.8</v>
      </c>
      <c r="J239" s="18"/>
      <c r="K239" s="18"/>
      <c r="L239" s="19">
        <f t="shared" ref="L239:L245" si="4">SUM(F239:K239)</f>
        <v>510446.51</v>
      </c>
      <c r="M239" s="8"/>
      <c r="N239" s="264"/>
    </row>
    <row r="240" spans="1:14" s="3" customFormat="1" ht="12.2" customHeight="1" x14ac:dyDescent="0.15">
      <c r="A240" s="1" t="s">
        <v>443</v>
      </c>
      <c r="B240" s="2" t="s">
        <v>350</v>
      </c>
      <c r="C240" s="2" t="s">
        <v>295</v>
      </c>
      <c r="D240" s="2" t="s">
        <v>431</v>
      </c>
      <c r="E240" s="6">
        <v>2200</v>
      </c>
      <c r="F240" s="18">
        <v>84705.21</v>
      </c>
      <c r="G240" s="18">
        <f>67381.17+1881</f>
        <v>69262.17</v>
      </c>
      <c r="H240" s="18">
        <v>10261.39</v>
      </c>
      <c r="I240" s="18">
        <v>9667.17</v>
      </c>
      <c r="J240" s="18"/>
      <c r="K240" s="18">
        <v>6720</v>
      </c>
      <c r="L240" s="19">
        <f t="shared" si="4"/>
        <v>180615.94000000003</v>
      </c>
      <c r="M240" s="8"/>
      <c r="N240" s="264"/>
    </row>
    <row r="241" spans="1:14" s="3" customFormat="1" ht="12.2" customHeight="1" x14ac:dyDescent="0.15">
      <c r="A241" s="1" t="s">
        <v>444</v>
      </c>
      <c r="B241" s="2" t="s">
        <v>350</v>
      </c>
      <c r="C241" s="2" t="s">
        <v>296</v>
      </c>
      <c r="D241" s="2" t="s">
        <v>431</v>
      </c>
      <c r="E241" s="6">
        <v>2300</v>
      </c>
      <c r="F241" s="18">
        <v>298684.13</v>
      </c>
      <c r="G241" s="18">
        <v>139666.42000000001</v>
      </c>
      <c r="H241" s="18">
        <f>76718.53+1320.99</f>
        <v>78039.520000000004</v>
      </c>
      <c r="I241" s="18">
        <f>2708.35+37.76</f>
        <v>2746.11</v>
      </c>
      <c r="J241" s="18">
        <v>506.95</v>
      </c>
      <c r="K241" s="18">
        <f>15671.22+38.33</f>
        <v>15709.55</v>
      </c>
      <c r="L241" s="19">
        <f t="shared" si="4"/>
        <v>535352.68000000005</v>
      </c>
      <c r="M241" s="8"/>
      <c r="N241" s="264"/>
    </row>
    <row r="242" spans="1:14" s="3" customFormat="1" ht="12.2" customHeight="1" x14ac:dyDescent="0.15">
      <c r="A242" s="1" t="s">
        <v>445</v>
      </c>
      <c r="B242" s="2" t="s">
        <v>350</v>
      </c>
      <c r="C242" s="2" t="s">
        <v>297</v>
      </c>
      <c r="D242" s="2" t="s">
        <v>431</v>
      </c>
      <c r="E242" s="6">
        <v>2400</v>
      </c>
      <c r="F242" s="18">
        <v>241294.98</v>
      </c>
      <c r="G242" s="18">
        <v>154042.79</v>
      </c>
      <c r="H242" s="18">
        <f>28469.43+111.02</f>
        <v>28580.45</v>
      </c>
      <c r="I242" s="18">
        <f>8181.16+51.99</f>
        <v>8233.15</v>
      </c>
      <c r="J242" s="18">
        <v>12113.64</v>
      </c>
      <c r="K242" s="18">
        <v>30850.52</v>
      </c>
      <c r="L242" s="19">
        <f t="shared" si="4"/>
        <v>475115.53000000009</v>
      </c>
      <c r="M242" s="8"/>
      <c r="N242" s="264"/>
    </row>
    <row r="243" spans="1:14" s="3" customFormat="1" ht="12.2" customHeight="1" x14ac:dyDescent="0.15">
      <c r="A243" s="1" t="s">
        <v>446</v>
      </c>
      <c r="B243" s="2" t="s">
        <v>350</v>
      </c>
      <c r="C243" s="2" t="s">
        <v>298</v>
      </c>
      <c r="D243" s="2" t="s">
        <v>431</v>
      </c>
      <c r="E243" s="6">
        <v>2500</v>
      </c>
      <c r="F243" s="18">
        <v>91276.44</v>
      </c>
      <c r="G243" s="18">
        <v>38405.550000000003</v>
      </c>
      <c r="H243" s="18">
        <v>1483.57</v>
      </c>
      <c r="I243" s="18"/>
      <c r="J243" s="18"/>
      <c r="K243" s="18">
        <v>774.47</v>
      </c>
      <c r="L243" s="19">
        <f t="shared" si="4"/>
        <v>131940.03</v>
      </c>
      <c r="M243" s="8"/>
      <c r="N243" s="264"/>
    </row>
    <row r="244" spans="1:14" s="3" customFormat="1" ht="12.2" customHeight="1" x14ac:dyDescent="0.15">
      <c r="A244" s="1" t="s">
        <v>447</v>
      </c>
      <c r="B244" s="2" t="s">
        <v>350</v>
      </c>
      <c r="C244" s="2" t="s">
        <v>299</v>
      </c>
      <c r="D244" s="2" t="s">
        <v>431</v>
      </c>
      <c r="E244" s="6">
        <v>2600</v>
      </c>
      <c r="F244" s="18">
        <v>274823.06</v>
      </c>
      <c r="G244" s="18">
        <v>110929.99</v>
      </c>
      <c r="H244" s="18">
        <f>319191.15+57.52+198338</f>
        <v>517586.67000000004</v>
      </c>
      <c r="I244" s="18">
        <f>228027.81+38.29</f>
        <v>228066.1</v>
      </c>
      <c r="J244" s="18">
        <v>472.45</v>
      </c>
      <c r="K244" s="18">
        <v>300</v>
      </c>
      <c r="L244" s="19">
        <f t="shared" si="4"/>
        <v>1132178.27</v>
      </c>
      <c r="M244" s="8"/>
      <c r="N244" s="264"/>
    </row>
    <row r="245" spans="1:14" s="3" customFormat="1" ht="12.2" customHeight="1" x14ac:dyDescent="0.15">
      <c r="A245" s="1" t="s">
        <v>448</v>
      </c>
      <c r="B245" s="2" t="s">
        <v>350</v>
      </c>
      <c r="C245" s="2" t="s">
        <v>300</v>
      </c>
      <c r="D245" s="2" t="s">
        <v>431</v>
      </c>
      <c r="E245" s="6">
        <v>2700</v>
      </c>
      <c r="F245" s="18">
        <v>13687.14</v>
      </c>
      <c r="G245" s="18">
        <v>3103.4</v>
      </c>
      <c r="H245" s="18">
        <v>396870.25</v>
      </c>
      <c r="I245" s="18">
        <v>416.63</v>
      </c>
      <c r="J245" s="18"/>
      <c r="K245" s="18"/>
      <c r="L245" s="19">
        <f t="shared" si="4"/>
        <v>414077.42</v>
      </c>
      <c r="M245" s="8"/>
      <c r="N245" s="264"/>
    </row>
    <row r="246" spans="1:14" s="3" customFormat="1" ht="12.2" customHeight="1" x14ac:dyDescent="0.15">
      <c r="A246" s="1" t="s">
        <v>449</v>
      </c>
      <c r="B246" s="2" t="s">
        <v>350</v>
      </c>
      <c r="C246" s="2" t="s">
        <v>343</v>
      </c>
      <c r="D246" s="2" t="s">
        <v>431</v>
      </c>
      <c r="E246" s="6">
        <v>2800</v>
      </c>
      <c r="F246" s="18">
        <v>12620.15</v>
      </c>
      <c r="G246" s="18">
        <v>4118.8599999999997</v>
      </c>
      <c r="H246" s="18"/>
      <c r="I246" s="18"/>
      <c r="J246" s="18"/>
      <c r="K246" s="18">
        <v>6178.18</v>
      </c>
      <c r="L246" s="19">
        <f>SUM(F246:K246)</f>
        <v>22917.19</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3610116.13</v>
      </c>
      <c r="G248" s="41">
        <f t="shared" si="5"/>
        <v>1844868.8599999999</v>
      </c>
      <c r="H248" s="41">
        <f t="shared" si="5"/>
        <v>1671841.1</v>
      </c>
      <c r="I248" s="41">
        <f t="shared" si="5"/>
        <v>336371.27</v>
      </c>
      <c r="J248" s="41">
        <f t="shared" si="5"/>
        <v>38825.089999999997</v>
      </c>
      <c r="K248" s="41">
        <f t="shared" si="5"/>
        <v>114630.24000000002</v>
      </c>
      <c r="L248" s="41">
        <f t="shared" si="5"/>
        <v>7616652.6900000004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10141338.039999999</v>
      </c>
      <c r="G258" s="41">
        <f t="shared" si="8"/>
        <v>5477591.4800000004</v>
      </c>
      <c r="H258" s="41">
        <f t="shared" si="8"/>
        <v>3314697.8</v>
      </c>
      <c r="I258" s="41">
        <f t="shared" si="8"/>
        <v>646364.07000000007</v>
      </c>
      <c r="J258" s="41">
        <f t="shared" si="8"/>
        <v>72356.739999999991</v>
      </c>
      <c r="K258" s="41">
        <f t="shared" si="8"/>
        <v>251725.48</v>
      </c>
      <c r="L258" s="41">
        <f t="shared" si="8"/>
        <v>19904073.609999996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119231.76</v>
      </c>
      <c r="L264" s="19">
        <f>SUM(F264:K264)</f>
        <v>119231.76</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1268755.6499999999</v>
      </c>
      <c r="L267" s="19">
        <f t="shared" si="9"/>
        <v>1268755.6499999999</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42804.3</v>
      </c>
      <c r="L269" s="19">
        <f t="shared" si="9"/>
        <v>42804.3</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1430791.71</v>
      </c>
      <c r="L271" s="41">
        <f t="shared" si="9"/>
        <v>1430791.71</v>
      </c>
      <c r="M271" s="8"/>
      <c r="N271" s="264"/>
    </row>
    <row r="272" spans="1:14" s="34" customFormat="1" ht="12.2" customHeight="1" thickTop="1" x14ac:dyDescent="0.2">
      <c r="A272" s="43" t="s">
        <v>464</v>
      </c>
      <c r="B272" s="40">
        <v>10</v>
      </c>
      <c r="C272" s="40">
        <v>18</v>
      </c>
      <c r="D272" s="39" t="s">
        <v>431</v>
      </c>
      <c r="E272" s="40"/>
      <c r="F272" s="42">
        <f t="shared" ref="F272:L272" si="11">F258+F271</f>
        <v>10141338.039999999</v>
      </c>
      <c r="G272" s="42">
        <f t="shared" si="11"/>
        <v>5477591.4800000004</v>
      </c>
      <c r="H272" s="42">
        <f t="shared" si="11"/>
        <v>3314697.8</v>
      </c>
      <c r="I272" s="42">
        <f t="shared" si="11"/>
        <v>646364.07000000007</v>
      </c>
      <c r="J272" s="42">
        <f t="shared" si="11"/>
        <v>72356.739999999991</v>
      </c>
      <c r="K272" s="42">
        <f t="shared" si="11"/>
        <v>1682517.19</v>
      </c>
      <c r="L272" s="42">
        <f t="shared" si="11"/>
        <v>21334865.319999997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211872.85</v>
      </c>
      <c r="G277" s="18">
        <f>73113.47+1.52-14.98-34.86</f>
        <v>73065.150000000009</v>
      </c>
      <c r="H277" s="18"/>
      <c r="I277" s="18">
        <v>396449.07</v>
      </c>
      <c r="J277" s="18">
        <v>67650.25</v>
      </c>
      <c r="K277" s="18">
        <v>946</v>
      </c>
      <c r="L277" s="19">
        <f>SUM(F277:K277)</f>
        <v>749983.32000000007</v>
      </c>
      <c r="M277" s="8"/>
      <c r="N277" s="264"/>
    </row>
    <row r="278" spans="1:14" s="3" customFormat="1" ht="12.2" customHeight="1" x14ac:dyDescent="0.15">
      <c r="A278" s="1" t="s">
        <v>439</v>
      </c>
      <c r="B278" s="2" t="s">
        <v>357</v>
      </c>
      <c r="C278" s="2" t="s">
        <v>291</v>
      </c>
      <c r="D278" s="2" t="s">
        <v>431</v>
      </c>
      <c r="E278" s="6">
        <v>1200</v>
      </c>
      <c r="F278" s="18">
        <v>344</v>
      </c>
      <c r="G278" s="18">
        <v>64.75</v>
      </c>
      <c r="H278" s="18">
        <v>12144</v>
      </c>
      <c r="I278" s="18">
        <v>143838</v>
      </c>
      <c r="J278" s="18">
        <v>256047.15</v>
      </c>
      <c r="K278" s="18">
        <v>3300.3</v>
      </c>
      <c r="L278" s="19">
        <f>SUM(F278:K278)</f>
        <v>415738.2</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3400</v>
      </c>
      <c r="G280" s="18">
        <v>966.38</v>
      </c>
      <c r="H280" s="18">
        <v>2400</v>
      </c>
      <c r="I280" s="18">
        <v>811.96</v>
      </c>
      <c r="J280" s="18"/>
      <c r="K280" s="18"/>
      <c r="L280" s="19">
        <f>SUM(F280:K280)</f>
        <v>7578.34</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104353.06</v>
      </c>
      <c r="G282" s="18">
        <v>48443.26</v>
      </c>
      <c r="H282" s="18">
        <v>113069.75</v>
      </c>
      <c r="I282" s="18">
        <v>53330.19</v>
      </c>
      <c r="J282" s="18"/>
      <c r="K282" s="18"/>
      <c r="L282" s="19">
        <f t="shared" ref="L282:L288" si="12">SUM(F282:K282)</f>
        <v>319196.26</v>
      </c>
      <c r="M282" s="8"/>
      <c r="N282" s="264"/>
    </row>
    <row r="283" spans="1:14" s="3" customFormat="1" ht="12.2" customHeight="1" x14ac:dyDescent="0.15">
      <c r="A283" s="1" t="s">
        <v>443</v>
      </c>
      <c r="B283" s="2" t="s">
        <v>357</v>
      </c>
      <c r="C283" s="2" t="s">
        <v>295</v>
      </c>
      <c r="D283" s="2" t="s">
        <v>431</v>
      </c>
      <c r="E283" s="6">
        <v>2200</v>
      </c>
      <c r="F283" s="18">
        <v>27400</v>
      </c>
      <c r="G283" s="18">
        <v>6753.42</v>
      </c>
      <c r="H283" s="18">
        <v>58657.25</v>
      </c>
      <c r="I283" s="18">
        <v>29446.99</v>
      </c>
      <c r="J283" s="18"/>
      <c r="K283" s="18">
        <v>752</v>
      </c>
      <c r="L283" s="19">
        <f t="shared" si="12"/>
        <v>123009.66</v>
      </c>
      <c r="M283" s="8"/>
      <c r="N283" s="264"/>
    </row>
    <row r="284" spans="1:14" s="3" customFormat="1" ht="12.2" customHeight="1" x14ac:dyDescent="0.15">
      <c r="A284" s="1" t="s">
        <v>444</v>
      </c>
      <c r="B284" s="2" t="s">
        <v>357</v>
      </c>
      <c r="C284" s="2" t="s">
        <v>296</v>
      </c>
      <c r="D284" s="2" t="s">
        <v>431</v>
      </c>
      <c r="E284" s="6">
        <v>2300</v>
      </c>
      <c r="F284" s="18">
        <v>35631.32</v>
      </c>
      <c r="G284" s="18">
        <v>7660.03</v>
      </c>
      <c r="H284" s="18">
        <v>140</v>
      </c>
      <c r="I284" s="18">
        <v>6110.96</v>
      </c>
      <c r="J284" s="18"/>
      <c r="K284" s="18"/>
      <c r="L284" s="19">
        <f t="shared" si="12"/>
        <v>49542.31</v>
      </c>
      <c r="M284" s="8"/>
      <c r="N284" s="264"/>
    </row>
    <row r="285" spans="1:14" s="3" customFormat="1" ht="12.2" customHeight="1" x14ac:dyDescent="0.15">
      <c r="A285" s="1" t="s">
        <v>445</v>
      </c>
      <c r="B285" s="2" t="s">
        <v>357</v>
      </c>
      <c r="C285" s="2" t="s">
        <v>297</v>
      </c>
      <c r="D285" s="2" t="s">
        <v>431</v>
      </c>
      <c r="E285" s="6">
        <v>2400</v>
      </c>
      <c r="F285" s="18">
        <v>2347.63</v>
      </c>
      <c r="G285" s="18">
        <v>179.58</v>
      </c>
      <c r="H285" s="18">
        <v>416.67</v>
      </c>
      <c r="I285" s="18"/>
      <c r="J285" s="18"/>
      <c r="K285" s="18"/>
      <c r="L285" s="19">
        <f t="shared" si="12"/>
        <v>2943.88</v>
      </c>
      <c r="M285" s="8"/>
      <c r="N285" s="264"/>
    </row>
    <row r="286" spans="1:14" s="3" customFormat="1" ht="12.2" customHeight="1" x14ac:dyDescent="0.15">
      <c r="A286" s="1" t="s">
        <v>446</v>
      </c>
      <c r="B286" s="2" t="s">
        <v>357</v>
      </c>
      <c r="C286" s="2" t="s">
        <v>298</v>
      </c>
      <c r="D286" s="2" t="s">
        <v>431</v>
      </c>
      <c r="E286" s="6">
        <v>2500</v>
      </c>
      <c r="F286" s="18"/>
      <c r="G286" s="18"/>
      <c r="H286" s="18">
        <v>140</v>
      </c>
      <c r="I286" s="18">
        <v>32168.54</v>
      </c>
      <c r="J286" s="18"/>
      <c r="K286" s="18">
        <v>66</v>
      </c>
      <c r="L286" s="19">
        <f t="shared" si="12"/>
        <v>32374.54</v>
      </c>
      <c r="M286" s="8"/>
      <c r="N286" s="264"/>
    </row>
    <row r="287" spans="1:14" s="3" customFormat="1" ht="12.2" customHeight="1" x14ac:dyDescent="0.15">
      <c r="A287" s="1" t="s">
        <v>447</v>
      </c>
      <c r="B287" s="2" t="s">
        <v>357</v>
      </c>
      <c r="C287" s="2" t="s">
        <v>299</v>
      </c>
      <c r="D287" s="2" t="s">
        <v>431</v>
      </c>
      <c r="E287" s="6">
        <v>2600</v>
      </c>
      <c r="F287" s="18">
        <v>29003.9</v>
      </c>
      <c r="G287" s="18">
        <v>3370.11</v>
      </c>
      <c r="H287" s="18">
        <v>16645.59</v>
      </c>
      <c r="I287" s="18">
        <v>36508.699999999997</v>
      </c>
      <c r="J287" s="18">
        <v>53417.26</v>
      </c>
      <c r="K287" s="18">
        <v>7092.53</v>
      </c>
      <c r="L287" s="19">
        <f t="shared" si="12"/>
        <v>146038.09</v>
      </c>
      <c r="M287" s="8"/>
      <c r="N287" s="264"/>
    </row>
    <row r="288" spans="1:14" s="3" customFormat="1" ht="12.2" customHeight="1" x14ac:dyDescent="0.15">
      <c r="A288" s="1" t="s">
        <v>448</v>
      </c>
      <c r="B288" s="2" t="s">
        <v>357</v>
      </c>
      <c r="C288" s="2" t="s">
        <v>300</v>
      </c>
      <c r="D288" s="2" t="s">
        <v>431</v>
      </c>
      <c r="E288" s="6">
        <v>2700</v>
      </c>
      <c r="F288" s="18"/>
      <c r="G288" s="18"/>
      <c r="H288" s="18">
        <v>2923.96</v>
      </c>
      <c r="I288" s="18"/>
      <c r="J288" s="18"/>
      <c r="K288" s="18"/>
      <c r="L288" s="19">
        <f t="shared" si="12"/>
        <v>2923.96</v>
      </c>
      <c r="M288" s="8"/>
      <c r="N288" s="264"/>
    </row>
    <row r="289" spans="1:14" s="3" customFormat="1" ht="12.2" customHeight="1" x14ac:dyDescent="0.15">
      <c r="A289" s="1" t="s">
        <v>449</v>
      </c>
      <c r="B289" s="2" t="s">
        <v>357</v>
      </c>
      <c r="C289" s="2" t="s">
        <v>343</v>
      </c>
      <c r="D289" s="2" t="s">
        <v>431</v>
      </c>
      <c r="E289" s="6">
        <v>2800</v>
      </c>
      <c r="F289" s="18"/>
      <c r="G289" s="18"/>
      <c r="H289" s="18">
        <v>6600</v>
      </c>
      <c r="I289" s="18">
        <v>9866.67</v>
      </c>
      <c r="J289" s="18"/>
      <c r="K289" s="18"/>
      <c r="L289" s="19">
        <f>SUM(F289:K289)</f>
        <v>16466.669999999998</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414352.76000000007</v>
      </c>
      <c r="G291" s="42">
        <f t="shared" si="13"/>
        <v>140502.68</v>
      </c>
      <c r="H291" s="42">
        <f t="shared" si="13"/>
        <v>213137.22</v>
      </c>
      <c r="I291" s="42">
        <f t="shared" si="13"/>
        <v>708531.08</v>
      </c>
      <c r="J291" s="42">
        <f t="shared" si="13"/>
        <v>377114.66000000003</v>
      </c>
      <c r="K291" s="42">
        <f t="shared" si="13"/>
        <v>12156.83</v>
      </c>
      <c r="L291" s="41">
        <f t="shared" si="13"/>
        <v>1865795.23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76875.93+210-391.67</f>
        <v>76694.259999999995</v>
      </c>
      <c r="G315" s="18">
        <f>45775.52+3.05-29.96-69.72</f>
        <v>45678.89</v>
      </c>
      <c r="H315" s="18"/>
      <c r="I315" s="18">
        <v>9483.09</v>
      </c>
      <c r="J315" s="18">
        <v>33541.33</v>
      </c>
      <c r="K315" s="18">
        <v>913</v>
      </c>
      <c r="L315" s="19">
        <f>SUM(F315:K315)</f>
        <v>166310.57</v>
      </c>
      <c r="M315" s="8"/>
      <c r="N315" s="264"/>
    </row>
    <row r="316" spans="1:14" s="3" customFormat="1" ht="12.2" customHeight="1" x14ac:dyDescent="0.15">
      <c r="A316" s="1" t="s">
        <v>439</v>
      </c>
      <c r="B316" s="2" t="s">
        <v>359</v>
      </c>
      <c r="C316" s="2" t="s">
        <v>291</v>
      </c>
      <c r="D316" s="2" t="s">
        <v>431</v>
      </c>
      <c r="E316" s="6">
        <v>1200</v>
      </c>
      <c r="F316" s="18"/>
      <c r="G316" s="18"/>
      <c r="H316" s="18"/>
      <c r="I316" s="18">
        <v>71919</v>
      </c>
      <c r="J316" s="18"/>
      <c r="K316" s="18">
        <v>1650.15</v>
      </c>
      <c r="L316" s="19">
        <f>SUM(F316:K316)</f>
        <v>73569.149999999994</v>
      </c>
      <c r="M316" s="8"/>
      <c r="N316" s="264"/>
    </row>
    <row r="317" spans="1:14" s="3" customFormat="1" ht="12.2" customHeight="1" x14ac:dyDescent="0.15">
      <c r="A317" s="1" t="s">
        <v>440</v>
      </c>
      <c r="B317" s="2" t="s">
        <v>359</v>
      </c>
      <c r="C317" s="2" t="s">
        <v>292</v>
      </c>
      <c r="D317" s="2" t="s">
        <v>431</v>
      </c>
      <c r="E317" s="6">
        <v>1300</v>
      </c>
      <c r="F317" s="18">
        <v>1600</v>
      </c>
      <c r="G317" s="18"/>
      <c r="H317" s="18">
        <v>14000</v>
      </c>
      <c r="I317" s="18">
        <v>21270.57</v>
      </c>
      <c r="J317" s="18">
        <v>29491.759999999998</v>
      </c>
      <c r="K317" s="18">
        <v>659.86</v>
      </c>
      <c r="L317" s="19">
        <f>SUM(F317:K317)</f>
        <v>67022.19</v>
      </c>
      <c r="M317" s="8"/>
      <c r="N317" s="264"/>
    </row>
    <row r="318" spans="1:14" s="3" customFormat="1" ht="12.2" customHeight="1" x14ac:dyDescent="0.15">
      <c r="A318" s="1" t="s">
        <v>441</v>
      </c>
      <c r="B318" s="2" t="s">
        <v>359</v>
      </c>
      <c r="C318" s="2" t="s">
        <v>293</v>
      </c>
      <c r="D318" s="2" t="s">
        <v>431</v>
      </c>
      <c r="E318" s="6">
        <v>1400</v>
      </c>
      <c r="F318" s="18">
        <v>2085</v>
      </c>
      <c r="G318" s="18">
        <v>544.77</v>
      </c>
      <c r="H318" s="18"/>
      <c r="I318" s="18">
        <v>8974.27</v>
      </c>
      <c r="J318" s="18">
        <v>1646.7</v>
      </c>
      <c r="K318" s="18">
        <v>1000</v>
      </c>
      <c r="L318" s="19">
        <f>SUM(F318:K318)</f>
        <v>14250.740000000002</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76295.53</v>
      </c>
      <c r="G320" s="18">
        <v>28156</v>
      </c>
      <c r="H320" s="18">
        <v>9659.5</v>
      </c>
      <c r="I320" s="18">
        <v>17831.14</v>
      </c>
      <c r="J320" s="18"/>
      <c r="K320" s="18">
        <v>80</v>
      </c>
      <c r="L320" s="19">
        <f t="shared" ref="L320:L326" si="16">SUM(F320:K320)</f>
        <v>132022.16999999998</v>
      </c>
      <c r="M320" s="8"/>
      <c r="N320" s="264"/>
    </row>
    <row r="321" spans="1:14" s="3" customFormat="1" ht="12.2" customHeight="1" x14ac:dyDescent="0.15">
      <c r="A321" s="1" t="s">
        <v>443</v>
      </c>
      <c r="B321" s="2" t="s">
        <v>359</v>
      </c>
      <c r="C321" s="2" t="s">
        <v>295</v>
      </c>
      <c r="D321" s="2" t="s">
        <v>431</v>
      </c>
      <c r="E321" s="6">
        <v>2200</v>
      </c>
      <c r="F321" s="18">
        <v>32990</v>
      </c>
      <c r="G321" s="18">
        <v>7557.07</v>
      </c>
      <c r="H321" s="18">
        <v>34224.28</v>
      </c>
      <c r="I321" s="18">
        <v>16879.91</v>
      </c>
      <c r="J321" s="18"/>
      <c r="K321" s="18">
        <v>2613.7800000000002</v>
      </c>
      <c r="L321" s="19">
        <f t="shared" si="16"/>
        <v>94265.040000000008</v>
      </c>
      <c r="M321" s="8"/>
      <c r="N321" s="264"/>
    </row>
    <row r="322" spans="1:14" s="3" customFormat="1" ht="12.2" customHeight="1" x14ac:dyDescent="0.15">
      <c r="A322" s="1" t="s">
        <v>444</v>
      </c>
      <c r="B322" s="2" t="s">
        <v>359</v>
      </c>
      <c r="C322" s="2" t="s">
        <v>296</v>
      </c>
      <c r="D322" s="2" t="s">
        <v>431</v>
      </c>
      <c r="E322" s="6">
        <v>2300</v>
      </c>
      <c r="F322" s="18">
        <v>19169.68</v>
      </c>
      <c r="G322" s="18">
        <v>4209.92</v>
      </c>
      <c r="H322" s="18">
        <v>70</v>
      </c>
      <c r="I322" s="18">
        <v>3275.84</v>
      </c>
      <c r="J322" s="18"/>
      <c r="K322" s="18"/>
      <c r="L322" s="19">
        <f t="shared" si="16"/>
        <v>26725.439999999999</v>
      </c>
      <c r="M322" s="8"/>
      <c r="N322" s="264"/>
    </row>
    <row r="323" spans="1:14" s="3" customFormat="1" ht="12.2" customHeight="1" x14ac:dyDescent="0.15">
      <c r="A323" s="1" t="s">
        <v>445</v>
      </c>
      <c r="B323" s="2" t="s">
        <v>359</v>
      </c>
      <c r="C323" s="2" t="s">
        <v>297</v>
      </c>
      <c r="D323" s="2" t="s">
        <v>431</v>
      </c>
      <c r="E323" s="6">
        <v>2400</v>
      </c>
      <c r="F323" s="18">
        <v>8814.85</v>
      </c>
      <c r="G323" s="18">
        <v>674.38</v>
      </c>
      <c r="H323" s="18">
        <v>5523.33</v>
      </c>
      <c r="I323" s="18"/>
      <c r="J323" s="18"/>
      <c r="K323" s="18"/>
      <c r="L323" s="19">
        <f t="shared" si="16"/>
        <v>15012.56</v>
      </c>
      <c r="M323" s="8"/>
      <c r="N323" s="264"/>
    </row>
    <row r="324" spans="1:14" s="3" customFormat="1" ht="12.2" customHeight="1" x14ac:dyDescent="0.15">
      <c r="A324" s="1" t="s">
        <v>446</v>
      </c>
      <c r="B324" s="2" t="s">
        <v>359</v>
      </c>
      <c r="C324" s="2" t="s">
        <v>298</v>
      </c>
      <c r="D324" s="2" t="s">
        <v>431</v>
      </c>
      <c r="E324" s="6">
        <v>2500</v>
      </c>
      <c r="F324" s="18"/>
      <c r="G324" s="18"/>
      <c r="H324" s="18">
        <v>70</v>
      </c>
      <c r="I324" s="18">
        <v>8255.4500000000007</v>
      </c>
      <c r="J324" s="18"/>
      <c r="K324" s="18">
        <v>33</v>
      </c>
      <c r="L324" s="19">
        <f t="shared" si="16"/>
        <v>8358.4500000000007</v>
      </c>
      <c r="M324" s="8"/>
      <c r="N324" s="264"/>
    </row>
    <row r="325" spans="1:14" s="3" customFormat="1" ht="12.2" customHeight="1" x14ac:dyDescent="0.15">
      <c r="A325" s="1" t="s">
        <v>447</v>
      </c>
      <c r="B325" s="2" t="s">
        <v>359</v>
      </c>
      <c r="C325" s="2" t="s">
        <v>299</v>
      </c>
      <c r="D325" s="2" t="s">
        <v>431</v>
      </c>
      <c r="E325" s="6">
        <v>2600</v>
      </c>
      <c r="F325" s="18">
        <v>14994.98</v>
      </c>
      <c r="G325" s="18">
        <v>1722.81</v>
      </c>
      <c r="H325" s="18">
        <v>1238.75</v>
      </c>
      <c r="I325" s="18">
        <v>23414.92</v>
      </c>
      <c r="J325" s="18">
        <v>26353.26</v>
      </c>
      <c r="K325" s="18">
        <v>3546.27</v>
      </c>
      <c r="L325" s="19">
        <f t="shared" si="16"/>
        <v>71270.990000000005</v>
      </c>
      <c r="M325" s="8"/>
      <c r="N325" s="264"/>
    </row>
    <row r="326" spans="1:14" s="3" customFormat="1" ht="12.2" customHeight="1" x14ac:dyDescent="0.15">
      <c r="A326" s="1" t="s">
        <v>448</v>
      </c>
      <c r="B326" s="2" t="s">
        <v>359</v>
      </c>
      <c r="C326" s="2" t="s">
        <v>300</v>
      </c>
      <c r="D326" s="2" t="s">
        <v>431</v>
      </c>
      <c r="E326" s="6">
        <v>2700</v>
      </c>
      <c r="F326" s="18"/>
      <c r="G326" s="18"/>
      <c r="H326" s="18">
        <v>10214.44</v>
      </c>
      <c r="I326" s="18"/>
      <c r="J326" s="18"/>
      <c r="K326" s="18"/>
      <c r="L326" s="19">
        <f t="shared" si="16"/>
        <v>10214.44</v>
      </c>
      <c r="M326" s="8"/>
      <c r="N326" s="264"/>
    </row>
    <row r="327" spans="1:14" s="3" customFormat="1" ht="12.2" customHeight="1" x14ac:dyDescent="0.15">
      <c r="A327" s="1" t="s">
        <v>449</v>
      </c>
      <c r="B327" s="2" t="s">
        <v>359</v>
      </c>
      <c r="C327" s="2" t="s">
        <v>343</v>
      </c>
      <c r="D327" s="2" t="s">
        <v>431</v>
      </c>
      <c r="E327" s="6">
        <v>2800</v>
      </c>
      <c r="F327" s="18"/>
      <c r="G327" s="18"/>
      <c r="H327" s="18">
        <v>3300</v>
      </c>
      <c r="I327" s="18">
        <v>4933.33</v>
      </c>
      <c r="J327" s="18"/>
      <c r="K327" s="18"/>
      <c r="L327" s="19">
        <f>SUM(F327:K327)</f>
        <v>8233.33</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232644.3</v>
      </c>
      <c r="G329" s="42">
        <f t="shared" si="17"/>
        <v>88543.840000000011</v>
      </c>
      <c r="H329" s="42">
        <f t="shared" si="17"/>
        <v>78300.3</v>
      </c>
      <c r="I329" s="42">
        <f t="shared" si="17"/>
        <v>186237.52</v>
      </c>
      <c r="J329" s="42">
        <f t="shared" si="17"/>
        <v>91033.049999999988</v>
      </c>
      <c r="K329" s="42">
        <f t="shared" si="17"/>
        <v>10496.060000000001</v>
      </c>
      <c r="L329" s="41">
        <f t="shared" si="17"/>
        <v>687255.06999999983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v>9201.5499999999993</v>
      </c>
      <c r="I337" s="18"/>
      <c r="J337" s="18"/>
      <c r="K337" s="18"/>
      <c r="L337" s="19">
        <f t="shared" si="18"/>
        <v>9201.5499999999993</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9201.5499999999993</v>
      </c>
      <c r="I338" s="41">
        <f t="shared" si="19"/>
        <v>0</v>
      </c>
      <c r="J338" s="41">
        <f t="shared" si="19"/>
        <v>0</v>
      </c>
      <c r="K338" s="41">
        <f t="shared" si="19"/>
        <v>0</v>
      </c>
      <c r="L338" s="41">
        <f t="shared" si="18"/>
        <v>9201.5499999999993</v>
      </c>
      <c r="M338" s="8"/>
      <c r="N338" s="264"/>
    </row>
    <row r="339" spans="1:43" s="3" customFormat="1" ht="12.2" customHeight="1" thickTop="1" x14ac:dyDescent="0.15">
      <c r="A339" s="38" t="s">
        <v>468</v>
      </c>
      <c r="B339" s="40">
        <v>14</v>
      </c>
      <c r="C339" s="40">
        <v>7</v>
      </c>
      <c r="D339" s="39" t="s">
        <v>431</v>
      </c>
      <c r="E339" s="40"/>
      <c r="F339" s="41">
        <f t="shared" ref="F339:L339" si="20">F291+F310+F329+F338</f>
        <v>646997.06000000006</v>
      </c>
      <c r="G339" s="41">
        <f t="shared" si="20"/>
        <v>229046.52000000002</v>
      </c>
      <c r="H339" s="41">
        <f t="shared" si="20"/>
        <v>300639.07</v>
      </c>
      <c r="I339" s="41">
        <f t="shared" si="20"/>
        <v>894768.6</v>
      </c>
      <c r="J339" s="41">
        <f t="shared" si="20"/>
        <v>468147.71</v>
      </c>
      <c r="K339" s="41">
        <f t="shared" si="20"/>
        <v>22652.89</v>
      </c>
      <c r="L339" s="41">
        <f t="shared" si="20"/>
        <v>2562251.8499999996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85414.99</v>
      </c>
      <c r="L345" s="19">
        <f t="shared" ref="L345:L351" si="21">SUM(F345:K345)</f>
        <v>85414.99</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85414.99</v>
      </c>
      <c r="L352" s="41">
        <f>SUM(L342:L351)</f>
        <v>85414.99</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646997.06000000006</v>
      </c>
      <c r="G353" s="41">
        <f>G339</f>
        <v>229046.52000000002</v>
      </c>
      <c r="H353" s="41">
        <f>H339</f>
        <v>300639.07</v>
      </c>
      <c r="I353" s="41">
        <f>I339</f>
        <v>894768.6</v>
      </c>
      <c r="J353" s="41">
        <f>J339</f>
        <v>468147.71</v>
      </c>
      <c r="K353" s="47">
        <f>K339+K352</f>
        <v>108067.88</v>
      </c>
      <c r="L353" s="41">
        <f>L339+L352</f>
        <v>2647666.84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137044.92000000001</v>
      </c>
      <c r="G359" s="18">
        <v>88512.97</v>
      </c>
      <c r="H359" s="18">
        <v>1085.94</v>
      </c>
      <c r="I359" s="18">
        <v>89595.88</v>
      </c>
      <c r="J359" s="18"/>
      <c r="K359" s="18">
        <v>2932.59</v>
      </c>
      <c r="L359" s="13">
        <f>SUM(F359:K359)</f>
        <v>319172.30000000005</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v>74084.06</v>
      </c>
      <c r="G361" s="18">
        <v>40101</v>
      </c>
      <c r="H361" s="18">
        <v>644.29</v>
      </c>
      <c r="I361" s="18">
        <v>62221.14</v>
      </c>
      <c r="J361" s="18"/>
      <c r="K361" s="18">
        <v>2553.6799999999998</v>
      </c>
      <c r="L361" s="19">
        <f>SUM(F361:K361)</f>
        <v>179604.16999999998</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211128.98</v>
      </c>
      <c r="G363" s="47">
        <f t="shared" si="22"/>
        <v>128613.97</v>
      </c>
      <c r="H363" s="47">
        <f t="shared" si="22"/>
        <v>1730.23</v>
      </c>
      <c r="I363" s="47">
        <f t="shared" si="22"/>
        <v>151817.02000000002</v>
      </c>
      <c r="J363" s="47">
        <f t="shared" si="22"/>
        <v>0</v>
      </c>
      <c r="K363" s="47">
        <f t="shared" si="22"/>
        <v>5486.27</v>
      </c>
      <c r="L363" s="47">
        <f t="shared" si="22"/>
        <v>498776.47000000003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87948.76</v>
      </c>
      <c r="G368" s="18"/>
      <c r="H368" s="18">
        <v>60936.72</v>
      </c>
      <c r="I368" s="56">
        <f>SUM(F368:H368)</f>
        <v>148885.47999999998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1647.12</v>
      </c>
      <c r="G369" s="63"/>
      <c r="H369" s="63">
        <v>1284.42</v>
      </c>
      <c r="I369" s="56">
        <f>SUM(F369:H369)</f>
        <v>2931.54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89595.87999999999</v>
      </c>
      <c r="G370" s="47">
        <f>SUM(G368:G369)</f>
        <v>0</v>
      </c>
      <c r="H370" s="47">
        <f>SUM(H368:H369)</f>
        <v>62221.14</v>
      </c>
      <c r="I370" s="47">
        <f>SUM(I368:I369)</f>
        <v>151817.01999999999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v>25000</v>
      </c>
      <c r="H392" s="18">
        <v>1108.2</v>
      </c>
      <c r="I392" s="18"/>
      <c r="J392" s="24" t="s">
        <v>288</v>
      </c>
      <c r="K392" s="24" t="s">
        <v>288</v>
      </c>
      <c r="L392" s="56">
        <f t="shared" si="25"/>
        <v>26108.2</v>
      </c>
      <c r="M392" s="8"/>
      <c r="N392" s="264"/>
    </row>
    <row r="393" spans="1:14" s="3" customFormat="1" ht="12.2" customHeight="1" thickBot="1" x14ac:dyDescent="0.2">
      <c r="A393" s="79" t="s">
        <v>555</v>
      </c>
      <c r="B393" s="2" t="s">
        <v>381</v>
      </c>
      <c r="C393" s="6">
        <v>6</v>
      </c>
      <c r="D393" s="2" t="s">
        <v>432</v>
      </c>
      <c r="E393" s="6"/>
      <c r="F393" s="18"/>
      <c r="G393" s="18">
        <f>135000+13733.65</f>
        <v>148733.65</v>
      </c>
      <c r="H393" s="18">
        <v>2274.63</v>
      </c>
      <c r="I393" s="18"/>
      <c r="J393" s="24" t="s">
        <v>288</v>
      </c>
      <c r="K393" s="24" t="s">
        <v>288</v>
      </c>
      <c r="L393" s="56">
        <f t="shared" si="25"/>
        <v>151008.28</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173733.65</v>
      </c>
      <c r="H394" s="139">
        <f>SUM(H388:H393)</f>
        <v>3382.83</v>
      </c>
      <c r="I394" s="65">
        <f>SUM(I388:I393)</f>
        <v>0</v>
      </c>
      <c r="J394" s="45" t="s">
        <v>288</v>
      </c>
      <c r="K394" s="45" t="s">
        <v>288</v>
      </c>
      <c r="L394" s="47">
        <f>SUM(L388:L393)</f>
        <v>177116.48</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f>300000+795022</f>
        <v>1095022</v>
      </c>
      <c r="H397" s="18">
        <v>8232.7800000000007</v>
      </c>
      <c r="I397" s="18"/>
      <c r="J397" s="24" t="s">
        <v>288</v>
      </c>
      <c r="K397" s="24" t="s">
        <v>288</v>
      </c>
      <c r="L397" s="56">
        <f t="shared" si="26"/>
        <v>1103254.78</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1095022</v>
      </c>
      <c r="H402" s="47">
        <f>SUM(H396:H401)</f>
        <v>8232.7800000000007</v>
      </c>
      <c r="I402" s="47">
        <f>SUM(I396:I401)</f>
        <v>0</v>
      </c>
      <c r="J402" s="45" t="s">
        <v>288</v>
      </c>
      <c r="K402" s="45" t="s">
        <v>288</v>
      </c>
      <c r="L402" s="47">
        <f>SUM(L396:L401)</f>
        <v>1103254.78</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1268755.6499999999</v>
      </c>
      <c r="H409" s="47">
        <f>H394+H402+H408</f>
        <v>11615.61</v>
      </c>
      <c r="I409" s="47">
        <f>I394+I402+I408</f>
        <v>0</v>
      </c>
      <c r="J409" s="24" t="s">
        <v>288</v>
      </c>
      <c r="K409" s="24" t="s">
        <v>288</v>
      </c>
      <c r="L409" s="47">
        <f>L394+L402+L408</f>
        <v>1280371.26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275048</v>
      </c>
      <c r="L423" s="56">
        <f t="shared" si="29"/>
        <v>275048</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275048</v>
      </c>
      <c r="L428" s="47">
        <f t="shared" si="30"/>
        <v>275048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275048</v>
      </c>
      <c r="L435" s="47">
        <f t="shared" si="32"/>
        <v>275048</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374633.11</v>
      </c>
      <c r="G440" s="18">
        <v>1625114</v>
      </c>
      <c r="H440" s="18"/>
      <c r="I440" s="56">
        <f t="shared" ref="I440:I446" si="33">SUM(F440:H440)</f>
        <v>1999747.1099999999</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193017.01</v>
      </c>
      <c r="G442" s="18"/>
      <c r="H442" s="18"/>
      <c r="I442" s="56">
        <f t="shared" si="33"/>
        <v>193017.01</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567650.12</v>
      </c>
      <c r="G447" s="13">
        <f>SUM(G440:G446)</f>
        <v>1625114</v>
      </c>
      <c r="H447" s="13">
        <f>SUM(H440:H446)</f>
        <v>0</v>
      </c>
      <c r="I447" s="13">
        <f>SUM(I440:I446)</f>
        <v>2192764.12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v>179071.42</v>
      </c>
      <c r="H449" s="18"/>
      <c r="I449" s="56">
        <f>SUM(F449:H449)</f>
        <v>179071.42</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179071.42</v>
      </c>
      <c r="H453" s="72">
        <f>SUM(H449:H452)</f>
        <v>0</v>
      </c>
      <c r="I453" s="72">
        <f>SUM(I449:I452)</f>
        <v>179071.42</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567650.12</v>
      </c>
      <c r="G460" s="18">
        <v>1446042.58</v>
      </c>
      <c r="H460" s="18"/>
      <c r="I460" s="56">
        <f t="shared" si="34"/>
        <v>2013692.7000000002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567650.12</v>
      </c>
      <c r="G461" s="83">
        <f>SUM(G455:G460)</f>
        <v>1446042.58</v>
      </c>
      <c r="H461" s="83">
        <f>SUM(H455:H460)</f>
        <v>0</v>
      </c>
      <c r="I461" s="83">
        <f>SUM(I455:I460)</f>
        <v>2013692.7000000002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567650.12</v>
      </c>
      <c r="G462" s="42">
        <f>G453+G461</f>
        <v>1625114</v>
      </c>
      <c r="H462" s="42">
        <f>H453+H461</f>
        <v>0</v>
      </c>
      <c r="I462" s="42">
        <f>I453+I461</f>
        <v>2192764.12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535387.44999999995</v>
      </c>
      <c r="G466" s="18">
        <v>0</v>
      </c>
      <c r="H466" s="18">
        <v>21992.03</v>
      </c>
      <c r="I466" s="18">
        <v>0</v>
      </c>
      <c r="J466" s="18">
        <v>1383023.92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21871341.690000001</v>
      </c>
      <c r="G469" s="18">
        <v>498776.47</v>
      </c>
      <c r="H469" s="18">
        <v>2655109.0699999998</v>
      </c>
      <c r="I469" s="18"/>
      <c r="J469" s="18">
        <v>1280371.26</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v>15000</v>
      </c>
      <c r="K470" s="24" t="s">
        <v>288</v>
      </c>
      <c r="L470" s="24" t="s">
        <v>288</v>
      </c>
      <c r="N470" s="263"/>
    </row>
    <row r="471" spans="1:14" s="52" customFormat="1" ht="12.2" customHeight="1" x14ac:dyDescent="0.2">
      <c r="A471" s="92" t="s">
        <v>425</v>
      </c>
      <c r="B471" s="75">
        <v>19</v>
      </c>
      <c r="C471" s="80">
        <v>4</v>
      </c>
      <c r="D471" s="2" t="s">
        <v>432</v>
      </c>
      <c r="E471" s="80"/>
      <c r="F471" s="53">
        <f>SUM(F469:F470)</f>
        <v>21871341.690000001</v>
      </c>
      <c r="G471" s="53">
        <f>SUM(G469:G470)</f>
        <v>498776.47</v>
      </c>
      <c r="H471" s="53">
        <f>SUM(H469:H470)</f>
        <v>2655109.0699999998</v>
      </c>
      <c r="I471" s="53">
        <f>SUM(I469:I470)</f>
        <v>0</v>
      </c>
      <c r="J471" s="53">
        <f>SUM(J469:J470)</f>
        <v>1295371.26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21334865.32</v>
      </c>
      <c r="G473" s="18">
        <v>498776.47</v>
      </c>
      <c r="H473" s="18">
        <v>2647666.84</v>
      </c>
      <c r="I473" s="18"/>
      <c r="J473" s="18">
        <v>275048</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f>309412.18+80242.3</f>
        <v>389654.48</v>
      </c>
      <c r="K474" s="24" t="s">
        <v>288</v>
      </c>
      <c r="L474" s="24" t="s">
        <v>288</v>
      </c>
      <c r="N474" s="263"/>
    </row>
    <row r="475" spans="1:14" s="52" customFormat="1" ht="12.2" customHeight="1" x14ac:dyDescent="0.2">
      <c r="A475" s="92" t="s">
        <v>426</v>
      </c>
      <c r="B475" s="75">
        <v>19</v>
      </c>
      <c r="C475" s="80">
        <v>7</v>
      </c>
      <c r="D475" s="2" t="s">
        <v>432</v>
      </c>
      <c r="E475" s="80"/>
      <c r="F475" s="53">
        <f>SUM(F473:F474)</f>
        <v>21334865.32</v>
      </c>
      <c r="G475" s="53">
        <f>SUM(G473:G474)</f>
        <v>498776.47</v>
      </c>
      <c r="H475" s="53">
        <f>SUM(H473:H474)</f>
        <v>2647666.84</v>
      </c>
      <c r="I475" s="53">
        <f>SUM(I473:I474)</f>
        <v>0</v>
      </c>
      <c r="J475" s="53">
        <f>SUM(J473:J474)</f>
        <v>664702.48</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1071863.8200000003</v>
      </c>
      <c r="G477" s="53">
        <f>(G466+G471)- G475</f>
        <v>0</v>
      </c>
      <c r="H477" s="53">
        <f>(H466+H471)- H475</f>
        <v>29434.259999999776</v>
      </c>
      <c r="I477" s="53">
        <f>(I466+I471)- I475</f>
        <v>0</v>
      </c>
      <c r="J477" s="53">
        <f>(J466+J471)- J475</f>
        <v>2013692.6999999997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75" t="s">
        <v>1673</v>
      </c>
      <c r="B481" s="112"/>
      <c r="C481" s="112"/>
      <c r="D481" s="112"/>
      <c r="E481" s="112"/>
      <c r="F481" s="112"/>
      <c r="G481" s="112"/>
      <c r="H481" s="112"/>
      <c r="I481" s="112" t="s">
        <v>401</v>
      </c>
      <c r="J481" s="112"/>
      <c r="K481" s="95"/>
      <c r="L481" s="95"/>
      <c r="N481" s="263"/>
    </row>
    <row r="482" spans="1:14" s="52" customFormat="1" ht="12.2" customHeight="1" x14ac:dyDescent="0.2">
      <c r="A482" s="175" t="s">
        <v>1674</v>
      </c>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5" t="s">
        <v>1675</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970491.12</v>
      </c>
      <c r="G522" s="18">
        <v>603112.56999999995</v>
      </c>
      <c r="H522" s="18">
        <f>290331.7+12144</f>
        <v>302475.7</v>
      </c>
      <c r="I522" s="18">
        <v>575.89</v>
      </c>
      <c r="J522" s="18">
        <v>2431.2399999999998</v>
      </c>
      <c r="K522" s="18"/>
      <c r="L522" s="88">
        <f>SUM(F522:K522)</f>
        <v>1879086.5199999998</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v>344530.97</v>
      </c>
      <c r="G524" s="18">
        <v>223665.63</v>
      </c>
      <c r="H524" s="18">
        <v>531883.69999999995</v>
      </c>
      <c r="I524" s="18">
        <v>1016.72</v>
      </c>
      <c r="J524" s="18">
        <v>176.97</v>
      </c>
      <c r="K524" s="18"/>
      <c r="L524" s="88">
        <f>SUM(F524:K524)</f>
        <v>1101273.9899999998</v>
      </c>
      <c r="N524" s="263"/>
    </row>
    <row r="525" spans="1:14" s="52" customFormat="1" ht="12.2" customHeight="1" thickTop="1" x14ac:dyDescent="0.2">
      <c r="A525" s="139" t="s">
        <v>63</v>
      </c>
      <c r="B525" s="107">
        <v>21</v>
      </c>
      <c r="C525" s="195">
        <v>4</v>
      </c>
      <c r="D525" s="196" t="s">
        <v>432</v>
      </c>
      <c r="E525" s="195"/>
      <c r="F525" s="108">
        <f>SUM(F522:F524)</f>
        <v>1315022.0899999999</v>
      </c>
      <c r="G525" s="108">
        <f t="shared" ref="G525:L525" si="36">SUM(G522:G524)</f>
        <v>826778.2</v>
      </c>
      <c r="H525" s="108">
        <f t="shared" si="36"/>
        <v>834359.39999999991</v>
      </c>
      <c r="I525" s="108">
        <f t="shared" si="36"/>
        <v>1592.6100000000001</v>
      </c>
      <c r="J525" s="108">
        <f t="shared" si="36"/>
        <v>2608.2099999999996</v>
      </c>
      <c r="K525" s="108">
        <f t="shared" si="36"/>
        <v>0</v>
      </c>
      <c r="L525" s="89">
        <f t="shared" si="36"/>
        <v>2980360.51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499182.89</v>
      </c>
      <c r="G527" s="18">
        <v>284231.40000000002</v>
      </c>
      <c r="H527" s="18">
        <v>117047.91</v>
      </c>
      <c r="I527" s="18">
        <v>30181.95</v>
      </c>
      <c r="J527" s="18"/>
      <c r="K527" s="18"/>
      <c r="L527" s="88">
        <f>SUM(F527:K527)</f>
        <v>930644.15</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v>90363.61</v>
      </c>
      <c r="G529" s="18">
        <v>45098.89</v>
      </c>
      <c r="H529" s="18">
        <v>10534.09</v>
      </c>
      <c r="I529" s="18">
        <v>3900.1</v>
      </c>
      <c r="J529" s="18"/>
      <c r="K529" s="18"/>
      <c r="L529" s="88">
        <f>SUM(F529:K529)</f>
        <v>149896.69</v>
      </c>
      <c r="M529" s="8"/>
      <c r="N529" s="264"/>
    </row>
    <row r="530" spans="1:14" s="3" customFormat="1" ht="12.2" customHeight="1" thickTop="1" x14ac:dyDescent="0.15">
      <c r="A530" s="139" t="s">
        <v>65</v>
      </c>
      <c r="B530" s="107">
        <v>21</v>
      </c>
      <c r="C530" s="107">
        <v>8</v>
      </c>
      <c r="D530" s="158" t="s">
        <v>432</v>
      </c>
      <c r="E530" s="107"/>
      <c r="F530" s="89">
        <f>SUM(F527:F529)</f>
        <v>589546.5</v>
      </c>
      <c r="G530" s="89">
        <f t="shared" ref="G530:L530" si="37">SUM(G527:G529)</f>
        <v>329330.29000000004</v>
      </c>
      <c r="H530" s="89">
        <f t="shared" si="37"/>
        <v>127582</v>
      </c>
      <c r="I530" s="89">
        <f t="shared" si="37"/>
        <v>34082.050000000003</v>
      </c>
      <c r="J530" s="89">
        <f t="shared" si="37"/>
        <v>0</v>
      </c>
      <c r="K530" s="89">
        <f t="shared" si="37"/>
        <v>0</v>
      </c>
      <c r="L530" s="89">
        <f t="shared" si="37"/>
        <v>1080540.8400000001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82385.55</v>
      </c>
      <c r="G532" s="18">
        <v>43379.69</v>
      </c>
      <c r="H532" s="18">
        <v>13184.28</v>
      </c>
      <c r="I532" s="18"/>
      <c r="J532" s="18"/>
      <c r="K532" s="18">
        <v>9388.1299999999992</v>
      </c>
      <c r="L532" s="88">
        <f>SUM(F532:K532)</f>
        <v>148337.65000000002</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41192.78</v>
      </c>
      <c r="G534" s="18">
        <v>21689.87</v>
      </c>
      <c r="H534" s="18">
        <v>4863.43</v>
      </c>
      <c r="I534" s="18"/>
      <c r="J534" s="18"/>
      <c r="K534" s="18">
        <v>4694.0600000000004</v>
      </c>
      <c r="L534" s="88">
        <f>SUM(F534:K534)</f>
        <v>72440.139999999985</v>
      </c>
      <c r="M534" s="8"/>
      <c r="N534" s="264"/>
    </row>
    <row r="535" spans="1:14" s="3" customFormat="1" ht="12.2" customHeight="1" thickTop="1" x14ac:dyDescent="0.15">
      <c r="A535" s="139" t="s">
        <v>67</v>
      </c>
      <c r="B535" s="107">
        <v>21</v>
      </c>
      <c r="C535" s="107">
        <v>12</v>
      </c>
      <c r="D535" s="158" t="s">
        <v>432</v>
      </c>
      <c r="E535" s="107"/>
      <c r="F535" s="89">
        <f>SUM(F532:F534)</f>
        <v>123578.33</v>
      </c>
      <c r="G535" s="89">
        <f t="shared" ref="G535:L535" si="38">SUM(G532:G534)</f>
        <v>65069.56</v>
      </c>
      <c r="H535" s="89">
        <f t="shared" si="38"/>
        <v>18047.71</v>
      </c>
      <c r="I535" s="89">
        <f t="shared" si="38"/>
        <v>0</v>
      </c>
      <c r="J535" s="89">
        <f t="shared" si="38"/>
        <v>0</v>
      </c>
      <c r="K535" s="89">
        <f t="shared" si="38"/>
        <v>14082.189999999999</v>
      </c>
      <c r="L535" s="89">
        <f t="shared" si="38"/>
        <v>220777.79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26235.759999999998</v>
      </c>
      <c r="G542" s="18">
        <v>6119.73</v>
      </c>
      <c r="H542" s="18">
        <v>82697.88</v>
      </c>
      <c r="I542" s="18">
        <v>833.25</v>
      </c>
      <c r="J542" s="18"/>
      <c r="K542" s="18"/>
      <c r="L542" s="88">
        <f>SUM(F542:K542)</f>
        <v>115886.62</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v>13117.89</v>
      </c>
      <c r="G544" s="18">
        <v>3059.87</v>
      </c>
      <c r="H544" s="18">
        <v>41348.94</v>
      </c>
      <c r="I544" s="18">
        <v>416.63</v>
      </c>
      <c r="J544" s="18"/>
      <c r="K544" s="18"/>
      <c r="L544" s="88">
        <f>SUM(F544:K544)</f>
        <v>57943.329999999994</v>
      </c>
      <c r="M544" s="8"/>
      <c r="N544" s="264"/>
    </row>
    <row r="545" spans="1:14" s="3" customFormat="1" ht="12.2" customHeight="1" thickTop="1" thickBot="1" x14ac:dyDescent="0.2">
      <c r="A545" s="130" t="s">
        <v>71</v>
      </c>
      <c r="B545" s="191">
        <v>21</v>
      </c>
      <c r="C545" s="191">
        <v>20</v>
      </c>
      <c r="D545" s="192" t="s">
        <v>432</v>
      </c>
      <c r="E545" s="191"/>
      <c r="F545" s="193">
        <f>SUM(F542:F544)</f>
        <v>39353.649999999994</v>
      </c>
      <c r="G545" s="193">
        <f t="shared" ref="G545:L545" si="40">SUM(G542:G544)</f>
        <v>9179.5999999999985</v>
      </c>
      <c r="H545" s="193">
        <f t="shared" si="40"/>
        <v>124046.82</v>
      </c>
      <c r="I545" s="193">
        <f t="shared" si="40"/>
        <v>1249.8800000000001</v>
      </c>
      <c r="J545" s="193">
        <f t="shared" si="40"/>
        <v>0</v>
      </c>
      <c r="K545" s="193">
        <f t="shared" si="40"/>
        <v>0</v>
      </c>
      <c r="L545" s="193">
        <f t="shared" si="40"/>
        <v>173829.94999999998</v>
      </c>
      <c r="M545" s="8"/>
      <c r="N545" s="264"/>
    </row>
    <row r="546" spans="1:14" s="3" customFormat="1" ht="12.2" customHeight="1" thickTop="1" x14ac:dyDescent="0.15">
      <c r="A546" s="98" t="s">
        <v>72</v>
      </c>
      <c r="B546" s="107">
        <v>21</v>
      </c>
      <c r="C546" s="107">
        <v>21</v>
      </c>
      <c r="D546" s="158" t="s">
        <v>432</v>
      </c>
      <c r="E546" s="107"/>
      <c r="F546" s="89">
        <f>F525+F530+F535+F540+F545</f>
        <v>2067500.5699999998</v>
      </c>
      <c r="G546" s="89">
        <f t="shared" ref="G546:L546" si="41">G525+G530+G535+G540+G545</f>
        <v>1230357.6500000001</v>
      </c>
      <c r="H546" s="89">
        <f t="shared" si="41"/>
        <v>1104035.93</v>
      </c>
      <c r="I546" s="89">
        <f t="shared" si="41"/>
        <v>36924.54</v>
      </c>
      <c r="J546" s="89">
        <f t="shared" si="41"/>
        <v>2608.2099999999996</v>
      </c>
      <c r="K546" s="89">
        <f t="shared" si="41"/>
        <v>14082.189999999999</v>
      </c>
      <c r="L546" s="89">
        <f t="shared" si="41"/>
        <v>4455509.09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1879086.5199999998</v>
      </c>
      <c r="G550" s="87">
        <f>L527</f>
        <v>930644.15</v>
      </c>
      <c r="H550" s="87">
        <f>L532</f>
        <v>148337.65000000002</v>
      </c>
      <c r="I550" s="87">
        <f>L537</f>
        <v>0</v>
      </c>
      <c r="J550" s="87">
        <f>L542</f>
        <v>115886.62</v>
      </c>
      <c r="K550" s="87">
        <f>SUM(F550:J550)</f>
        <v>3073954.94</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1101273.9899999998</v>
      </c>
      <c r="G552" s="87">
        <f>L529</f>
        <v>149896.69</v>
      </c>
      <c r="H552" s="87">
        <f>L534</f>
        <v>72440.139999999985</v>
      </c>
      <c r="I552" s="87">
        <f>L539</f>
        <v>0</v>
      </c>
      <c r="J552" s="87">
        <f>L544</f>
        <v>57943.329999999994</v>
      </c>
      <c r="K552" s="87">
        <f>SUM(F552:J552)</f>
        <v>1381554.1499999997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2980360.51</v>
      </c>
      <c r="G553" s="89">
        <f t="shared" si="42"/>
        <v>1080540.8400000001</v>
      </c>
      <c r="H553" s="89">
        <f t="shared" si="42"/>
        <v>220777.79</v>
      </c>
      <c r="I553" s="89">
        <f t="shared" si="42"/>
        <v>0</v>
      </c>
      <c r="J553" s="89">
        <f t="shared" si="42"/>
        <v>173829.94999999998</v>
      </c>
      <c r="K553" s="89">
        <f t="shared" si="42"/>
        <v>4455509.09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38285.93</v>
      </c>
      <c r="G563" s="18">
        <v>11339.54</v>
      </c>
      <c r="H563" s="18">
        <v>425</v>
      </c>
      <c r="I563" s="18"/>
      <c r="J563" s="18"/>
      <c r="K563" s="18"/>
      <c r="L563" s="88">
        <f>SUM(F563:K563)</f>
        <v>50050.47</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v>18854.22</v>
      </c>
      <c r="G565" s="18">
        <v>5568.66</v>
      </c>
      <c r="H565" s="18">
        <v>212</v>
      </c>
      <c r="I565" s="18"/>
      <c r="J565" s="18"/>
      <c r="K565" s="18"/>
      <c r="L565" s="88">
        <f>SUM(F565:K565)</f>
        <v>24634.880000000001</v>
      </c>
      <c r="M565" s="8"/>
      <c r="N565" s="264"/>
    </row>
    <row r="566" spans="1:14" s="3" customFormat="1" ht="12.2" customHeight="1" thickTop="1" x14ac:dyDescent="0.15">
      <c r="A566" s="139" t="s">
        <v>65</v>
      </c>
      <c r="B566" s="107">
        <v>22</v>
      </c>
      <c r="C566" s="107">
        <v>8</v>
      </c>
      <c r="D566" s="196" t="s">
        <v>432</v>
      </c>
      <c r="E566" s="107"/>
      <c r="F566" s="89">
        <f t="shared" ref="F566:L566" si="44">SUM(F563:F565)</f>
        <v>57140.15</v>
      </c>
      <c r="G566" s="89">
        <f t="shared" si="44"/>
        <v>16908.2</v>
      </c>
      <c r="H566" s="89">
        <f t="shared" si="44"/>
        <v>637</v>
      </c>
      <c r="I566" s="89">
        <f t="shared" si="44"/>
        <v>0</v>
      </c>
      <c r="J566" s="89">
        <f t="shared" si="44"/>
        <v>0</v>
      </c>
      <c r="K566" s="89">
        <f t="shared" si="44"/>
        <v>0</v>
      </c>
      <c r="L566" s="89">
        <f t="shared" si="44"/>
        <v>74685.350000000006</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57140.15</v>
      </c>
      <c r="G572" s="89">
        <f t="shared" ref="G572:L572" si="46">G561+G566+G571</f>
        <v>16908.2</v>
      </c>
      <c r="H572" s="89">
        <f t="shared" si="46"/>
        <v>637</v>
      </c>
      <c r="I572" s="89">
        <f t="shared" si="46"/>
        <v>0</v>
      </c>
      <c r="J572" s="89">
        <f t="shared" si="46"/>
        <v>0</v>
      </c>
      <c r="K572" s="89">
        <f t="shared" si="46"/>
        <v>0</v>
      </c>
      <c r="L572" s="89">
        <f t="shared" si="46"/>
        <v>74685.350000000006</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4659.46</v>
      </c>
      <c r="G580" s="18"/>
      <c r="H580" s="18"/>
      <c r="I580" s="87">
        <f t="shared" si="47"/>
        <v>4659.46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22453.4</v>
      </c>
      <c r="I582" s="87">
        <f t="shared" si="47"/>
        <v>22453.4</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77369.399999999994</v>
      </c>
      <c r="G583" s="18"/>
      <c r="H583" s="18">
        <v>538089.54</v>
      </c>
      <c r="I583" s="87">
        <f t="shared" si="47"/>
        <v>615458.94000000006</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v>176955.65</v>
      </c>
      <c r="I584" s="87">
        <f t="shared" si="47"/>
        <v>176955.65</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30277.279999999999</v>
      </c>
      <c r="I585" s="87">
        <f t="shared" si="47"/>
        <v>30277.279999999999</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522492.37</v>
      </c>
      <c r="I592" s="18"/>
      <c r="J592" s="18">
        <f>261246.19+37330</f>
        <v>298576.19</v>
      </c>
      <c r="K592" s="104">
        <f t="shared" ref="K592:K598" si="48">SUM(H592:J592)</f>
        <v>821068.56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115665.49</v>
      </c>
      <c r="I593" s="18"/>
      <c r="J593" s="18">
        <v>57832.76</v>
      </c>
      <c r="K593" s="104">
        <f t="shared" si="48"/>
        <v>173498.25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f>22535.99+390.42</f>
        <v>22926.41</v>
      </c>
      <c r="K594" s="104">
        <f t="shared" si="48"/>
        <v>22926.41</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17952.32</v>
      </c>
      <c r="I595" s="18"/>
      <c r="J595" s="18">
        <v>34018.71</v>
      </c>
      <c r="K595" s="104">
        <f t="shared" si="48"/>
        <v>51971.03</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f>955.96+221.13</f>
        <v>1177.0900000000001</v>
      </c>
      <c r="I596" s="18"/>
      <c r="J596" s="18">
        <v>723.35</v>
      </c>
      <c r="K596" s="104">
        <f t="shared" si="48"/>
        <v>1900.44</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657287.2699999999</v>
      </c>
      <c r="I599" s="108">
        <f>SUM(I592:I598)</f>
        <v>0</v>
      </c>
      <c r="J599" s="108">
        <f>SUM(J592:J598)</f>
        <v>414077.42</v>
      </c>
      <c r="K599" s="108">
        <f>SUM(K592:K598)</f>
        <v>1071364.69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410646.31</v>
      </c>
      <c r="I605" s="18"/>
      <c r="J605" s="18">
        <v>129858.14</v>
      </c>
      <c r="K605" s="104">
        <f>SUM(H605:J605)</f>
        <v>540504.44999999995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410646.31</v>
      </c>
      <c r="I606" s="108">
        <f>SUM(I603:I605)</f>
        <v>0</v>
      </c>
      <c r="J606" s="108">
        <f>SUM(J603:J605)</f>
        <v>129858.14</v>
      </c>
      <c r="K606" s="108">
        <f>SUM(K603:K605)</f>
        <v>540504.44999999995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6475</v>
      </c>
      <c r="G612" s="18">
        <v>1743</v>
      </c>
      <c r="H612" s="18"/>
      <c r="I612" s="18"/>
      <c r="J612" s="18"/>
      <c r="K612" s="18"/>
      <c r="L612" s="88">
        <f>SUM(F612:K612)</f>
        <v>8218</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v>885</v>
      </c>
      <c r="G614" s="18">
        <v>224.08</v>
      </c>
      <c r="H614" s="18"/>
      <c r="I614" s="18"/>
      <c r="J614" s="18"/>
      <c r="K614" s="18"/>
      <c r="L614" s="88">
        <f>SUM(F614:K614)</f>
        <v>1109.08</v>
      </c>
      <c r="M614" s="8"/>
      <c r="N614" s="264"/>
    </row>
    <row r="615" spans="1:14" s="3" customFormat="1" ht="12.2" customHeight="1" thickTop="1" x14ac:dyDescent="0.15">
      <c r="A615" s="98" t="s">
        <v>340</v>
      </c>
      <c r="B615" s="107">
        <v>23</v>
      </c>
      <c r="C615" s="107">
        <v>16</v>
      </c>
      <c r="D615" s="39" t="s">
        <v>432</v>
      </c>
      <c r="E615" s="107"/>
      <c r="F615" s="108">
        <f t="shared" ref="F615:L615" si="49">SUM(F612:F614)</f>
        <v>7360</v>
      </c>
      <c r="G615" s="108">
        <f t="shared" si="49"/>
        <v>1967.08</v>
      </c>
      <c r="H615" s="108">
        <f t="shared" si="49"/>
        <v>0</v>
      </c>
      <c r="I615" s="108">
        <f t="shared" si="49"/>
        <v>0</v>
      </c>
      <c r="J615" s="108">
        <f t="shared" si="49"/>
        <v>0</v>
      </c>
      <c r="K615" s="108">
        <f t="shared" si="49"/>
        <v>0</v>
      </c>
      <c r="L615" s="89">
        <f t="shared" si="49"/>
        <v>9327.08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3010981.3599999994</v>
      </c>
      <c r="H618" s="109">
        <f>SUM(F52)</f>
        <v>3010981.3600000003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38549.019999999997</v>
      </c>
      <c r="H619" s="109">
        <f>SUM(G52)</f>
        <v>38549.019999999997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1235032.2400000002</v>
      </c>
      <c r="H620" s="109">
        <f>SUM(H52)</f>
        <v>1235032.24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2192764.12</v>
      </c>
      <c r="H622" s="109">
        <f>SUM(J52)</f>
        <v>2192764.12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1071863.82</v>
      </c>
      <c r="H623" s="109">
        <f>F477</f>
        <v>1071863.8200000003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29434.26</v>
      </c>
      <c r="H625" s="109">
        <f>H477</f>
        <v>29434.259999999776</v>
      </c>
      <c r="I625" s="121" t="s">
        <v>103</v>
      </c>
      <c r="J625" s="109">
        <f t="shared" si="50"/>
        <v>2.2191670723259449E-10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2013692.7000000002</v>
      </c>
      <c r="H627" s="109">
        <f>J477</f>
        <v>2013692.6999999997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21871341.690000005</v>
      </c>
      <c r="H628" s="104">
        <f>SUM(F469)</f>
        <v>21871341.690000001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498776.47000000003</v>
      </c>
      <c r="H629" s="104">
        <f>SUM(G469)</f>
        <v>498776.47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2655109.0699999998</v>
      </c>
      <c r="H630" s="104">
        <f>SUM(H469)</f>
        <v>2655109.0699999998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1280371.26</v>
      </c>
      <c r="H632" s="104">
        <f>SUM(J469)</f>
        <v>1280371.26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21334865.319999997</v>
      </c>
      <c r="H633" s="104">
        <f>SUM(F473)</f>
        <v>21334865.32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2647666.84</v>
      </c>
      <c r="H634" s="104">
        <f>SUM(H473)</f>
        <v>2647666.84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151817.02000000002</v>
      </c>
      <c r="H635" s="104">
        <f>I370</f>
        <v>151817.01999999999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498776.47000000003</v>
      </c>
      <c r="H636" s="104">
        <f>SUM(G473)</f>
        <v>498776.47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1280371.26</v>
      </c>
      <c r="H638" s="164">
        <f>SUM(J469)</f>
        <v>1280371.26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275048</v>
      </c>
      <c r="H639" s="164">
        <f>SUM(J473)</f>
        <v>275048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567650.12</v>
      </c>
      <c r="H640" s="104">
        <f>SUM(F462)</f>
        <v>567650.12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1625114</v>
      </c>
      <c r="H641" s="104">
        <f>SUM(G462)</f>
        <v>1625114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2192764.12</v>
      </c>
      <c r="H643" s="104">
        <f>SUM(I462)</f>
        <v>2192764.12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11615.61</v>
      </c>
      <c r="H645" s="104">
        <f>H409</f>
        <v>11615.61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1268755.6499999999</v>
      </c>
      <c r="H646" s="104">
        <f>G409</f>
        <v>1268755.6499999999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1280371.26</v>
      </c>
      <c r="H647" s="104">
        <f>L409</f>
        <v>1280371.26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1071364.69</v>
      </c>
      <c r="H648" s="104">
        <f>L209+L227+L245</f>
        <v>1071364.69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540504.44999999995</v>
      </c>
      <c r="H649" s="104">
        <f>(J258+J339)-(J256+J337)</f>
        <v>540504.44999999995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657287.2699999999</v>
      </c>
      <c r="H650" s="104">
        <f>H599</f>
        <v>657287.2699999999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414077.42</v>
      </c>
      <c r="H652" s="104">
        <f>J599</f>
        <v>414077.42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119231.76</v>
      </c>
      <c r="H653" s="104">
        <f>K264+K346</f>
        <v>119231.76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1268755.6499999999</v>
      </c>
      <c r="H656" s="104">
        <f>K267+K348</f>
        <v>1268755.6499999999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14472388.449999997</v>
      </c>
      <c r="G661" s="19">
        <f>(L230+L310+L360)</f>
        <v>0</v>
      </c>
      <c r="H661" s="19">
        <f>(L248+L329+L361)</f>
        <v>8483511.9299999997</v>
      </c>
      <c r="I661" s="19">
        <f>SUM(F661:H661)</f>
        <v>22955900.379999995</v>
      </c>
      <c r="J661" s="13"/>
      <c r="K661" s="13"/>
      <c r="L661" s="13"/>
      <c r="M661" s="9"/>
    </row>
    <row r="662" spans="1:13" s="3" customFormat="1" ht="12.2" customHeight="1" x14ac:dyDescent="0.2">
      <c r="A662" s="1" t="s">
        <v>127</v>
      </c>
      <c r="F662" s="19">
        <f>(L359/IF(SUM(L359:L361)=0,1,SUM(L359:L361))*(SUM(G97:G110)))</f>
        <v>11845.626420135659</v>
      </c>
      <c r="G662" s="19">
        <f>(L360/IF(SUM(L359:L361)=0,1,SUM(L359:L361))*(SUM(G97:G110)))</f>
        <v>0</v>
      </c>
      <c r="H662" s="19">
        <f>(L361/IF(SUM(L359:L361)=0,1,SUM(L359:L361))*(SUM(G97:G110)))</f>
        <v>6665.7535798643421</v>
      </c>
      <c r="I662" s="19">
        <f>SUM(F662:H662)</f>
        <v>18511.38</v>
      </c>
      <c r="J662"/>
      <c r="K662" s="13"/>
      <c r="L662" s="13"/>
      <c r="M662" s="8"/>
    </row>
    <row r="663" spans="1:13" s="3" customFormat="1" ht="12.2" customHeight="1" x14ac:dyDescent="0.2">
      <c r="A663" s="1" t="s">
        <v>128</v>
      </c>
      <c r="F663" s="19">
        <f>(L209+L288)-(J209+J288)</f>
        <v>660211.22999999986</v>
      </c>
      <c r="G663" s="19">
        <f>(L227+L307)-(J227+J307)</f>
        <v>0</v>
      </c>
      <c r="H663" s="19">
        <f>(L245+L326)-(J245+J326)</f>
        <v>424291.86</v>
      </c>
      <c r="I663" s="19">
        <f>SUM(F663:H663)</f>
        <v>1084503.0899999999</v>
      </c>
      <c r="J663"/>
      <c r="K663" s="13"/>
      <c r="L663" s="13"/>
      <c r="M663" s="9"/>
    </row>
    <row r="664" spans="1:13" s="3" customFormat="1" ht="12.2" customHeight="1" x14ac:dyDescent="0.15">
      <c r="A664" s="198" t="s">
        <v>129</v>
      </c>
      <c r="B664" s="169"/>
      <c r="C664" s="169"/>
      <c r="D664" s="169"/>
      <c r="E664" s="169"/>
      <c r="F664" s="199">
        <f>SUM(F576:F588)+SUM(H603:H605)+SUM(L612)</f>
        <v>500893.17</v>
      </c>
      <c r="G664" s="199">
        <f>SUM(G576:G588)+SUM(I603:I605)+L613</f>
        <v>0</v>
      </c>
      <c r="H664" s="199">
        <f>SUM(H576:H588)+SUM(J603:J605)+L614</f>
        <v>898743.09000000008</v>
      </c>
      <c r="I664" s="19">
        <f>SUM(F664:H664)</f>
        <v>1399636.26</v>
      </c>
      <c r="J664" s="13"/>
      <c r="K664" s="13"/>
      <c r="L664" s="13"/>
      <c r="M664" s="9"/>
    </row>
    <row r="665" spans="1:13" s="3" customFormat="1" ht="12.2" customHeight="1" x14ac:dyDescent="0.15">
      <c r="A665" s="1" t="s">
        <v>130</v>
      </c>
      <c r="F665" s="19">
        <f>F661-SUM(F662:F664)</f>
        <v>13299438.423579862</v>
      </c>
      <c r="G665" s="19">
        <f>G661-SUM(G662:G664)</f>
        <v>0</v>
      </c>
      <c r="H665" s="19">
        <f>H661-SUM(H662:H664)</f>
        <v>7153811.2264201352</v>
      </c>
      <c r="I665" s="19">
        <f>I661-SUM(I662:I664)</f>
        <v>20453249.649999995</v>
      </c>
      <c r="J665" s="13"/>
      <c r="K665" s="13"/>
      <c r="L665" s="13"/>
      <c r="M665" s="8"/>
    </row>
    <row r="666" spans="1:13" s="3" customFormat="1" ht="12.2" customHeight="1" x14ac:dyDescent="0.25">
      <c r="A666" s="1" t="s">
        <v>131</v>
      </c>
      <c r="F666" s="360">
        <v>603.39</v>
      </c>
      <c r="G666" s="360">
        <v>0</v>
      </c>
      <c r="H666" s="360">
        <v>356.49</v>
      </c>
      <c r="I666" s="19">
        <f>SUM(F666:H666)</f>
        <v>959.88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22041.200000000001</v>
      </c>
      <c r="G668" s="19" t="e">
        <f>ROUND(G665/G666,2)</f>
        <v>#DIV/0!</v>
      </c>
      <c r="H668" s="19">
        <f>ROUND(H665/H666,2)</f>
        <v>20067.349999999999</v>
      </c>
      <c r="I668" s="19">
        <f>ROUND(I665/I666,2)</f>
        <v>21308.13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1.34</v>
      </c>
      <c r="I671" s="19">
        <f>SUM(F671:H671)</f>
        <v>1.34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22041.200000000001</v>
      </c>
      <c r="G673" s="19" t="e">
        <f>ROUND((G665+G670)/(G666+G671),2)</f>
        <v>#DIV/0!</v>
      </c>
      <c r="H673" s="19">
        <f>ROUND((H665+H670)/(H666+H671),2)</f>
        <v>19992.21</v>
      </c>
      <c r="I673" s="19">
        <f>ROUND((I665+I670)/(I666+I671),2)</f>
        <v>21278.43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70" fitToHeight="0"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6383"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1" zoomScaleNormal="100" workbookViewId="0">
      <selection activeCell="C39" sqref="C39"/>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906312.09</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363377.36</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818755.43</v>
      </c>
      <c r="F22" s="346"/>
    </row>
    <row r="23" spans="2:8" x14ac:dyDescent="0.25">
      <c r="B23" s="346"/>
      <c r="C23" s="346"/>
      <c r="D23" s="346"/>
      <c r="E23" s="346"/>
      <c r="F23" s="346"/>
    </row>
    <row r="24" spans="2:8" ht="26.25" customHeight="1" x14ac:dyDescent="0.25">
      <c r="B24" s="346"/>
      <c r="C24" s="348" t="s">
        <v>1661</v>
      </c>
      <c r="D24" s="346"/>
      <c r="E24" s="341">
        <v>486910.83</v>
      </c>
      <c r="F24" s="346"/>
    </row>
    <row r="25" spans="2:8" ht="18" x14ac:dyDescent="0.25">
      <c r="B25" s="346"/>
      <c r="C25" s="349"/>
      <c r="D25" s="346"/>
      <c r="E25" s="346"/>
      <c r="F25" s="346"/>
    </row>
    <row r="26" spans="2:8" ht="27.75" customHeight="1" x14ac:dyDescent="0.25">
      <c r="B26" s="346"/>
      <c r="C26" s="348" t="s">
        <v>1662</v>
      </c>
      <c r="D26" s="346"/>
      <c r="E26" s="341">
        <v>331844.59999999998</v>
      </c>
      <c r="F26" s="346"/>
    </row>
    <row r="27" spans="2:8" x14ac:dyDescent="0.25">
      <c r="B27" s="346"/>
      <c r="C27" s="348"/>
      <c r="D27" s="346"/>
      <c r="E27" s="346"/>
      <c r="F27" s="346"/>
    </row>
    <row r="28" spans="2:8" ht="15.75" customHeight="1" x14ac:dyDescent="0.25">
      <c r="B28" s="346"/>
      <c r="C28" s="348" t="s">
        <v>1663</v>
      </c>
      <c r="D28" s="346"/>
      <c r="E28" s="342">
        <v>436364.7</v>
      </c>
      <c r="F28" s="346"/>
    </row>
    <row r="29" spans="2:8" x14ac:dyDescent="0.25">
      <c r="B29" s="346"/>
      <c r="C29" s="346"/>
      <c r="D29" s="346"/>
      <c r="E29" s="346"/>
      <c r="F29" s="346"/>
    </row>
    <row r="30" spans="2:8" ht="16.5" customHeight="1" x14ac:dyDescent="0.25">
      <c r="B30" s="346"/>
      <c r="C30" s="348" t="s">
        <v>1664</v>
      </c>
      <c r="D30" s="346"/>
      <c r="E30" s="341">
        <v>354235.92</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G316" sqref="G31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WHITE MOUNTAINS REGIONAL SCHOOL DISTRICT</v>
      </c>
      <c r="C5" s="364"/>
      <c r="D5" s="364"/>
      <c r="E5" s="364"/>
      <c r="F5" s="364"/>
    </row>
    <row r="8" spans="1:9" ht="18" x14ac:dyDescent="0.25">
      <c r="A8" s="317" t="s">
        <v>1576</v>
      </c>
      <c r="F8" s="324" t="s">
        <v>1594</v>
      </c>
    </row>
    <row r="9" spans="1:9" ht="15" x14ac:dyDescent="0.2">
      <c r="A9" s="315" t="s">
        <v>1577</v>
      </c>
      <c r="B9" s="318">
        <f>'DOE25'!G97</f>
        <v>11703.83</v>
      </c>
      <c r="F9" s="315" t="s">
        <v>1590</v>
      </c>
    </row>
    <row r="10" spans="1:9" ht="15" x14ac:dyDescent="0.2">
      <c r="A10" s="315" t="s">
        <v>1578</v>
      </c>
      <c r="B10" s="318">
        <f>'DOE25'!G112-'DOE25'!G97</f>
        <v>6807.5500000000011</v>
      </c>
      <c r="F10" s="315" t="s">
        <v>1591</v>
      </c>
    </row>
    <row r="11" spans="1:9" ht="15" x14ac:dyDescent="0.2">
      <c r="A11" s="315" t="s">
        <v>1579</v>
      </c>
      <c r="B11" s="318">
        <f>'DOE25'!G140</f>
        <v>8896.64</v>
      </c>
      <c r="F11" s="315" t="s">
        <v>1592</v>
      </c>
    </row>
    <row r="12" spans="1:9" ht="15" x14ac:dyDescent="0.2">
      <c r="A12" s="315" t="s">
        <v>1580</v>
      </c>
      <c r="B12" s="318">
        <f>'DOE25'!G170</f>
        <v>352136.69</v>
      </c>
      <c r="F12" s="315" t="s">
        <v>1593</v>
      </c>
    </row>
    <row r="13" spans="1:9" ht="15" x14ac:dyDescent="0.2">
      <c r="A13" s="315" t="s">
        <v>1581</v>
      </c>
      <c r="B13" s="318">
        <f>'DOE25'!G193-'DOE25'!G180</f>
        <v>0</v>
      </c>
      <c r="F13" s="315" t="s">
        <v>1603</v>
      </c>
    </row>
    <row r="14" spans="1:9" ht="18" x14ac:dyDescent="0.25">
      <c r="A14" s="317" t="s">
        <v>732</v>
      </c>
      <c r="B14" s="319">
        <f>SUM(B9:B13)</f>
        <v>379544.71</v>
      </c>
    </row>
    <row r="16" spans="1:9" ht="18" x14ac:dyDescent="0.25">
      <c r="A16" s="317" t="s">
        <v>786</v>
      </c>
      <c r="F16" s="324" t="s">
        <v>1595</v>
      </c>
    </row>
    <row r="17" spans="1:6" ht="15" x14ac:dyDescent="0.2">
      <c r="A17" s="315" t="s">
        <v>1582</v>
      </c>
      <c r="B17" s="318">
        <f>'DOE25'!L363-'DOE25'!L362</f>
        <v>498776.47000000003</v>
      </c>
      <c r="F17" s="315" t="s">
        <v>1596</v>
      </c>
    </row>
    <row r="18" spans="1:6" ht="15" x14ac:dyDescent="0.2">
      <c r="A18" s="315" t="s">
        <v>1583</v>
      </c>
      <c r="B18" s="328"/>
      <c r="F18" s="324" t="s">
        <v>1620</v>
      </c>
    </row>
    <row r="19" spans="1:6" ht="18" x14ac:dyDescent="0.25">
      <c r="A19" s="317" t="s">
        <v>725</v>
      </c>
      <c r="B19" s="319">
        <f>SUM(B17:B18)</f>
        <v>498776.47000000003</v>
      </c>
    </row>
    <row r="21" spans="1:6" ht="18.75" thickBot="1" x14ac:dyDescent="0.3">
      <c r="A21" s="317" t="s">
        <v>1584</v>
      </c>
    </row>
    <row r="22" spans="1:6" ht="18.75" thickTop="1" x14ac:dyDescent="0.25">
      <c r="A22" s="317" t="s">
        <v>1585</v>
      </c>
      <c r="B22" s="323">
        <f>B14-B19</f>
        <v>-119231.76000000001</v>
      </c>
      <c r="F22" s="315" t="s">
        <v>1597</v>
      </c>
    </row>
    <row r="26" spans="1:6" ht="18" x14ac:dyDescent="0.25">
      <c r="A26" s="317" t="s">
        <v>186</v>
      </c>
    </row>
    <row r="27" spans="1:6" ht="15" x14ac:dyDescent="0.2">
      <c r="A27" s="315" t="s">
        <v>1586</v>
      </c>
      <c r="B27" s="318">
        <f>'DOE25'!G180</f>
        <v>119231.76</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24364.79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316" sqref="G31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WHITE MOUNTAINS REGIONAL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4642917.1499999994</v>
      </c>
      <c r="C9" s="229">
        <f>'DOE25'!G198+'DOE25'!G216+'DOE25'!G234+'DOE25'!G277+'DOE25'!G296+'DOE25'!G315</f>
        <v>2495114.59</v>
      </c>
    </row>
    <row r="10" spans="1:3" x14ac:dyDescent="0.2">
      <c r="A10" t="s">
        <v>775</v>
      </c>
      <c r="B10" s="240">
        <v>4221704.59</v>
      </c>
      <c r="C10" s="240">
        <f>2212374+110852.97</f>
        <v>2323226.9700000002</v>
      </c>
    </row>
    <row r="11" spans="1:3" x14ac:dyDescent="0.2">
      <c r="A11" t="s">
        <v>776</v>
      </c>
      <c r="B11" s="240">
        <v>191963.1</v>
      </c>
      <c r="C11" s="240">
        <f>83286.28+4173.13</f>
        <v>87459.41</v>
      </c>
    </row>
    <row r="12" spans="1:3" x14ac:dyDescent="0.2">
      <c r="A12" t="s">
        <v>777</v>
      </c>
      <c r="B12" s="240">
        <v>229249.46</v>
      </c>
      <c r="C12" s="240">
        <f>80399.71+4028.5</f>
        <v>84428.21</v>
      </c>
    </row>
    <row r="13" spans="1:3" x14ac:dyDescent="0.2">
      <c r="A13" t="str">
        <f>IF(B9=B13,IF(C9=C13,"Check Total OK","Check Total Error"),"Check Total Error")</f>
        <v>Check Total OK</v>
      </c>
      <c r="B13" s="231">
        <f>SUM(B10:B12)</f>
        <v>4642917.1499999994</v>
      </c>
      <c r="C13" s="231">
        <f>SUM(C10:C12)</f>
        <v>2495114.5900000003</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1372162.24</v>
      </c>
      <c r="C18" s="229">
        <f>'DOE25'!G199+'DOE25'!G217+'DOE25'!G235+'DOE25'!G278+'DOE25'!G297+'DOE25'!G316</f>
        <v>843686.40000000002</v>
      </c>
    </row>
    <row r="19" spans="1:3" x14ac:dyDescent="0.2">
      <c r="A19" t="s">
        <v>775</v>
      </c>
      <c r="B19" s="240">
        <v>727825.79</v>
      </c>
      <c r="C19" s="240">
        <f>432685.27+1754.31</f>
        <v>434439.58</v>
      </c>
    </row>
    <row r="20" spans="1:3" x14ac:dyDescent="0.2">
      <c r="A20" t="s">
        <v>776</v>
      </c>
      <c r="B20" s="240">
        <v>643719.05000000005</v>
      </c>
      <c r="C20" s="240">
        <f>407648.07+1551.58</f>
        <v>409199.65</v>
      </c>
    </row>
    <row r="21" spans="1:3" x14ac:dyDescent="0.2">
      <c r="A21" t="s">
        <v>777</v>
      </c>
      <c r="B21" s="240">
        <v>617.4</v>
      </c>
      <c r="C21" s="240">
        <f>45.68+1.49</f>
        <v>47.17</v>
      </c>
    </row>
    <row r="22" spans="1:3" x14ac:dyDescent="0.2">
      <c r="A22" t="str">
        <f>IF(B18=B22,IF(C18=C22,"Check Total OK","Check Total Error"),"Check Total Error")</f>
        <v>Check Total OK</v>
      </c>
      <c r="B22" s="231">
        <f>SUM(B19:B21)</f>
        <v>1372162.24</v>
      </c>
      <c r="C22" s="231">
        <f>SUM(C19:C21)</f>
        <v>843686.40000000002</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364848.91</v>
      </c>
      <c r="C27" s="234">
        <f>'DOE25'!G200+'DOE25'!G218+'DOE25'!G236+'DOE25'!G279+'DOE25'!G298+'DOE25'!G317</f>
        <v>150050.07999999999</v>
      </c>
    </row>
    <row r="28" spans="1:3" x14ac:dyDescent="0.2">
      <c r="A28" t="s">
        <v>775</v>
      </c>
      <c r="B28" s="240">
        <v>338608.91</v>
      </c>
      <c r="C28" s="240">
        <v>148165.15</v>
      </c>
    </row>
    <row r="29" spans="1:3" x14ac:dyDescent="0.2">
      <c r="A29" t="s">
        <v>776</v>
      </c>
      <c r="B29" s="240"/>
      <c r="C29" s="240"/>
    </row>
    <row r="30" spans="1:3" x14ac:dyDescent="0.2">
      <c r="A30" t="s">
        <v>777</v>
      </c>
      <c r="B30" s="240">
        <v>26240</v>
      </c>
      <c r="C30" s="240">
        <v>1884.93</v>
      </c>
    </row>
    <row r="31" spans="1:3" x14ac:dyDescent="0.2">
      <c r="A31" t="str">
        <f>IF(B27=B31,IF(C27=C31,"Check Total OK","Check Total Error"),"Check Total Error")</f>
        <v>Check Total OK</v>
      </c>
      <c r="B31" s="231">
        <f>SUM(B28:B30)</f>
        <v>364848.91</v>
      </c>
      <c r="C31" s="231">
        <f>SUM(C28:C30)</f>
        <v>150050.07999999999</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301832.25</v>
      </c>
      <c r="C36" s="235">
        <f>'DOE25'!G201+'DOE25'!G219+'DOE25'!G237+'DOE25'!G280+'DOE25'!G299+'DOE25'!G318</f>
        <v>111230.15000000001</v>
      </c>
    </row>
    <row r="37" spans="1:3" x14ac:dyDescent="0.2">
      <c r="A37" t="s">
        <v>775</v>
      </c>
      <c r="B37" s="240">
        <v>7240</v>
      </c>
      <c r="C37" s="240">
        <v>1961.03</v>
      </c>
    </row>
    <row r="38" spans="1:3" x14ac:dyDescent="0.2">
      <c r="A38" t="s">
        <v>776</v>
      </c>
      <c r="B38" s="240">
        <v>120</v>
      </c>
      <c r="C38" s="240">
        <v>26.05</v>
      </c>
    </row>
    <row r="39" spans="1:3" x14ac:dyDescent="0.2">
      <c r="A39" t="s">
        <v>777</v>
      </c>
      <c r="B39" s="240">
        <v>294472.25</v>
      </c>
      <c r="C39" s="240">
        <v>109243.07</v>
      </c>
    </row>
    <row r="40" spans="1:3" x14ac:dyDescent="0.2">
      <c r="A40" t="str">
        <f>IF(B36=B40,IF(C36=C40,"Check Total OK","Check Total Error"),"Check Total Error")</f>
        <v>Check Total OK</v>
      </c>
      <c r="B40" s="231">
        <f>SUM(B37:B39)</f>
        <v>301832.25</v>
      </c>
      <c r="C40" s="231">
        <f>SUM(C37:C39)</f>
        <v>111230.15000000001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G316" sqref="G316"/>
      <selection pane="bottomLeft" activeCell="G316" sqref="G3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WHITE MOUNTAINS REGIONAL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11185464.77</v>
      </c>
      <c r="D5" s="20">
        <f>SUM('DOE25'!L198:L201)+SUM('DOE25'!L216:L219)+SUM('DOE25'!L234:L237)-F5-G5-H5</f>
        <v>11011416.559999999</v>
      </c>
      <c r="E5" s="243"/>
      <c r="F5" s="244"/>
      <c r="G5" s="53">
        <f>SUM('DOE25'!J198:J201)+SUM('DOE25'!J216:J219)+SUM('DOE25'!J234:J237)</f>
        <v>43860.97</v>
      </c>
      <c r="H5" s="53">
        <f>SUM('DOE25'!K198:K201)+SUM('DOE25'!K216:K219)+SUM('DOE25'!K234:K237)</f>
        <v>130187.24</v>
      </c>
      <c r="I5" s="254"/>
    </row>
    <row r="6" spans="1:9" x14ac:dyDescent="0.2">
      <c r="A6" s="32">
        <v>2100</v>
      </c>
      <c r="B6" t="s">
        <v>796</v>
      </c>
      <c r="C6" s="273">
        <f t="shared" si="0"/>
        <v>1782202.69</v>
      </c>
      <c r="D6" s="20">
        <f>'DOE25'!L203+'DOE25'!L221+'DOE25'!L239-F6-G6-H6</f>
        <v>1781685.69</v>
      </c>
      <c r="E6" s="243"/>
      <c r="F6" s="244"/>
      <c r="G6" s="53">
        <f>'DOE25'!J203+'DOE25'!J221+'DOE25'!J239</f>
        <v>209</v>
      </c>
      <c r="H6" s="53">
        <f>'DOE25'!K203+'DOE25'!K221+'DOE25'!K239</f>
        <v>308</v>
      </c>
      <c r="I6" s="254"/>
    </row>
    <row r="7" spans="1:9" x14ac:dyDescent="0.2">
      <c r="A7" s="32">
        <v>2200</v>
      </c>
      <c r="B7" t="s">
        <v>821</v>
      </c>
      <c r="C7" s="273">
        <f t="shared" si="0"/>
        <v>459821.46000000008</v>
      </c>
      <c r="D7" s="20">
        <f>'DOE25'!L204+'DOE25'!L222+'DOE25'!L240-F7-G7-H7</f>
        <v>447953.44000000006</v>
      </c>
      <c r="E7" s="243"/>
      <c r="F7" s="244"/>
      <c r="G7" s="53">
        <f>'DOE25'!J204+'DOE25'!J222+'DOE25'!J240</f>
        <v>3468.02</v>
      </c>
      <c r="H7" s="53">
        <f>'DOE25'!K204+'DOE25'!K222+'DOE25'!K240</f>
        <v>8400</v>
      </c>
      <c r="I7" s="254"/>
    </row>
    <row r="8" spans="1:9" x14ac:dyDescent="0.2">
      <c r="A8" s="32">
        <v>2300</v>
      </c>
      <c r="B8" t="s">
        <v>797</v>
      </c>
      <c r="C8" s="273">
        <f t="shared" si="0"/>
        <v>644529.04999999993</v>
      </c>
      <c r="D8" s="243"/>
      <c r="E8" s="20">
        <f>'DOE25'!L205+'DOE25'!L223+'DOE25'!L241-F8-G8-H8-D9-D11</f>
        <v>595879.53999999992</v>
      </c>
      <c r="F8" s="244"/>
      <c r="G8" s="53">
        <f>'DOE25'!J205+'DOE25'!J223+'DOE25'!J241</f>
        <v>1520.86</v>
      </c>
      <c r="H8" s="53">
        <f>'DOE25'!K205+'DOE25'!K223+'DOE25'!K241</f>
        <v>47128.649999999994</v>
      </c>
      <c r="I8" s="254"/>
    </row>
    <row r="9" spans="1:9" ht="14.25" x14ac:dyDescent="0.2">
      <c r="A9" s="32">
        <v>2310</v>
      </c>
      <c r="B9" s="185" t="s">
        <v>888</v>
      </c>
      <c r="C9" s="273">
        <f t="shared" si="0"/>
        <v>139728.5</v>
      </c>
      <c r="D9" s="244">
        <v>139728.5</v>
      </c>
      <c r="E9" s="243"/>
      <c r="F9" s="251"/>
      <c r="G9" s="251"/>
      <c r="H9" s="251"/>
      <c r="I9" s="254"/>
    </row>
    <row r="10" spans="1:9" ht="14.25" x14ac:dyDescent="0.2">
      <c r="A10" s="32">
        <v>2317</v>
      </c>
      <c r="B10" s="185" t="s">
        <v>889</v>
      </c>
      <c r="C10" s="273">
        <f t="shared" si="0"/>
        <v>18000</v>
      </c>
      <c r="D10" s="243"/>
      <c r="E10" s="244">
        <v>18000</v>
      </c>
      <c r="F10" s="251"/>
      <c r="G10" s="251"/>
      <c r="H10" s="251"/>
      <c r="I10" s="254"/>
    </row>
    <row r="11" spans="1:9" ht="14.25" x14ac:dyDescent="0.2">
      <c r="A11" s="32">
        <v>2321</v>
      </c>
      <c r="B11" s="185" t="s">
        <v>890</v>
      </c>
      <c r="C11" s="273">
        <f t="shared" si="0"/>
        <v>350010.89</v>
      </c>
      <c r="D11" s="244">
        <v>350010.89</v>
      </c>
      <c r="E11" s="243"/>
      <c r="F11" s="251"/>
      <c r="G11" s="251"/>
      <c r="H11" s="251"/>
      <c r="I11" s="254"/>
    </row>
    <row r="12" spans="1:9" x14ac:dyDescent="0.2">
      <c r="A12" s="32">
        <v>2400</v>
      </c>
      <c r="B12" t="s">
        <v>711</v>
      </c>
      <c r="C12" s="273">
        <f t="shared" si="0"/>
        <v>1269821.03</v>
      </c>
      <c r="D12" s="20">
        <f>'DOE25'!L206+'DOE25'!L224+'DOE25'!L242-F12-G12-H12</f>
        <v>1208613.8500000001</v>
      </c>
      <c r="E12" s="243"/>
      <c r="F12" s="244"/>
      <c r="G12" s="53">
        <f>'DOE25'!J206+'DOE25'!J224+'DOE25'!J242</f>
        <v>17263.54</v>
      </c>
      <c r="H12" s="53">
        <f>'DOE25'!K206+'DOE25'!K224+'DOE25'!K242</f>
        <v>43943.64</v>
      </c>
      <c r="I12" s="254"/>
    </row>
    <row r="13" spans="1:9" x14ac:dyDescent="0.2">
      <c r="A13" s="32">
        <v>2500</v>
      </c>
      <c r="B13" t="s">
        <v>798</v>
      </c>
      <c r="C13" s="273">
        <f t="shared" si="0"/>
        <v>395820.15</v>
      </c>
      <c r="D13" s="243"/>
      <c r="E13" s="20">
        <f>'DOE25'!L207+'DOE25'!L225+'DOE25'!L243-F13-G13-H13</f>
        <v>393496.74000000005</v>
      </c>
      <c r="F13" s="244"/>
      <c r="G13" s="53">
        <f>'DOE25'!J207+'DOE25'!J225+'DOE25'!J243</f>
        <v>0</v>
      </c>
      <c r="H13" s="53">
        <f>'DOE25'!K207+'DOE25'!K225+'DOE25'!K243</f>
        <v>2323.41</v>
      </c>
      <c r="I13" s="254"/>
    </row>
    <row r="14" spans="1:9" x14ac:dyDescent="0.2">
      <c r="A14" s="32">
        <v>2600</v>
      </c>
      <c r="B14" t="s">
        <v>819</v>
      </c>
      <c r="C14" s="273">
        <f t="shared" si="0"/>
        <v>2527490.08</v>
      </c>
      <c r="D14" s="20">
        <f>'DOE25'!L208+'DOE25'!L226+'DOE25'!L244-F14-G14-H14</f>
        <v>2449884.73</v>
      </c>
      <c r="E14" s="243"/>
      <c r="F14" s="244">
        <f>95671-25000</f>
        <v>70671</v>
      </c>
      <c r="G14" s="53">
        <f>'DOE25'!J208+'DOE25'!J226+'DOE25'!J244</f>
        <v>6034.3499999999995</v>
      </c>
      <c r="H14" s="53">
        <f>'DOE25'!K208+'DOE25'!K226+'DOE25'!K244</f>
        <v>900</v>
      </c>
      <c r="I14" s="254"/>
    </row>
    <row r="15" spans="1:9" x14ac:dyDescent="0.2">
      <c r="A15" s="32">
        <v>2700</v>
      </c>
      <c r="B15" t="s">
        <v>799</v>
      </c>
      <c r="C15" s="273">
        <f t="shared" si="0"/>
        <v>1071364.69</v>
      </c>
      <c r="D15" s="20">
        <f>'DOE25'!L209+'DOE25'!L227+'DOE25'!L245-F15-G15-H15</f>
        <v>132930.03999999992</v>
      </c>
      <c r="E15" s="243"/>
      <c r="F15" s="244">
        <f>963434.65-25000</f>
        <v>938434.65</v>
      </c>
      <c r="G15" s="53">
        <f>'DOE25'!J209+'DOE25'!J227+'DOE25'!J245</f>
        <v>0</v>
      </c>
      <c r="H15" s="53">
        <f>'DOE25'!K209+'DOE25'!K227+'DOE25'!K245</f>
        <v>0</v>
      </c>
      <c r="I15" s="254"/>
    </row>
    <row r="16" spans="1:9" x14ac:dyDescent="0.2">
      <c r="A16" s="32">
        <v>2800</v>
      </c>
      <c r="B16" t="s">
        <v>800</v>
      </c>
      <c r="C16" s="273">
        <f t="shared" si="0"/>
        <v>77820.3</v>
      </c>
      <c r="D16" s="243"/>
      <c r="E16" s="20">
        <f>'DOE25'!L210+'DOE25'!L228+'DOE25'!L246-F16-G16-H16</f>
        <v>59285.760000000002</v>
      </c>
      <c r="F16" s="244"/>
      <c r="G16" s="53">
        <f>'DOE25'!J210+'DOE25'!J228+'DOE25'!J246</f>
        <v>0</v>
      </c>
      <c r="H16" s="53">
        <f>'DOE25'!K210+'DOE25'!K228+'DOE25'!K246</f>
        <v>18534.54</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9201.5499999999993</v>
      </c>
      <c r="D22" s="243"/>
      <c r="E22" s="243"/>
      <c r="F22" s="243"/>
      <c r="G22" s="53">
        <f>'DOE25'!L256+'DOE25'!L337</f>
        <v>9201.5499999999993</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349890.99000000005</v>
      </c>
      <c r="D29" s="281">
        <f>'DOE25'!L359+'DOE25'!L360+'DOE25'!L361-'DOE25'!I368-F29-G29-H29</f>
        <v>344404.72000000003</v>
      </c>
      <c r="E29" s="243"/>
      <c r="F29" s="244"/>
      <c r="G29" s="53">
        <f>'DOE25'!J359+'DOE25'!J360+'DOE25'!J361</f>
        <v>0</v>
      </c>
      <c r="H29" s="53">
        <f>'DOE25'!K359+'DOE25'!K360+'DOE25'!K361</f>
        <v>5486.27</v>
      </c>
      <c r="I29" s="254"/>
    </row>
    <row r="30" spans="1:9" x14ac:dyDescent="0.2">
      <c r="A30" s="32"/>
      <c r="C30" s="274"/>
      <c r="D30" s="20"/>
      <c r="E30" s="278"/>
      <c r="F30" s="268"/>
      <c r="G30" s="53"/>
      <c r="H30" s="53"/>
      <c r="I30" s="254"/>
    </row>
    <row r="31" spans="1:9" x14ac:dyDescent="0.2">
      <c r="A31" s="32" t="s">
        <v>818</v>
      </c>
      <c r="B31" t="s">
        <v>817</v>
      </c>
      <c r="C31" s="273">
        <f>SUM(D31:I31)</f>
        <v>2553050.3000000003</v>
      </c>
      <c r="D31" s="20">
        <f>'DOE25'!L291+'DOE25'!L310+'DOE25'!L329+'DOE25'!L334+'DOE25'!L335+'DOE25'!L336-F31-G31-H31</f>
        <v>2001565.95</v>
      </c>
      <c r="E31" s="243"/>
      <c r="F31" s="244">
        <v>60683.75</v>
      </c>
      <c r="G31" s="53">
        <f>'DOE25'!J291+'DOE25'!J310+'DOE25'!J329+'DOE25'!J334+'DOE25'!J335+'DOE25'!J336</f>
        <v>468147.71</v>
      </c>
      <c r="H31" s="53">
        <f>'DOE25'!K291+'DOE25'!K310+'DOE25'!K329+'DOE25'!K334+'DOE25'!K335+'DOE25'!K336</f>
        <v>22652.89</v>
      </c>
      <c r="I31" s="254"/>
    </row>
    <row r="32" spans="1:9" ht="12" thickBot="1" x14ac:dyDescent="0.25">
      <c r="C32" s="274"/>
      <c r="G32" s="249"/>
      <c r="H32" s="249"/>
      <c r="I32" s="256"/>
    </row>
    <row r="33" spans="1:9" ht="12" thickTop="1" x14ac:dyDescent="0.2">
      <c r="B33" t="s">
        <v>809</v>
      </c>
      <c r="D33" s="245">
        <f t="shared" ref="D33:I33" si="1">SUM(D5:D31)</f>
        <v>19868194.369999994</v>
      </c>
      <c r="E33" s="245">
        <f t="shared" si="1"/>
        <v>1066662.04</v>
      </c>
      <c r="F33" s="245">
        <f t="shared" si="1"/>
        <v>1069789.3999999999</v>
      </c>
      <c r="G33" s="245">
        <f t="shared" si="1"/>
        <v>549706</v>
      </c>
      <c r="H33" s="245">
        <f t="shared" si="1"/>
        <v>279864.63999999996</v>
      </c>
      <c r="I33" s="245">
        <f t="shared" si="1"/>
        <v>0</v>
      </c>
    </row>
    <row r="35" spans="1:9" ht="12" thickBot="1" x14ac:dyDescent="0.25">
      <c r="B35" s="249" t="s">
        <v>831</v>
      </c>
      <c r="D35" s="250">
        <f>E33</f>
        <v>1066662.04</v>
      </c>
      <c r="E35" s="246"/>
      <c r="F35" s="333" t="s">
        <v>1632</v>
      </c>
      <c r="G35" s="334"/>
      <c r="H35" s="334"/>
      <c r="I35" s="334"/>
    </row>
    <row r="36" spans="1:9" ht="12" thickTop="1" x14ac:dyDescent="0.2">
      <c r="B36" t="s">
        <v>810</v>
      </c>
      <c r="D36" s="20">
        <f>D33</f>
        <v>19868194.369999994</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37" sqref="D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WHITE MOUNTAINS REGIONAL SCHOOL DISTRICT</v>
      </c>
      <c r="B2" s="126">
        <f>'DOE25'!B2</f>
        <v>568</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14153216.149999999</v>
      </c>
      <c r="G4" s="300">
        <f>'DOE25'!L212+'DOE25'!L291</f>
        <v>14153216.149999997</v>
      </c>
      <c r="H4" s="353">
        <f>F4-G4</f>
        <v>0</v>
      </c>
      <c r="I4" s="372" t="str">
        <f>IF(H4=0,"","ISSUES!! Please review page 7 and 11 totals in comparison with total on this page")</f>
        <v/>
      </c>
      <c r="N4"/>
    </row>
    <row r="5" spans="1:18" x14ac:dyDescent="0.2">
      <c r="A5" s="21" t="s">
        <v>1473</v>
      </c>
      <c r="B5" s="301">
        <f>IFERROR(VLOOKUP(A5,'School Tables'!$C$3:$D$365,2,FALSE),"")</f>
        <v>21475</v>
      </c>
      <c r="C5" s="294" t="str">
        <f>IFERROR(INDEX('School Tables'!$B$3:$B$365,MATCH('School Level Expenditures'!B5,'School Tables'!$D$3:$D$365,0)),"")</f>
        <v>White Mountains Regional</v>
      </c>
      <c r="D5" s="359">
        <v>6045849.96</v>
      </c>
      <c r="E5" s="291">
        <v>993403.35</v>
      </c>
      <c r="F5" s="304">
        <f>D5+E5</f>
        <v>7039253.3099999996</v>
      </c>
      <c r="G5" s="294"/>
      <c r="H5" s="294"/>
      <c r="I5" s="373"/>
      <c r="N5"/>
    </row>
    <row r="6" spans="1:18" x14ac:dyDescent="0.2">
      <c r="A6" s="21" t="s">
        <v>1472</v>
      </c>
      <c r="B6" s="301">
        <f>IFERROR(VLOOKUP(A6,'School Tables'!$C$3:$D$365,2,FALSE),"")</f>
        <v>26930</v>
      </c>
      <c r="C6" s="294" t="str">
        <f>IFERROR(INDEX('School Tables'!$B$3:$B$365,MATCH('School Level Expenditures'!B6,'School Tables'!$D$3:$D$365,0)),"")</f>
        <v>White Mountains Regional</v>
      </c>
      <c r="D6" s="291">
        <v>6120559.96</v>
      </c>
      <c r="E6" s="291">
        <v>993402.88</v>
      </c>
      <c r="F6" s="304">
        <f t="shared" ref="F6:F20" si="0">D6+E6</f>
        <v>7113962.8399999999</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12166409.92</v>
      </c>
      <c r="E21" s="351">
        <f>SUM(E5:E20)</f>
        <v>1986806.23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2"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8303907.7599999998</v>
      </c>
      <c r="G36" s="300">
        <f>'DOE25'!L248+'DOE25'!L329</f>
        <v>8303907.7599999998</v>
      </c>
      <c r="H36" s="353">
        <f>F36-G36</f>
        <v>0</v>
      </c>
      <c r="I36" s="372" t="str">
        <f>IF(H36=0,"","ISSUES!! Please review page 9 and 13 totals in comparison with total on this page")</f>
        <v/>
      </c>
      <c r="N36"/>
    </row>
    <row r="37" spans="1:14" x14ac:dyDescent="0.2">
      <c r="A37" s="21" t="s">
        <v>1474</v>
      </c>
      <c r="B37" s="301">
        <f>IFERROR(VLOOKUP(A37,'School Tables'!$O$3:$P$118,2,FALSE),"")</f>
        <v>21480</v>
      </c>
      <c r="C37" s="294" t="str">
        <f t="array" ref="C37">IFERROR(INDEX('School Tables'!$N$3:$N$118,MATCH('School Level Expenditures'!B37,'School Tables'!$P$3:$P$118,0)),"")</f>
        <v>White Mountains Regional</v>
      </c>
      <c r="D37" s="291">
        <v>7633756.2199999997</v>
      </c>
      <c r="E37" s="291">
        <v>670151.54</v>
      </c>
      <c r="F37" s="304">
        <f t="shared" ref="F37:F42" si="2">D37+E37</f>
        <v>8303907.7599999998</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7633756.2199999997</v>
      </c>
      <c r="E43" s="352">
        <f>SUM(E37:E42)</f>
        <v>670151.54</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D37" sqref="D37"/>
      <selection pane="bottomLeft" activeCell="D37" sqref="D3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WHITE MOUNTAINS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1532678.13</v>
      </c>
      <c r="D8" s="95">
        <f>'DOE25'!G9</f>
        <v>0</v>
      </c>
      <c r="E8" s="95">
        <f>'DOE25'!H9</f>
        <v>0</v>
      </c>
      <c r="F8" s="95">
        <f>'DOE25'!I9</f>
        <v>0</v>
      </c>
      <c r="G8" s="95">
        <f>'DOE25'!J9</f>
        <v>1999747.1099999999</v>
      </c>
      <c r="H8" s="124"/>
      <c r="I8" s="124"/>
    </row>
    <row r="9" spans="1:9" x14ac:dyDescent="0.2">
      <c r="A9" s="1" t="s">
        <v>140</v>
      </c>
      <c r="B9" s="6">
        <v>110</v>
      </c>
      <c r="C9" s="95">
        <f>'DOE25'!F10</f>
        <v>168.95</v>
      </c>
      <c r="D9" s="95">
        <f>'DOE25'!G10</f>
        <v>0</v>
      </c>
      <c r="E9" s="95">
        <f>'DOE25'!H10</f>
        <v>0</v>
      </c>
      <c r="F9" s="95">
        <f>'DOE25'!I10</f>
        <v>0</v>
      </c>
      <c r="G9" s="95">
        <f>'DOE25'!J10</f>
        <v>0</v>
      </c>
      <c r="H9" s="124"/>
      <c r="I9" s="124"/>
    </row>
    <row r="10" spans="1:9" x14ac:dyDescent="0.2">
      <c r="A10" s="1" t="s">
        <v>141</v>
      </c>
      <c r="B10" s="6">
        <v>120</v>
      </c>
      <c r="C10" s="95">
        <f>'DOE25'!F11</f>
        <v>278715</v>
      </c>
      <c r="D10" s="24" t="s">
        <v>288</v>
      </c>
      <c r="E10" s="24" t="s">
        <v>288</v>
      </c>
      <c r="F10" s="24" t="s">
        <v>288</v>
      </c>
      <c r="G10" s="24" t="s">
        <v>288</v>
      </c>
      <c r="H10" s="124"/>
      <c r="I10" s="124"/>
    </row>
    <row r="11" spans="1:9" x14ac:dyDescent="0.2">
      <c r="A11" s="1" t="s">
        <v>142</v>
      </c>
      <c r="B11" s="6">
        <v>130</v>
      </c>
      <c r="C11" s="95">
        <f>'DOE25'!F12</f>
        <v>1008361.64</v>
      </c>
      <c r="D11" s="95">
        <f>'DOE25'!G12</f>
        <v>0</v>
      </c>
      <c r="E11" s="95">
        <f>'DOE25'!H12</f>
        <v>29104.16</v>
      </c>
      <c r="F11" s="95">
        <f>'DOE25'!I12</f>
        <v>0</v>
      </c>
      <c r="G11" s="95">
        <f>'DOE25'!J12</f>
        <v>193017.01</v>
      </c>
      <c r="H11" s="124"/>
      <c r="I11" s="124"/>
    </row>
    <row r="12" spans="1:9" x14ac:dyDescent="0.2">
      <c r="A12" s="1" t="s">
        <v>143</v>
      </c>
      <c r="B12" s="6">
        <v>140</v>
      </c>
      <c r="C12" s="95">
        <f>'DOE25'!F13</f>
        <v>71746.84</v>
      </c>
      <c r="D12" s="95">
        <f>'DOE25'!G13</f>
        <v>38549.019999999997</v>
      </c>
      <c r="E12" s="95">
        <f>'DOE25'!H13</f>
        <v>1174557.6200000001</v>
      </c>
      <c r="F12" s="95">
        <f>'DOE25'!I13</f>
        <v>0</v>
      </c>
      <c r="G12" s="95">
        <f>'DOE25'!J13</f>
        <v>0</v>
      </c>
      <c r="H12" s="124"/>
      <c r="I12" s="124"/>
    </row>
    <row r="13" spans="1:9" x14ac:dyDescent="0.2">
      <c r="A13" s="1" t="s">
        <v>144</v>
      </c>
      <c r="B13" s="6">
        <v>150</v>
      </c>
      <c r="C13" s="95">
        <f>'DOE25'!F14</f>
        <v>50637.67</v>
      </c>
      <c r="D13" s="95">
        <f>'DOE25'!G14</f>
        <v>0</v>
      </c>
      <c r="E13" s="95">
        <f>'DOE25'!H14</f>
        <v>330.1</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68673.13</v>
      </c>
      <c r="D16" s="95">
        <f>'DOE25'!G17</f>
        <v>0</v>
      </c>
      <c r="E16" s="95">
        <f>'DOE25'!H17</f>
        <v>31040.36</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3010981.3599999994</v>
      </c>
      <c r="D18" s="41">
        <f>SUM(D8:D17)</f>
        <v>38549.019999999997</v>
      </c>
      <c r="E18" s="41">
        <f>SUM(E8:E17)</f>
        <v>1235032.2400000002</v>
      </c>
      <c r="F18" s="41">
        <f>SUM(F8:F17)</f>
        <v>0</v>
      </c>
      <c r="G18" s="41">
        <f>SUM(G8:G17)</f>
        <v>2192764.12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36216.99</v>
      </c>
      <c r="E21" s="95">
        <f>'DOE25'!H22</f>
        <v>1015194.4</v>
      </c>
      <c r="F21" s="95">
        <f>'DOE25'!I22</f>
        <v>0</v>
      </c>
      <c r="G21" s="95">
        <f>'DOE25'!J22</f>
        <v>179071.42</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39298.050000000003</v>
      </c>
      <c r="D23" s="95">
        <f>'DOE25'!G24</f>
        <v>41.67</v>
      </c>
      <c r="E23" s="95">
        <f>'DOE25'!H24</f>
        <v>9894.73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1427657.93</v>
      </c>
      <c r="D27" s="95">
        <f>'DOE25'!G28</f>
        <v>177.62</v>
      </c>
      <c r="E27" s="95">
        <f>'DOE25'!H28</f>
        <v>0</v>
      </c>
      <c r="F27" s="95">
        <f>'DOE25'!I28</f>
        <v>0</v>
      </c>
      <c r="G27" s="24" t="s">
        <v>288</v>
      </c>
      <c r="H27" s="124"/>
      <c r="I27" s="124"/>
    </row>
    <row r="28" spans="1:9" x14ac:dyDescent="0.2">
      <c r="A28" s="1" t="s">
        <v>157</v>
      </c>
      <c r="B28" s="6">
        <v>470</v>
      </c>
      <c r="C28" s="95">
        <f>'DOE25'!F29</f>
        <v>234661.56</v>
      </c>
      <c r="D28" s="95">
        <f>'DOE25'!G29</f>
        <v>2112.7399999999998</v>
      </c>
      <c r="E28" s="95">
        <f>'DOE25'!H29</f>
        <v>16668.080000000002</v>
      </c>
      <c r="F28" s="95">
        <f>'DOE25'!I29</f>
        <v>0</v>
      </c>
      <c r="G28" s="24" t="s">
        <v>288</v>
      </c>
      <c r="H28" s="124"/>
      <c r="I28" s="124"/>
    </row>
    <row r="29" spans="1:9" x14ac:dyDescent="0.2">
      <c r="A29" s="1" t="s">
        <v>158</v>
      </c>
      <c r="B29" s="6">
        <v>480</v>
      </c>
      <c r="C29" s="95">
        <f>'DOE25'!F30</f>
        <v>237500</v>
      </c>
      <c r="D29" s="95">
        <f>'DOE25'!G30</f>
        <v>0</v>
      </c>
      <c r="E29" s="95">
        <f>'DOE25'!H30</f>
        <v>163840.76999999999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1939117.54</v>
      </c>
      <c r="D31" s="41">
        <f>SUM(D21:D30)</f>
        <v>38549.019999999997</v>
      </c>
      <c r="E31" s="41">
        <f>SUM(E21:E30)</f>
        <v>1205597.98</v>
      </c>
      <c r="F31" s="41">
        <f>SUM(F21:F30)</f>
        <v>0</v>
      </c>
      <c r="G31" s="41">
        <f>SUM(G21:G30)</f>
        <v>179071.42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68673.13</v>
      </c>
      <c r="D35" s="95">
        <f>'DOE25'!G36</f>
        <v>0</v>
      </c>
      <c r="E35" s="95">
        <f>'DOE25'!H36</f>
        <v>31040.36</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510000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-1606.1000000000022</v>
      </c>
      <c r="F47" s="95">
        <f>'DOE25'!I48</f>
        <v>0</v>
      </c>
      <c r="G47" s="95">
        <f>'DOE25'!J48</f>
        <v>2013692.7000000002</v>
      </c>
      <c r="H47" s="124"/>
      <c r="I47" s="124"/>
    </row>
    <row r="48" spans="1:9" x14ac:dyDescent="0.2">
      <c r="A48" s="1" t="s">
        <v>882</v>
      </c>
      <c r="B48" s="6">
        <v>753</v>
      </c>
      <c r="C48" s="95">
        <f>'DOE25'!F49</f>
        <v>19190.95</v>
      </c>
      <c r="D48" s="95">
        <f>'DOE25'!G49</f>
        <v>0</v>
      </c>
      <c r="E48" s="95">
        <f>'DOE25'!H49</f>
        <v>0</v>
      </c>
      <c r="F48" s="95">
        <f>'DOE25'!I49</f>
        <v>0</v>
      </c>
      <c r="G48" s="95">
        <f>'DOE25'!J49</f>
        <v>0</v>
      </c>
      <c r="H48" s="124"/>
      <c r="I48" s="124"/>
    </row>
    <row r="49" spans="1:9" ht="12" thickBot="1" x14ac:dyDescent="0.25">
      <c r="A49" s="29" t="s">
        <v>883</v>
      </c>
      <c r="B49" s="71">
        <v>770</v>
      </c>
      <c r="C49" s="95">
        <f>'DOE25'!F50</f>
        <v>473999.74000000011</v>
      </c>
      <c r="D49" s="24" t="s">
        <v>288</v>
      </c>
      <c r="E49" s="24" t="s">
        <v>288</v>
      </c>
      <c r="F49" s="24" t="s">
        <v>288</v>
      </c>
      <c r="G49" s="24" t="s">
        <v>288</v>
      </c>
      <c r="H49" s="124"/>
      <c r="I49" s="124"/>
    </row>
    <row r="50" spans="1:9" ht="12.75" thickTop="1" thickBot="1" x14ac:dyDescent="0.25">
      <c r="A50" s="38" t="s">
        <v>884</v>
      </c>
      <c r="B50" s="48"/>
      <c r="C50" s="41">
        <f>SUM(C34:C49)</f>
        <v>1071863.82</v>
      </c>
      <c r="D50" s="41">
        <f>SUM(D34:D49)</f>
        <v>0</v>
      </c>
      <c r="E50" s="41">
        <f>SUM(E34:E49)</f>
        <v>29434.26</v>
      </c>
      <c r="F50" s="41">
        <f>SUM(F34:F49)</f>
        <v>0</v>
      </c>
      <c r="G50" s="41">
        <f>SUM(G34:G49)</f>
        <v>2013692.7000000002</v>
      </c>
      <c r="H50" s="124"/>
      <c r="I50" s="124"/>
    </row>
    <row r="51" spans="1:9" ht="12" thickTop="1" x14ac:dyDescent="0.2">
      <c r="A51" s="38" t="s">
        <v>885</v>
      </c>
      <c r="B51" s="2"/>
      <c r="C51" s="41">
        <f>C50+C31</f>
        <v>3010981.3600000003</v>
      </c>
      <c r="D51" s="41">
        <f>D50+D31</f>
        <v>38549.019999999997</v>
      </c>
      <c r="E51" s="41">
        <f>E50+E31</f>
        <v>1235032.24</v>
      </c>
      <c r="F51" s="41">
        <f>F50+F31</f>
        <v>0</v>
      </c>
      <c r="G51" s="41">
        <f>G50+G31</f>
        <v>2192764.12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10370340</v>
      </c>
      <c r="D56" s="95">
        <f>'DOE25'!G60</f>
        <v>0</v>
      </c>
      <c r="E56" s="95">
        <f>'DOE25'!H60</f>
        <v>0</v>
      </c>
      <c r="F56" s="95">
        <f>'DOE25'!I60</f>
        <v>0</v>
      </c>
      <c r="G56" s="95">
        <f>'DOE25'!J60</f>
        <v>0</v>
      </c>
      <c r="H56"/>
      <c r="I56"/>
    </row>
    <row r="57" spans="1:9" x14ac:dyDescent="0.2">
      <c r="A57" s="1" t="s">
        <v>164</v>
      </c>
      <c r="B57" s="6" t="s">
        <v>165</v>
      </c>
      <c r="C57" s="95">
        <f>'DOE25'!F79</f>
        <v>1016650.26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4004.94</v>
      </c>
      <c r="D59" s="95">
        <f>'DOE25'!G96</f>
        <v>0</v>
      </c>
      <c r="E59" s="95">
        <f>'DOE25'!H96</f>
        <v>0</v>
      </c>
      <c r="F59" s="95">
        <f>'DOE25'!I96</f>
        <v>0</v>
      </c>
      <c r="G59" s="95">
        <f>'DOE25'!J96</f>
        <v>11615.61</v>
      </c>
      <c r="H59"/>
      <c r="I59"/>
    </row>
    <row r="60" spans="1:9" x14ac:dyDescent="0.2">
      <c r="A60" s="1" t="s">
        <v>170</v>
      </c>
      <c r="B60" s="118" t="s">
        <v>171</v>
      </c>
      <c r="C60" s="24" t="s">
        <v>288</v>
      </c>
      <c r="D60" s="95">
        <f>'DOE25'!G97</f>
        <v>11703.83</v>
      </c>
      <c r="E60" s="24" t="s">
        <v>288</v>
      </c>
      <c r="F60" s="24" t="s">
        <v>288</v>
      </c>
      <c r="G60" s="24" t="s">
        <v>288</v>
      </c>
      <c r="H60"/>
      <c r="I60"/>
    </row>
    <row r="61" spans="1:9" ht="12" thickBot="1" x14ac:dyDescent="0.25">
      <c r="A61" s="1" t="s">
        <v>172</v>
      </c>
      <c r="B61" s="118" t="s">
        <v>173</v>
      </c>
      <c r="C61" s="95">
        <f>SUM('DOE25'!F98:F110)</f>
        <v>60012.800000000003</v>
      </c>
      <c r="D61" s="95">
        <f>SUM('DOE25'!G98:G110)</f>
        <v>6807.55</v>
      </c>
      <c r="E61" s="95">
        <f>SUM('DOE25'!H98:H110)</f>
        <v>95390.209999999992</v>
      </c>
      <c r="F61" s="95">
        <f>SUM('DOE25'!I98:I110)</f>
        <v>0</v>
      </c>
      <c r="G61" s="95">
        <f>SUM('DOE25'!J98:J110)</f>
        <v>0</v>
      </c>
      <c r="H61"/>
      <c r="I61"/>
    </row>
    <row r="62" spans="1:9" ht="12.75" thickTop="1" thickBot="1" x14ac:dyDescent="0.25">
      <c r="A62" s="29" t="s">
        <v>174</v>
      </c>
      <c r="B62" s="6"/>
      <c r="C62" s="130">
        <f>SUM(C57:C61)</f>
        <v>1080668</v>
      </c>
      <c r="D62" s="130">
        <f>SUM(D57:D61)</f>
        <v>18511.38</v>
      </c>
      <c r="E62" s="130">
        <f>SUM(E57:E61)</f>
        <v>95390.209999999992</v>
      </c>
      <c r="F62" s="130">
        <f>SUM(F57:F61)</f>
        <v>0</v>
      </c>
      <c r="G62" s="130">
        <f>SUM(G57:G61)</f>
        <v>11615.61</v>
      </c>
      <c r="H62"/>
      <c r="I62"/>
    </row>
    <row r="63" spans="1:9" ht="12" thickTop="1" x14ac:dyDescent="0.2">
      <c r="A63" s="29" t="s">
        <v>175</v>
      </c>
      <c r="B63" s="6"/>
      <c r="C63" s="22">
        <f>C56+C62</f>
        <v>11451008</v>
      </c>
      <c r="D63" s="22">
        <f>D56+D62</f>
        <v>18511.38</v>
      </c>
      <c r="E63" s="22">
        <f>E56+E62</f>
        <v>95390.209999999992</v>
      </c>
      <c r="F63" s="22">
        <f>F56+F62</f>
        <v>0</v>
      </c>
      <c r="G63" s="22">
        <f>G56+G62</f>
        <v>11615.61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7508566.3899999997</v>
      </c>
      <c r="D66" s="24" t="s">
        <v>288</v>
      </c>
      <c r="E66" s="24" t="s">
        <v>288</v>
      </c>
      <c r="F66" s="24" t="s">
        <v>288</v>
      </c>
      <c r="G66" s="24" t="s">
        <v>288</v>
      </c>
      <c r="H66"/>
      <c r="I66"/>
    </row>
    <row r="67" spans="1:9" x14ac:dyDescent="0.2">
      <c r="A67" s="1" t="s">
        <v>770</v>
      </c>
      <c r="B67" s="6">
        <v>3112</v>
      </c>
      <c r="C67" s="95">
        <f>'DOE25'!F118</f>
        <v>1995227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9505788.6000000015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337005.03</v>
      </c>
      <c r="D75" s="24" t="s">
        <v>288</v>
      </c>
      <c r="E75" s="24" t="s">
        <v>288</v>
      </c>
      <c r="F75" s="24" t="s">
        <v>288</v>
      </c>
      <c r="G75" s="24" t="s">
        <v>288</v>
      </c>
      <c r="H75"/>
      <c r="I75"/>
    </row>
    <row r="76" spans="1:9" x14ac:dyDescent="0.2">
      <c r="A76" s="1" t="s">
        <v>257</v>
      </c>
      <c r="B76" s="6" t="s">
        <v>179</v>
      </c>
      <c r="C76" s="95">
        <f>SUM('DOE25'!F127:F130)</f>
        <v>122621.02</v>
      </c>
      <c r="D76" s="24" t="s">
        <v>288</v>
      </c>
      <c r="E76" s="95">
        <f>SUM('DOE25'!H127:H130)</f>
        <v>3957.27</v>
      </c>
      <c r="F76" s="95">
        <f>SUM('DOE25'!I127:I130)</f>
        <v>0</v>
      </c>
      <c r="G76" s="24" t="s">
        <v>288</v>
      </c>
      <c r="H76"/>
      <c r="I76"/>
    </row>
    <row r="77" spans="1:9" ht="12" thickBot="1" x14ac:dyDescent="0.25">
      <c r="A77" s="1" t="s">
        <v>258</v>
      </c>
      <c r="B77" s="6" t="s">
        <v>180</v>
      </c>
      <c r="C77" s="95">
        <f>SUM('DOE25'!F131:F135)</f>
        <v>0</v>
      </c>
      <c r="D77" s="95">
        <f>SUM('DOE25'!G131:G135)</f>
        <v>8896.64</v>
      </c>
      <c r="E77" s="95">
        <f>SUM('DOE25'!H131:H135)</f>
        <v>0</v>
      </c>
      <c r="F77" s="95">
        <f>SUM('DOE25'!I131:I135)</f>
        <v>0</v>
      </c>
      <c r="G77" s="95">
        <f>SUM('DOE25'!J131:J135)</f>
        <v>0</v>
      </c>
      <c r="H77"/>
      <c r="I77"/>
    </row>
    <row r="78" spans="1:9" ht="12.75" thickTop="1" thickBot="1" x14ac:dyDescent="0.25">
      <c r="A78" s="29" t="s">
        <v>259</v>
      </c>
      <c r="B78" s="6"/>
      <c r="C78" s="130">
        <f>SUM(C72:C77)</f>
        <v>459626.05000000005</v>
      </c>
      <c r="D78" s="130">
        <f>SUM(D72:D77)</f>
        <v>8896.64</v>
      </c>
      <c r="E78" s="130">
        <f>SUM(E72:E77)</f>
        <v>3957.27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9965414.6500000022</v>
      </c>
      <c r="D81" s="130">
        <f>SUM(D79:D80)+D78+D70</f>
        <v>8896.64</v>
      </c>
      <c r="E81" s="130">
        <f>SUM(E79:E80)+E78+E70</f>
        <v>3957.27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72191.41</v>
      </c>
      <c r="D88" s="331">
        <f>SUM('DOE25'!G153:G162)</f>
        <v>352136.69</v>
      </c>
      <c r="E88" s="331">
        <f>SUM('DOE25'!H153:H162)</f>
        <v>2555761.59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24264.62</v>
      </c>
      <c r="D90" s="24" t="s">
        <v>288</v>
      </c>
      <c r="E90" s="24" t="s">
        <v>288</v>
      </c>
      <c r="F90" s="24" t="s">
        <v>288</v>
      </c>
      <c r="G90" s="24" t="s">
        <v>288</v>
      </c>
    </row>
    <row r="91" spans="1:9" ht="12.75" thickTop="1" thickBot="1" x14ac:dyDescent="0.25">
      <c r="A91" s="33" t="s">
        <v>750</v>
      </c>
      <c r="C91" s="131">
        <f>SUM(C85:C90)</f>
        <v>96456.03</v>
      </c>
      <c r="D91" s="131">
        <f>SUM(D85:D90)</f>
        <v>352136.69</v>
      </c>
      <c r="E91" s="131">
        <f>SUM(E85:E90)</f>
        <v>2555761.59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119231.76</v>
      </c>
      <c r="E96" s="95">
        <f>'DOE25'!H180</f>
        <v>0</v>
      </c>
      <c r="F96" s="95">
        <f>'DOE25'!I180</f>
        <v>0</v>
      </c>
      <c r="G96" s="95">
        <f>'DOE25'!J180</f>
        <v>1268755.6499999999</v>
      </c>
    </row>
    <row r="97" spans="1:7" x14ac:dyDescent="0.2">
      <c r="A97" t="s">
        <v>754</v>
      </c>
      <c r="B97" s="32" t="s">
        <v>188</v>
      </c>
      <c r="C97" s="95">
        <f>SUM('DOE25'!F181:F182)</f>
        <v>85415.01</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273048</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358463.01</v>
      </c>
      <c r="D103" s="86">
        <f>SUM(D93:D102)</f>
        <v>119231.76</v>
      </c>
      <c r="E103" s="86">
        <f>SUM(E93:E102)</f>
        <v>0</v>
      </c>
      <c r="F103" s="86">
        <f>SUM(F93:F102)</f>
        <v>0</v>
      </c>
      <c r="G103" s="86">
        <f>SUM(G93:G102)</f>
        <v>1268755.6499999999</v>
      </c>
    </row>
    <row r="104" spans="1:7" ht="12.75" thickTop="1" thickBot="1" x14ac:dyDescent="0.25">
      <c r="A104" s="33" t="s">
        <v>761</v>
      </c>
      <c r="C104" s="86">
        <f>C63+C81+C91+C103</f>
        <v>21871341.690000005</v>
      </c>
      <c r="D104" s="86">
        <f>D63+D81+D91+D103</f>
        <v>498776.47000000003</v>
      </c>
      <c r="E104" s="86">
        <f>E63+E81+E91+E103</f>
        <v>2655109.0699999998</v>
      </c>
      <c r="F104" s="86">
        <f>F63+F81+F91+F103</f>
        <v>0</v>
      </c>
      <c r="G104" s="86">
        <f>G63+G81+G103</f>
        <v>1280371.26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7109415.5499999989</v>
      </c>
      <c r="D109" s="24" t="s">
        <v>288</v>
      </c>
      <c r="E109" s="95">
        <f>('DOE25'!L277)+('DOE25'!L296)+('DOE25'!L315)</f>
        <v>916293.89000000013</v>
      </c>
      <c r="F109" s="24" t="s">
        <v>288</v>
      </c>
      <c r="G109" s="24" t="s">
        <v>288</v>
      </c>
    </row>
    <row r="110" spans="1:7" x14ac:dyDescent="0.2">
      <c r="A110" t="s">
        <v>198</v>
      </c>
      <c r="B110" s="32" t="s">
        <v>199</v>
      </c>
      <c r="C110" s="95">
        <f>('DOE25'!L199)+('DOE25'!L217)+('DOE25'!L235)</f>
        <v>3040201.91</v>
      </c>
      <c r="D110" s="24" t="s">
        <v>288</v>
      </c>
      <c r="E110" s="95">
        <f>('DOE25'!L278)+('DOE25'!L297)+('DOE25'!L316)</f>
        <v>489307.35</v>
      </c>
      <c r="F110" s="24" t="s">
        <v>288</v>
      </c>
      <c r="G110" s="24" t="s">
        <v>288</v>
      </c>
    </row>
    <row r="111" spans="1:7" x14ac:dyDescent="0.2">
      <c r="A111" t="s">
        <v>200</v>
      </c>
      <c r="B111" s="32" t="s">
        <v>165</v>
      </c>
      <c r="C111" s="95">
        <f>('DOE25'!L200)+('DOE25'!L218)+('DOE25'!L236)</f>
        <v>542558.41</v>
      </c>
      <c r="D111" s="24" t="s">
        <v>288</v>
      </c>
      <c r="E111" s="95">
        <f>('DOE25'!L279)+('DOE25'!L298)+('DOE25'!L317)</f>
        <v>67022.19</v>
      </c>
      <c r="F111" s="24" t="s">
        <v>288</v>
      </c>
      <c r="G111" s="24" t="s">
        <v>288</v>
      </c>
    </row>
    <row r="112" spans="1:7" x14ac:dyDescent="0.2">
      <c r="A112" t="s">
        <v>201</v>
      </c>
      <c r="B112" s="32" t="s">
        <v>167</v>
      </c>
      <c r="C112" s="95">
        <f>('DOE25'!L201)+('DOE25'!L219)+('DOE25'!L237)</f>
        <v>493288.9</v>
      </c>
      <c r="D112" s="24" t="s">
        <v>288</v>
      </c>
      <c r="E112" s="95">
        <f>+('DOE25'!L280)+('DOE25'!L299)+('DOE25'!L318)</f>
        <v>21829.08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11185464.77</v>
      </c>
      <c r="D115" s="86">
        <f>SUM(D109:D114)</f>
        <v>0</v>
      </c>
      <c r="E115" s="86">
        <f>SUM(E109:E114)</f>
        <v>1494452.5100000002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1782202.69</v>
      </c>
      <c r="D118" s="24" t="s">
        <v>288</v>
      </c>
      <c r="E118" s="95">
        <f>+('DOE25'!L282)+('DOE25'!L301)+('DOE25'!L320)</f>
        <v>451218.43</v>
      </c>
      <c r="F118" s="24" t="s">
        <v>288</v>
      </c>
      <c r="G118" s="24" t="s">
        <v>288</v>
      </c>
    </row>
    <row r="119" spans="1:7" x14ac:dyDescent="0.2">
      <c r="A119" t="s">
        <v>208</v>
      </c>
      <c r="B119" s="32" t="s">
        <v>209</v>
      </c>
      <c r="C119" s="95">
        <f>('DOE25'!L204)+('DOE25'!L222)+('DOE25'!L240)</f>
        <v>459821.46000000008</v>
      </c>
      <c r="D119" s="24" t="s">
        <v>288</v>
      </c>
      <c r="E119" s="95">
        <f>+('DOE25'!L283)+('DOE25'!L302)+('DOE25'!L321)</f>
        <v>217274.7</v>
      </c>
      <c r="F119" s="24" t="s">
        <v>288</v>
      </c>
      <c r="G119" s="24" t="s">
        <v>288</v>
      </c>
    </row>
    <row r="120" spans="1:7" x14ac:dyDescent="0.2">
      <c r="A120" t="s">
        <v>210</v>
      </c>
      <c r="B120" s="32" t="s">
        <v>211</v>
      </c>
      <c r="C120" s="95">
        <f>('DOE25'!L205)+('DOE25'!L223)+('DOE25'!L241)</f>
        <v>1134268.44</v>
      </c>
      <c r="D120" s="24" t="s">
        <v>288</v>
      </c>
      <c r="E120" s="95">
        <f>+('DOE25'!L284)+('DOE25'!L303)+('DOE25'!L322)</f>
        <v>76267.75</v>
      </c>
      <c r="F120" s="24" t="s">
        <v>288</v>
      </c>
      <c r="G120" s="24" t="s">
        <v>288</v>
      </c>
    </row>
    <row r="121" spans="1:7" x14ac:dyDescent="0.2">
      <c r="A121" t="s">
        <v>212</v>
      </c>
      <c r="B121" s="32" t="s">
        <v>213</v>
      </c>
      <c r="C121" s="95">
        <f>('DOE25'!L206)+('DOE25'!L224)+('DOE25'!L242)</f>
        <v>1269821.03</v>
      </c>
      <c r="D121" s="24" t="s">
        <v>288</v>
      </c>
      <c r="E121" s="95">
        <f>+('DOE25'!L285)+('DOE25'!L304)+('DOE25'!L323)</f>
        <v>17956.439999999999</v>
      </c>
      <c r="F121" s="24" t="s">
        <v>288</v>
      </c>
      <c r="G121" s="24" t="s">
        <v>288</v>
      </c>
    </row>
    <row r="122" spans="1:7" x14ac:dyDescent="0.2">
      <c r="A122" t="s">
        <v>214</v>
      </c>
      <c r="B122" s="32" t="s">
        <v>215</v>
      </c>
      <c r="C122" s="95">
        <f>('DOE25'!L207)+('DOE25'!L225)+('DOE25'!L243)</f>
        <v>395820.15</v>
      </c>
      <c r="D122" s="24" t="s">
        <v>288</v>
      </c>
      <c r="E122" s="95">
        <f>+('DOE25'!L286)+('DOE25'!L305)+('DOE25'!L324)</f>
        <v>40732.990000000005</v>
      </c>
      <c r="F122" s="24" t="s">
        <v>288</v>
      </c>
      <c r="G122" s="24" t="s">
        <v>288</v>
      </c>
    </row>
    <row r="123" spans="1:7" x14ac:dyDescent="0.2">
      <c r="A123" t="s">
        <v>216</v>
      </c>
      <c r="B123" s="32" t="s">
        <v>217</v>
      </c>
      <c r="C123" s="95">
        <f>('DOE25'!L208)+('DOE25'!L226)+('DOE25'!L244)</f>
        <v>2527490.08</v>
      </c>
      <c r="D123" s="24" t="s">
        <v>288</v>
      </c>
      <c r="E123" s="95">
        <f>+('DOE25'!L287)+('DOE25'!L306)+('DOE25'!L325)</f>
        <v>217309.08000000002</v>
      </c>
      <c r="F123" s="24" t="s">
        <v>288</v>
      </c>
      <c r="G123" s="24" t="s">
        <v>288</v>
      </c>
    </row>
    <row r="124" spans="1:7" x14ac:dyDescent="0.2">
      <c r="A124" t="s">
        <v>218</v>
      </c>
      <c r="B124" s="32" t="s">
        <v>219</v>
      </c>
      <c r="C124" s="95">
        <f>('DOE25'!L209)+('DOE25'!L227)+('DOE25'!L245+'DOE25'!L255)</f>
        <v>1071364.69</v>
      </c>
      <c r="D124" s="24" t="s">
        <v>288</v>
      </c>
      <c r="E124" s="95">
        <f>+('DOE25'!L288)+('DOE25'!L307)+('DOE25'!L326)</f>
        <v>13138.400000000001</v>
      </c>
      <c r="F124" s="24" t="s">
        <v>288</v>
      </c>
      <c r="G124" s="24" t="s">
        <v>288</v>
      </c>
    </row>
    <row r="125" spans="1:7" x14ac:dyDescent="0.2">
      <c r="A125" t="s">
        <v>220</v>
      </c>
      <c r="B125" s="32" t="s">
        <v>221</v>
      </c>
      <c r="C125" s="95">
        <f>('DOE25'!L210)+('DOE25'!L228)+('DOE25'!L246)</f>
        <v>77820.3</v>
      </c>
      <c r="D125" s="24" t="s">
        <v>288</v>
      </c>
      <c r="E125" s="95">
        <f>+('DOE25'!L289)+('DOE25'!L308)+('DOE25'!L327)</f>
        <v>24700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498776.47000000003</v>
      </c>
      <c r="E127" s="24" t="s">
        <v>288</v>
      </c>
      <c r="F127" s="24" t="s">
        <v>288</v>
      </c>
      <c r="G127" s="24" t="s">
        <v>288</v>
      </c>
    </row>
    <row r="128" spans="1:7" ht="12.75" thickTop="1" thickBot="1" x14ac:dyDescent="0.25">
      <c r="A128" s="33" t="s">
        <v>226</v>
      </c>
      <c r="C128" s="86">
        <f>SUM(C118:C127)</f>
        <v>8718608.8400000017</v>
      </c>
      <c r="D128" s="86">
        <f>SUM(D118:D127)</f>
        <v>498776.47000000003</v>
      </c>
      <c r="E128" s="86">
        <f>SUM(E118:E127)</f>
        <v>1058597.79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9201.5499999999993</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85414.99</v>
      </c>
      <c r="F134" s="95">
        <f>'DOE25'!K382</f>
        <v>0</v>
      </c>
      <c r="G134" s="95">
        <f>'DOE25'!K435</f>
        <v>275048</v>
      </c>
    </row>
    <row r="135" spans="1:7" x14ac:dyDescent="0.2">
      <c r="A135" t="s">
        <v>233</v>
      </c>
      <c r="B135" s="32" t="s">
        <v>234</v>
      </c>
      <c r="C135" s="95">
        <f>'DOE25'!L264</f>
        <v>119231.76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177116.48</v>
      </c>
      <c r="D138" s="24" t="s">
        <v>288</v>
      </c>
      <c r="E138" s="24" t="s">
        <v>288</v>
      </c>
      <c r="F138" s="24" t="s">
        <v>288</v>
      </c>
      <c r="G138" s="24" t="s">
        <v>288</v>
      </c>
    </row>
    <row r="139" spans="1:7" x14ac:dyDescent="0.2">
      <c r="A139" t="s">
        <v>239</v>
      </c>
      <c r="B139" s="32">
        <v>5252</v>
      </c>
      <c r="C139" s="95">
        <f>'DOE25'!L402</f>
        <v>1103254.78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-11615.610000000102</v>
      </c>
      <c r="D141" s="24" t="s">
        <v>288</v>
      </c>
      <c r="E141" s="24" t="s">
        <v>288</v>
      </c>
      <c r="F141" s="24" t="s">
        <v>288</v>
      </c>
      <c r="G141" s="24" t="s">
        <v>288</v>
      </c>
    </row>
    <row r="142" spans="1:7" x14ac:dyDescent="0.2">
      <c r="A142" t="s">
        <v>241</v>
      </c>
      <c r="B142" s="32">
        <v>5310</v>
      </c>
      <c r="C142" s="129">
        <f>'DOE25'!L269</f>
        <v>42804.3</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1430791.71</v>
      </c>
      <c r="D144" s="141">
        <f>SUM(D130:D143)</f>
        <v>0</v>
      </c>
      <c r="E144" s="141">
        <f>SUM(E130:E143)</f>
        <v>94616.540000000008</v>
      </c>
      <c r="F144" s="141">
        <f>SUM(F130:F143)</f>
        <v>0</v>
      </c>
      <c r="G144" s="141">
        <f>SUM(G130:G143)</f>
        <v>275048</v>
      </c>
    </row>
    <row r="145" spans="1:9" ht="12.75" thickTop="1" thickBot="1" x14ac:dyDescent="0.25">
      <c r="A145" s="33" t="s">
        <v>244</v>
      </c>
      <c r="C145" s="86">
        <f>(C115+C128+C144)</f>
        <v>21334865.32</v>
      </c>
      <c r="D145" s="86">
        <f>(D115+D128+D144)</f>
        <v>498776.47000000003</v>
      </c>
      <c r="E145" s="86">
        <f>(E115+E128+E144)</f>
        <v>2647666.8400000003</v>
      </c>
      <c r="F145" s="86">
        <f>(F115+F128+F144)</f>
        <v>0</v>
      </c>
      <c r="G145" s="86">
        <f>(G115+G128+G144)</f>
        <v>275048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G316" sqref="G31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WHITE MOUNTAINS REGIONAL SCHOOL DISTRICT</v>
      </c>
    </row>
    <row r="3" spans="1:4" x14ac:dyDescent="0.2">
      <c r="B3" s="188" t="s">
        <v>1666</v>
      </c>
    </row>
    <row r="4" spans="1:4" x14ac:dyDescent="0.2">
      <c r="B4" t="s">
        <v>61</v>
      </c>
      <c r="C4" s="179">
        <f>IF('DOE25'!F666+'DOE25'!F671=0,0,ROUND('DOE25'!F673,0))</f>
        <v>22041</v>
      </c>
    </row>
    <row r="5" spans="1:4" x14ac:dyDescent="0.2">
      <c r="B5" t="s">
        <v>700</v>
      </c>
      <c r="C5" s="179">
        <f>IF('DOE25'!G666+'DOE25'!G671=0,0,ROUND('DOE25'!G673,0))</f>
        <v>0</v>
      </c>
    </row>
    <row r="6" spans="1:4" x14ac:dyDescent="0.2">
      <c r="B6" t="s">
        <v>62</v>
      </c>
      <c r="C6" s="179">
        <f>IF('DOE25'!H666+'DOE25'!H671=0,0,ROUND('DOE25'!H673,0))</f>
        <v>19992</v>
      </c>
    </row>
    <row r="7" spans="1:4" x14ac:dyDescent="0.2">
      <c r="B7" t="s">
        <v>701</v>
      </c>
      <c r="C7" s="179">
        <f>IF('DOE25'!I666+'DOE25'!I671=0,0,ROUND('DOE25'!I673,0))</f>
        <v>21278</v>
      </c>
    </row>
    <row r="9" spans="1:4" x14ac:dyDescent="0.2">
      <c r="A9" s="187" t="s">
        <v>94</v>
      </c>
      <c r="B9" s="188" t="s">
        <v>1671</v>
      </c>
      <c r="C9" s="181" t="s">
        <v>720</v>
      </c>
      <c r="D9" s="181" t="s">
        <v>721</v>
      </c>
    </row>
    <row r="10" spans="1:4" x14ac:dyDescent="0.2">
      <c r="A10">
        <v>1100</v>
      </c>
      <c r="B10" t="s">
        <v>702</v>
      </c>
      <c r="C10" s="179">
        <f>ROUND('DOE25'!L198+'DOE25'!L216+'DOE25'!L234+'DOE25'!L277+'DOE25'!L296+'DOE25'!L315,0)</f>
        <v>8025709</v>
      </c>
      <c r="D10" s="182">
        <f>ROUND((C10/$C$28)*100,1)</f>
        <v>34.9</v>
      </c>
    </row>
    <row r="11" spans="1:4" x14ac:dyDescent="0.2">
      <c r="A11">
        <v>1200</v>
      </c>
      <c r="B11" t="s">
        <v>703</v>
      </c>
      <c r="C11" s="179">
        <f>ROUND('DOE25'!L199+'DOE25'!L217+'DOE25'!L235+'DOE25'!L278+'DOE25'!L297+'DOE25'!L316,0)</f>
        <v>3529509</v>
      </c>
      <c r="D11" s="182">
        <f>ROUND((C11/$C$28)*100,1)</f>
        <v>15.4</v>
      </c>
    </row>
    <row r="12" spans="1:4" x14ac:dyDescent="0.2">
      <c r="A12">
        <v>1300</v>
      </c>
      <c r="B12" t="s">
        <v>704</v>
      </c>
      <c r="C12" s="179">
        <f>ROUND('DOE25'!L200+'DOE25'!L218+'DOE25'!L236+'DOE25'!L279+'DOE25'!L298+'DOE25'!L317,0)</f>
        <v>609581</v>
      </c>
      <c r="D12" s="182">
        <f>ROUND((C12/$C$28)*100,1)</f>
        <v>2.7</v>
      </c>
    </row>
    <row r="13" spans="1:4" x14ac:dyDescent="0.2">
      <c r="A13">
        <v>1400</v>
      </c>
      <c r="B13" t="s">
        <v>705</v>
      </c>
      <c r="C13" s="179">
        <f>ROUND('DOE25'!L201+'DOE25'!L219+'DOE25'!L237+'DOE25'!L280+'DOE25'!L299+'DOE25'!L318,0)</f>
        <v>515118</v>
      </c>
      <c r="D13" s="182">
        <f>ROUND((C13/$C$28)*100,1)</f>
        <v>2.2000000000000002</v>
      </c>
    </row>
    <row r="14" spans="1:4" x14ac:dyDescent="0.2">
      <c r="D14" s="182"/>
    </row>
    <row r="15" spans="1:4" x14ac:dyDescent="0.2">
      <c r="A15">
        <v>2100</v>
      </c>
      <c r="B15" t="s">
        <v>706</v>
      </c>
      <c r="C15" s="179">
        <f>ROUND('DOE25'!L203+'DOE25'!L221+'DOE25'!L239+'DOE25'!L282+'DOE25'!L301+'DOE25'!L320,0)</f>
        <v>2233421</v>
      </c>
      <c r="D15" s="182">
        <f t="shared" ref="D15:D27" si="0">ROUND((C15/$C$28)*100,1)</f>
        <v>9.6999999999999993</v>
      </c>
    </row>
    <row r="16" spans="1:4" x14ac:dyDescent="0.2">
      <c r="A16">
        <v>2200</v>
      </c>
      <c r="B16" t="s">
        <v>707</v>
      </c>
      <c r="C16" s="179">
        <f>ROUND('DOE25'!L204+'DOE25'!L222+'DOE25'!L240+'DOE25'!L283+'DOE25'!L302+'DOE25'!L321,0)</f>
        <v>677096</v>
      </c>
      <c r="D16" s="182">
        <f t="shared" si="0"/>
        <v>2.9</v>
      </c>
    </row>
    <row r="17" spans="1:4" x14ac:dyDescent="0.2">
      <c r="A17" s="183" t="s">
        <v>723</v>
      </c>
      <c r="B17" t="s">
        <v>738</v>
      </c>
      <c r="C17" s="179">
        <f>ROUND('DOE25'!L205+'DOE25'!L210+'DOE25'!L223+'DOE25'!L228+'DOE25'!L241+'DOE25'!L246+'DOE25'!L284+'DOE25'!L289+'DOE25'!L303+'DOE25'!L308+'DOE25'!L322+'DOE25'!L327,0)</f>
        <v>1313056</v>
      </c>
      <c r="D17" s="182">
        <f t="shared" si="0"/>
        <v>5.7</v>
      </c>
    </row>
    <row r="18" spans="1:4" x14ac:dyDescent="0.2">
      <c r="A18">
        <v>2400</v>
      </c>
      <c r="B18" t="s">
        <v>711</v>
      </c>
      <c r="C18" s="179">
        <f>ROUND('DOE25'!L206+'DOE25'!L224+'DOE25'!L242+'DOE25'!L285+'DOE25'!L304+'DOE25'!L323,0)</f>
        <v>1287777</v>
      </c>
      <c r="D18" s="182">
        <f t="shared" si="0"/>
        <v>5.6</v>
      </c>
    </row>
    <row r="19" spans="1:4" x14ac:dyDescent="0.2">
      <c r="A19">
        <v>2500</v>
      </c>
      <c r="B19" t="s">
        <v>708</v>
      </c>
      <c r="C19" s="179">
        <f>ROUND('DOE25'!L207+'DOE25'!L225+'DOE25'!L243+'DOE25'!L286+'DOE25'!L305+'DOE25'!L324,0)</f>
        <v>436553</v>
      </c>
      <c r="D19" s="182">
        <f t="shared" si="0"/>
        <v>1.9</v>
      </c>
    </row>
    <row r="20" spans="1:4" x14ac:dyDescent="0.2">
      <c r="A20">
        <v>2600</v>
      </c>
      <c r="B20" t="s">
        <v>709</v>
      </c>
      <c r="C20" s="179">
        <f>ROUND('DOE25'!L208+'DOE25'!L226+'DOE25'!L244+'DOE25'!L287+'DOE25'!L306+'DOE25'!L325,0)</f>
        <v>2744799</v>
      </c>
      <c r="D20" s="182">
        <f t="shared" si="0"/>
        <v>11.9</v>
      </c>
    </row>
    <row r="21" spans="1:4" x14ac:dyDescent="0.2">
      <c r="A21">
        <v>2700</v>
      </c>
      <c r="B21" t="s">
        <v>710</v>
      </c>
      <c r="C21" s="179">
        <f>ROUND('DOE25'!L209+'DOE25'!L227+'DOE25'!L245+'DOE25'!L288+'DOE25'!L307+'DOE25'!L326,0)</f>
        <v>1084503</v>
      </c>
      <c r="D21" s="182">
        <f t="shared" si="0"/>
        <v>4.7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42804.3</v>
      </c>
      <c r="D26" s="182">
        <f t="shared" si="0"/>
        <v>0.2</v>
      </c>
    </row>
    <row r="27" spans="1:4" x14ac:dyDescent="0.2">
      <c r="A27">
        <v>3100</v>
      </c>
      <c r="B27" t="s">
        <v>11</v>
      </c>
      <c r="C27" s="179">
        <f>ROUND('DOE25'!L363-'DOE25'!L362,0)-SUM('DOE25'!G97:G110)</f>
        <v>480264.62</v>
      </c>
      <c r="D27" s="182">
        <f t="shared" si="0"/>
        <v>2.1</v>
      </c>
    </row>
    <row r="28" spans="1:4" x14ac:dyDescent="0.2">
      <c r="B28" s="187" t="s">
        <v>719</v>
      </c>
      <c r="C28" s="180">
        <f>SUM(C10:C27)</f>
        <v>22980190.920000002</v>
      </c>
      <c r="D28" s="184">
        <f>ROUND(SUM(D10:D27),0)</f>
        <v>100</v>
      </c>
    </row>
    <row r="29" spans="1:4" x14ac:dyDescent="0.2">
      <c r="A29">
        <v>4000</v>
      </c>
      <c r="B29" t="s">
        <v>724</v>
      </c>
      <c r="C29" s="179">
        <f>ROUND('DOE25'!L256+'DOE25'!L337+'DOE25'!L375+'DOE25'!L376+'DOE25'!L377+'DOE25'!L378+'DOE25'!L379+'DOE25'!L380+'DOE25'!L381,0)</f>
        <v>9202</v>
      </c>
    </row>
    <row r="30" spans="1:4" x14ac:dyDescent="0.2">
      <c r="B30" s="187" t="s">
        <v>725</v>
      </c>
      <c r="C30" s="180">
        <f>SUM(C28:C29)</f>
        <v>22989392.920000002</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10370340</v>
      </c>
      <c r="D35" s="182">
        <f t="shared" ref="D35:D40" si="1">ROUND((C35/$C$41)*100,1)</f>
        <v>42.3</v>
      </c>
    </row>
    <row r="36" spans="1:4" x14ac:dyDescent="0.2">
      <c r="B36" s="185" t="s">
        <v>739</v>
      </c>
      <c r="C36" s="179">
        <f>SUM('DOE25'!F112:J112)-SUM('DOE25'!G97:G110)+('DOE25'!F175+'DOE25'!F176+'DOE25'!I175+'DOE25'!I176)-C35</f>
        <v>1187673.8200000003</v>
      </c>
      <c r="D36" s="182">
        <f t="shared" si="1"/>
        <v>4.8</v>
      </c>
    </row>
    <row r="37" spans="1:4" x14ac:dyDescent="0.2">
      <c r="A37" s="183" t="s">
        <v>835</v>
      </c>
      <c r="B37" s="185" t="s">
        <v>728</v>
      </c>
      <c r="C37" s="179">
        <f>ROUND('DOE25'!F117+'DOE25'!F118,0)</f>
        <v>9503793</v>
      </c>
      <c r="D37" s="182">
        <f t="shared" si="1"/>
        <v>38.700000000000003</v>
      </c>
    </row>
    <row r="38" spans="1:4" x14ac:dyDescent="0.2">
      <c r="A38" s="183" t="s">
        <v>734</v>
      </c>
      <c r="B38" s="185" t="s">
        <v>729</v>
      </c>
      <c r="C38" s="179">
        <f>ROUND(SUM('DOE25'!F140:J140)-SUM('DOE25'!F117:F119),0)</f>
        <v>474475</v>
      </c>
      <c r="D38" s="182">
        <f t="shared" si="1"/>
        <v>1.9</v>
      </c>
    </row>
    <row r="39" spans="1:4" x14ac:dyDescent="0.2">
      <c r="A39">
        <v>4000</v>
      </c>
      <c r="B39" s="185" t="s">
        <v>730</v>
      </c>
      <c r="C39" s="179">
        <f>ROUND('DOE25'!F170+'DOE25'!G170+'DOE25'!H170+'DOE25'!I170,0)</f>
        <v>3004354</v>
      </c>
      <c r="D39" s="182">
        <f t="shared" si="1"/>
        <v>12.2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24540635.82</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G316" sqref="G31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WHITE MOUNTAINS REGIONAL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v>4</v>
      </c>
      <c r="B4" s="219">
        <v>10</v>
      </c>
      <c r="C4" s="376" t="s">
        <v>1676</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2021-09-01T19:49:52Z</cp:lastPrinted>
  <dcterms:created xsi:type="dcterms:W3CDTF">1997-12-04T19:04:30Z</dcterms:created>
  <dcterms:modified xsi:type="dcterms:W3CDTF">2021-12-14T20:00:34Z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