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8800" windowHeight="1359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46" i="1" l="1"/>
  <c r="H246" i="1"/>
  <c r="G246" i="1"/>
  <c r="F246" i="1"/>
  <c r="I244" i="1"/>
  <c r="H244" i="1"/>
  <c r="G244" i="1"/>
  <c r="F244" i="1"/>
  <c r="G242" i="1"/>
  <c r="G240" i="1"/>
  <c r="F240" i="1"/>
  <c r="G239" i="1"/>
  <c r="F239" i="1"/>
  <c r="I228" i="1"/>
  <c r="H228" i="1"/>
  <c r="G228" i="1"/>
  <c r="F228" i="1"/>
  <c r="I226" i="1"/>
  <c r="G226" i="1"/>
  <c r="F226" i="1"/>
  <c r="G224" i="1"/>
  <c r="G222" i="1"/>
  <c r="F222" i="1"/>
  <c r="G221" i="1"/>
  <c r="F221" i="1"/>
  <c r="J217" i="1"/>
  <c r="I210" i="1"/>
  <c r="H210" i="1"/>
  <c r="G210" i="1"/>
  <c r="F210" i="1"/>
  <c r="I208" i="1"/>
  <c r="H208" i="1"/>
  <c r="G208" i="1"/>
  <c r="F208" i="1"/>
  <c r="G206" i="1"/>
  <c r="G204" i="1"/>
  <c r="F204" i="1"/>
  <c r="G203" i="1"/>
  <c r="F203" i="1"/>
  <c r="E7" i="17"/>
  <c r="H31" i="17" s="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E112" i="2" s="1"/>
  <c r="L301" i="1"/>
  <c r="L302" i="1"/>
  <c r="L303" i="1"/>
  <c r="L304" i="1"/>
  <c r="L305" i="1"/>
  <c r="L306" i="1"/>
  <c r="L307" i="1"/>
  <c r="L308" i="1"/>
  <c r="L315" i="1"/>
  <c r="L316" i="1"/>
  <c r="L317" i="1"/>
  <c r="L318" i="1"/>
  <c r="L320" i="1"/>
  <c r="L321" i="1"/>
  <c r="L322" i="1"/>
  <c r="L323" i="1"/>
  <c r="L324" i="1"/>
  <c r="L325" i="1"/>
  <c r="L326" i="1"/>
  <c r="E124" i="2" s="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C58" i="2" s="1"/>
  <c r="F111" i="1"/>
  <c r="G111" i="1"/>
  <c r="H79" i="1"/>
  <c r="H94" i="1"/>
  <c r="H111" i="1"/>
  <c r="I111" i="1"/>
  <c r="J111" i="1"/>
  <c r="F121" i="1"/>
  <c r="F136" i="1"/>
  <c r="G121" i="1"/>
  <c r="G136" i="1"/>
  <c r="H121" i="1"/>
  <c r="H136" i="1"/>
  <c r="H140" i="1" s="1"/>
  <c r="I121" i="1"/>
  <c r="I136" i="1"/>
  <c r="J121" i="1"/>
  <c r="J136" i="1"/>
  <c r="F147" i="1"/>
  <c r="F170" i="1" s="1"/>
  <c r="G147" i="1"/>
  <c r="D85" i="2" s="1"/>
  <c r="H147" i="1"/>
  <c r="H170" i="1" s="1"/>
  <c r="I147" i="1"/>
  <c r="I170" i="1" s="1"/>
  <c r="L251" i="1"/>
  <c r="C113" i="2" s="1"/>
  <c r="L333" i="1"/>
  <c r="E113" i="2" s="1"/>
  <c r="L255" i="1"/>
  <c r="L269" i="1"/>
  <c r="L270" i="1"/>
  <c r="L350" i="1"/>
  <c r="E142" i="2" s="1"/>
  <c r="L351" i="1"/>
  <c r="E143" i="2" s="1"/>
  <c r="I666" i="1"/>
  <c r="I671" i="1"/>
  <c r="I670" i="1"/>
  <c r="C42" i="10"/>
  <c r="L375" i="1"/>
  <c r="L376" i="1"/>
  <c r="L377" i="1"/>
  <c r="L378" i="1"/>
  <c r="L379" i="1"/>
  <c r="L380" i="1"/>
  <c r="L381" i="1"/>
  <c r="B2" i="10"/>
  <c r="L345" i="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F128" i="2"/>
  <c r="G128" i="2"/>
  <c r="C130" i="2"/>
  <c r="D134" i="2"/>
  <c r="D144" i="2" s="1"/>
  <c r="E134" i="2"/>
  <c r="F134" i="2"/>
  <c r="K420" i="1"/>
  <c r="K428" i="1"/>
  <c r="K434" i="1"/>
  <c r="L264" i="1"/>
  <c r="C135" i="2" s="1"/>
  <c r="L265" i="1"/>
  <c r="C136" i="2" s="1"/>
  <c r="L266" i="1"/>
  <c r="C137" i="2" s="1"/>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I409" i="1" s="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46" i="1"/>
  <c r="G653" i="1"/>
  <c r="H653" i="1"/>
  <c r="G654" i="1"/>
  <c r="H654" i="1"/>
  <c r="G655" i="1"/>
  <c r="H655" i="1"/>
  <c r="H656" i="1"/>
  <c r="J656" i="1" s="1"/>
  <c r="G477" i="1" l="1"/>
  <c r="G409" i="1"/>
  <c r="H646" i="1" s="1"/>
  <c r="J646" i="1" s="1"/>
  <c r="F409" i="1"/>
  <c r="H644" i="1" s="1"/>
  <c r="J644" i="1" s="1"/>
  <c r="E121" i="2"/>
  <c r="E120" i="2"/>
  <c r="G62" i="2"/>
  <c r="I112" i="1"/>
  <c r="J112" i="1"/>
  <c r="G662" i="1"/>
  <c r="E125" i="2"/>
  <c r="C125" i="2"/>
  <c r="C12" i="10"/>
  <c r="C110" i="2"/>
  <c r="G663" i="1"/>
  <c r="C119" i="2"/>
  <c r="C112" i="2"/>
  <c r="C13" i="10"/>
  <c r="A40" i="12"/>
  <c r="H409" i="1"/>
  <c r="H645" i="1" s="1"/>
  <c r="J645" i="1" s="1"/>
  <c r="D50" i="2"/>
  <c r="D6" i="13"/>
  <c r="C6" i="13" s="1"/>
  <c r="K339" i="1"/>
  <c r="K353" i="1" s="1"/>
  <c r="J652" i="1"/>
  <c r="J140" i="1"/>
  <c r="J194" i="1" s="1"/>
  <c r="G647" i="1" s="1"/>
  <c r="C32" i="10"/>
  <c r="E123" i="2"/>
  <c r="E110" i="2"/>
  <c r="D18" i="13"/>
  <c r="C18" i="13" s="1"/>
  <c r="D15" i="13"/>
  <c r="C15" i="13" s="1"/>
  <c r="C121" i="2"/>
  <c r="C120" i="2"/>
  <c r="E119" i="2"/>
  <c r="G339" i="1"/>
  <c r="G353" i="1" s="1"/>
  <c r="H477" i="1"/>
  <c r="H625" i="1" s="1"/>
  <c r="J625" i="1" s="1"/>
  <c r="F85" i="2"/>
  <c r="F91" i="2" s="1"/>
  <c r="J572" i="1"/>
  <c r="G553" i="1"/>
  <c r="J258" i="1"/>
  <c r="E13" i="13"/>
  <c r="C13" i="13" s="1"/>
  <c r="H663" i="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C81" i="2" s="1"/>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E115" i="2" s="1"/>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G140" i="1"/>
  <c r="B11" i="16" s="1"/>
  <c r="F140" i="1"/>
  <c r="G63" i="2"/>
  <c r="J619" i="1"/>
  <c r="G42" i="2"/>
  <c r="G50" i="2" s="1"/>
  <c r="J51" i="1"/>
  <c r="G16" i="2"/>
  <c r="G18" i="2" s="1"/>
  <c r="J19" i="1"/>
  <c r="G622" i="1" s="1"/>
  <c r="F546" i="1"/>
  <c r="H435" i="1"/>
  <c r="D103" i="2"/>
  <c r="I140" i="1"/>
  <c r="A22" i="12"/>
  <c r="J653" i="1"/>
  <c r="G572" i="1"/>
  <c r="I435" i="1"/>
  <c r="G435" i="1"/>
  <c r="I664" i="1"/>
  <c r="L572" i="1" l="1"/>
  <c r="D51" i="2"/>
  <c r="E51" i="2"/>
  <c r="H649" i="1"/>
  <c r="J649" i="1" s="1"/>
  <c r="E128" i="2"/>
  <c r="E145" i="2" s="1"/>
  <c r="J272" i="1"/>
  <c r="H661" i="1"/>
  <c r="H665" i="1" s="1"/>
  <c r="H668" i="1" s="1"/>
  <c r="H194" i="1"/>
  <c r="G630" i="1" s="1"/>
  <c r="J630" i="1" s="1"/>
  <c r="F194" i="1"/>
  <c r="G628" i="1" s="1"/>
  <c r="J628" i="1" s="1"/>
  <c r="C141" i="2"/>
  <c r="C144" i="2" s="1"/>
  <c r="F661" i="1"/>
  <c r="F665" i="1" s="1"/>
  <c r="F668" i="1" s="1"/>
  <c r="I663" i="1"/>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<sst xmlns="http://schemas.openxmlformats.org/spreadsheetml/2006/main" count="5578" uniqueCount="1676">
  <si>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</si>
  <si>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</si>
  <si>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</si>
  <si>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</si>
  <si>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</si>
  <si>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</si>
  <si>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</si>
  <si>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</si>
  <si>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</si>
  <si>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</si>
  <si>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</si>
  <si>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</si>
  <si>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</si>
  <si>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</si>
  <si>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</si>
  <si>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</si>
  <si>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</si>
  <si>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</si>
  <si>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</si>
  <si>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</si>
  <si>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</si>
  <si>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</si>
  <si>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</si>
  <si>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</si>
  <si>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</si>
  <si>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</si>
  <si>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</si>
  <si>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</si>
  <si>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</si>
  <si>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</si>
  <si>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</si>
  <si>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</si>
  <si>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</si>
  <si>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</si>
  <si>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</si>
  <si>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</si>
  <si>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</si>
  <si>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</si>
  <si>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</si>
  <si>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</si>
  <si>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</si>
  <si>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</si>
  <si>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</si>
  <si>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</si>
  <si>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</si>
  <si>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</si>
  <si>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</si>
  <si>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</si>
  <si>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</si>
  <si>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</si>
  <si>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</si>
  <si>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</si>
  <si>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</si>
  <si>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</si>
  <si>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</si>
  <si>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</si>
  <si>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</si>
  <si>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</si>
  <si>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</si>
  <si>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</si>
  <si>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</si>
  <si>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</si>
  <si>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</si>
  <si>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</si>
  <si>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</si>
  <si>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</si>
  <si>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</si>
  <si>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</si>
  <si>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</si>
  <si>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</si>
  <si>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</si>
  <si>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</si>
  <si>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</si>
  <si>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</si>
  <si>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</si>
  <si>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</si>
  <si>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</si>
  <si>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</si>
  <si>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</si>
  <si>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</si>
  <si>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</si>
  <si>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</si>
  <si>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</si>
  <si>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</si>
  <si>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</si>
  <si>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</si>
  <si>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</si>
  <si>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</si>
  <si>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</si>
  <si>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</si>
  <si>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</si>
  <si>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</si>
  <si>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</si>
  <si>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</si>
  <si>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</si>
  <si>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</si>
  <si>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</si>
  <si>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</si>
  <si>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</si>
  <si>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</si>
  <si>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</si>
  <si>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</si>
  <si>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</si>
  <si>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</si>
  <si>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</si>
  <si>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</si>
  <si>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</si>
  <si>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</si>
  <si>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</si>
  <si>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</si>
  <si>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</si>
  <si>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</si>
  <si>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</si>
  <si>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</si>
  <si>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</si>
  <si>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</si>
  <si>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</si>
  <si>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</si>
  <si>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</si>
  <si>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</si>
  <si>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</si>
  <si>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</si>
  <si>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</si>
  <si>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</si>
  <si>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</si>
  <si>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</si>
  <si>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</si>
  <si>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</si>
  <si>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</si>
  <si>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</si>
  <si>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</si>
  <si>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</si>
  <si>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</si>
  <si>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</si>
  <si>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</si>
  <si>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</si>
  <si>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</si>
  <si>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</si>
  <si>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</si>
  <si>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</si>
  <si>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</si>
  <si>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</si>
  <si>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</si>
  <si>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</si>
  <si>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</si>
  <si>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</si>
  <si>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</si>
  <si>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</si>
  <si>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</si>
  <si>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</si>
  <si>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</si>
  <si>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</si>
  <si>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</si>
  <si>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</si>
  <si>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</si>
  <si>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</si>
  <si>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</si>
  <si>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</si>
  <si>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</si>
  <si>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</si>
  <si>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</si>
  <si>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</si>
  <si>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</si>
  <si>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</si>
  <si>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</si>
  <si>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</si>
  <si>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</si>
  <si>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</si>
  <si>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</si>
  <si>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</si>
  <si>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</si>
  <si>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</si>
  <si>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</si>
  <si>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</si>
  <si>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</si>
  <si>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</si>
  <si>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</si>
  <si>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</si>
  <si>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</si>
  <si>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</si>
  <si>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</si>
  <si>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</si>
  <si>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</si>
  <si>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</si>
  <si>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</si>
  <si>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</si>
  <si>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</si>
  <si>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</si>
  <si>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</si>
  <si>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</si>
  <si>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</si>
  <si>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</si>
  <si>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</si>
  <si>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</si>
  <si>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</si>
  <si>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</si>
  <si>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</si>
  <si>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</si>
  <si>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</si>
  <si>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</si>
  <si>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</si>
  <si>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</si>
  <si>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</si>
  <si>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</si>
  <si>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</si>
  <si>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</si>
  <si>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</si>
  <si>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</si>
  <si>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</si>
  <si>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</si>
  <si>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</si>
  <si>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</si>
  <si>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</si>
  <si>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</si>
  <si>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</si>
  <si>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</si>
  <si>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</si>
  <si>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</si>
  <si>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</si>
  <si>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</si>
  <si>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</si>
  <si>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</si>
  <si>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</si>
  <si>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</si>
  <si>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</si>
  <si>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</si>
  <si>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</si>
  <si>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</si>
  <si>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</si>
  <si>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</si>
  <si>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</si>
  <si>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</si>
  <si>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</si>
  <si>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</si>
  <si>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</si>
  <si>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</si>
  <si>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</si>
  <si>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</si>
  <si>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</si>
  <si>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</si>
  <si>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</si>
  <si>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</si>
  <si>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</si>
  <si>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</si>
  <si>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</si>
  <si>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</si>
  <si>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</si>
  <si>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</si>
  <si>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</si>
  <si>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</si>
  <si>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</si>
  <si>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</si>
  <si>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</si>
  <si>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</si>
  <si>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</si>
  <si>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</si>
  <si>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</si>
  <si>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</si>
  <si>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</si>
  <si>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</si>
  <si>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</si>
  <si>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</si>
  <si>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</si>
  <si>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</si>
  <si>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</si>
  <si>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</si>
  <si>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</si>
  <si>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</si>
  <si>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</si>
  <si>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</si>
  <si>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</si>
  <si>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</si>
  <si>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</si>
  <si>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</si>
  <si>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</si>
  <si>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</si>
  <si>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</si>
  <si>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</si>
  <si>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</si>
  <si>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</si>
  <si>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</si>
  <si>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</si>
  <si>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</si>
  <si>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</si>
  <si>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</si>
  <si>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</si>
  <si>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</si>
  <si>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</si>
  <si>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</si>
  <si>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</si>
  <si>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</si>
  <si>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</si>
  <si>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</si>
  <si>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</si>
  <si>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</si>
  <si>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</si>
  <si>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</si>
  <si>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</si>
  <si>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</si>
  <si>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</si>
  <si>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</si>
  <si>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</si>
  <si>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</si>
  <si>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</si>
  <si>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</si>
  <si>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</si>
  <si>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</si>
  <si>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</si>
  <si>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</si>
  <si>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</si>
  <si>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</si>
  <si>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</si>
  <si>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</si>
  <si>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</si>
  <si>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</si>
  <si>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</si>
  <si>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</si>
  <si>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</si>
  <si>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</si>
  <si>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</si>
  <si>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</si>
  <si>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</si>
  <si>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</si>
  <si>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</si>
  <si>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</si>
  <si>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</si>
  <si>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</si>
  <si>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</si>
  <si>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</si>
  <si>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</si>
  <si>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</si>
  <si>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</si>
  <si>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</si>
  <si>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</si>
  <si>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</si>
  <si>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</si>
  <si>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</si>
  <si>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</si>
  <si>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</si>
  <si>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</si>
  <si>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</si>
  <si>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</si>
  <si>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</si>
  <si>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</si>
  <si>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</si>
  <si>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</si>
  <si>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</si>
  <si>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</si>
  <si>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</si>
  <si>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</si>
  <si>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</si>
  <si>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</si>
  <si>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</si>
  <si>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</si>
  <si>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</si>
  <si>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</si>
  <si>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</si>
  <si>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</si>
  <si>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</si>
  <si>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</si>
  <si>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</si>
  <si>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</si>
  <si>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</si>
  <si>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</si>
  <si>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</si>
  <si>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</si>
  <si>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</si>
  <si>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</si>
  <si>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</si>
  <si>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</si>
  <si>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</si>
  <si>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</si>
  <si>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</si>
  <si>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</si>
  <si>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</si>
  <si>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</si>
  <si>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</si>
  <si>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</si>
  <si>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</si>
  <si>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</si>
  <si>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</si>
  <si>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</si>
  <si>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</si>
  <si>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</si>
  <si>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</si>
  <si>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</si>
  <si>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</si>
  <si>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</si>
  <si>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</si>
  <si>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</si>
  <si>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</si>
  <si>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</si>
  <si>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</si>
  <si>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</si>
  <si>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</si>
  <si>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</si>
  <si>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</si>
  <si>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</si>
  <si>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</si>
  <si>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</si>
  <si>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</si>
  <si>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</si>
  <si>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</si>
  <si>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</si>
  <si>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</si>
  <si>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</si>
  <si>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</si>
  <si>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</si>
  <si>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</si>
  <si>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</si>
  <si>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</si>
  <si>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</si>
  <si>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</si>
  <si>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</si>
  <si>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</si>
  <si>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</si>
  <si>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</si>
  <si>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</si>
  <si>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</si>
  <si>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</si>
  <si>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</si>
  <si>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</si>
  <si>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</si>
  <si>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</si>
  <si>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</si>
  <si>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</si>
  <si>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</si>
  <si>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</si>
  <si>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</si>
  <si>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</si>
  <si>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</si>
  <si>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</si>
  <si>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</si>
  <si>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</si>
  <si>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</si>
  <si>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</si>
  <si>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</si>
  <si>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</si>
  <si>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</si>
  <si>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</si>
  <si>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</si>
  <si>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</si>
  <si>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</si>
  <si>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</si>
  <si>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</si>
  <si>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</si>
  <si>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</si>
  <si>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</si>
  <si>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</si>
  <si>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</si>
  <si>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</si>
  <si>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</si>
  <si>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</si>
  <si>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</si>
  <si>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</si>
  <si>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</si>
  <si>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</si>
  <si>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</si>
  <si>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</si>
  <si>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</si>
  <si>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</si>
  <si>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</si>
  <si>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</si>
  <si>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</si>
  <si>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</si>
  <si>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</si>
  <si>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</si>
  <si>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</si>
  <si>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</si>
  <si>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</si>
  <si>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</si>
  <si>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</si>
  <si>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</si>
  <si>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</si>
  <si>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</si>
  <si>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</si>
  <si>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</si>
  <si>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</si>
  <si>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</si>
  <si>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</si>
  <si>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</si>
  <si>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</si>
  <si>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</si>
  <si>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</si>
  <si>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</si>
  <si>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</si>
  <si>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</si>
  <si>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</si>
  <si>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</si>
  <si>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</si>
  <si>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</si>
  <si>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</si>
  <si>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</si>
  <si>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</si>
  <si>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</si>
  <si>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</si>
  <si>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</si>
  <si>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</si>
  <si>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</si>
  <si>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</si>
  <si>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</si>
  <si>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</si>
  <si>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</si>
  <si>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</si>
  <si>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</si>
  <si>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</si>
  <si>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</si>
  <si>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</si>
  <si>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</si>
  <si>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</si>
  <si>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</si>
  <si>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</si>
  <si>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</si>
  <si>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</si>
  <si>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</si>
  <si>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</si>
  <si>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</si>
  <si>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</si>
  <si>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</si>
  <si>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</si>
  <si>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</si>
  <si>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</si>
  <si>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</si>
  <si>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</si>
  <si>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</si>
  <si>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</si>
  <si>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</si>
  <si>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</si>
  <si>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</si>
  <si>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</si>
  <si>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</si>
  <si>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</si>
  <si>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</si>
  <si>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</si>
  <si>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</si>
  <si>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</si>
  <si>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</si>
  <si>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</si>
  <si>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</si>
  <si>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</si>
  <si>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</si>
  <si>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</si>
  <si>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</si>
  <si>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</si>
  <si>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</si>
  <si>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</si>
  <si>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</si>
  <si>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</si>
  <si>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</si>
  <si>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</si>
  <si>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</si>
  <si>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</si>
  <si>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</si>
  <si>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</si>
  <si>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</si>
  <si>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</si>
  <si>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</si>
  <si>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</si>
  <si>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</si>
  <si>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</si>
  <si>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</si>
  <si>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</si>
  <si>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</si>
  <si>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</si>
  <si>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</si>
  <si>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</si>
  <si>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</si>
  <si>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</si>
  <si>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</si>
  <si>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</si>
  <si>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</si>
  <si>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</si>
  <si>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</si>
  <si>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</si>
  <si>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</si>
  <si>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</si>
  <si>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</si>
  <si>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</si>
  <si>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</si>
  <si>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</si>
  <si>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</si>
  <si>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</si>
  <si>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</si>
  <si>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</si>
  <si>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</si>
  <si>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</si>
  <si>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</si>
  <si>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</si>
  <si>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</si>
  <si>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</si>
  <si>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</si>
  <si>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</si>
  <si>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</si>
  <si>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</si>
  <si>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</si>
  <si>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</si>
  <si>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</si>
  <si>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</si>
  <si>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</si>
  <si>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</si>
  <si>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</si>
  <si>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</si>
  <si>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</si>
  <si>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</si>
  <si>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</si>
  <si>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</si>
  <si>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</si>
  <si>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</si>
  <si>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</si>
  <si>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</si>
  <si>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</si>
  <si>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</si>
  <si>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</si>
  <si>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</si>
  <si>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</si>
  <si>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</si>
  <si>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</si>
  <si>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</si>
  <si>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</si>
  <si>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</si>
  <si>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</si>
  <si>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</si>
  <si>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</si>
  <si>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</si>
  <si>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</si>
  <si>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</si>
  <si>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</si>
  <si>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</si>
  <si>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</si>
  <si>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</si>
  <si>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</si>
  <si>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</si>
  <si>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</si>
  <si>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</si>
  <si>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</si>
  <si>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</si>
  <si>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</si>
  <si>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</si>
  <si>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</si>
  <si>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</si>
  <si>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</si>
  <si>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</si>
  <si>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</si>
  <si>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</si>
  <si>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</si>
  <si>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</si>
  <si>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</si>
  <si>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</si>
  <si>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</si>
  <si>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</si>
  <si>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</si>
  <si>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</si>
  <si>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</si>
  <si>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</si>
  <si>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</si>
  <si>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</si>
  <si>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</si>
  <si>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</si>
  <si>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</si>
  <si>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</si>
  <si>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</si>
  <si>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</si>
  <si>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</si>
  <si>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</si>
  <si>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</si>
  <si>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</si>
  <si>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</si>
  <si>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</si>
  <si>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</si>
  <si>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</si>
  <si>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</si>
  <si>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</si>
  <si>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</si>
  <si>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</si>
  <si>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</si>
  <si>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</si>
  <si>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</si>
  <si>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</si>
  <si>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</si>
  <si>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</si>
  <si>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</si>
  <si>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</si>
  <si>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</si>
  <si>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</si>
  <si>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</si>
  <si>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</si>
  <si>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</si>
  <si>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</si>
  <si>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</si>
  <si>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</si>
  <si>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</si>
  <si>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</si>
  <si>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</si>
  <si>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</si>
  <si>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</si>
  <si>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</si>
  <si>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</si>
  <si>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</si>
  <si>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</si>
  <si>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</si>
  <si>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</si>
  <si>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</si>
  <si>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</si>
  <si>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</si>
  <si>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</si>
  <si>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</si>
  <si>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</si>
  <si>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</si>
  <si>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</si>
  <si>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</si>
  <si>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</si>
  <si>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</si>
  <si>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</si>
  <si>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</si>
  <si>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</si>
  <si>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</si>
  <si>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</si>
  <si>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</si>
  <si>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</si>
  <si>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</si>
  <si>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</si>
  <si>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</si>
  <si>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</si>
  <si>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</si>
  <si>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</si>
  <si>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</si>
  <si>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</si>
  <si>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</si>
  <si>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</si>
  <si>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</si>
  <si>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</si>
  <si>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</si>
  <si>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</si>
  <si>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</si>
  <si>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</si>
  <si>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</si>
  <si>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</si>
  <si>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</si>
  <si>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</si>
  <si>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</si>
  <si>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</si>
  <si>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</si>
  <si>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</si>
  <si>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</si>
  <si>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</si>
  <si>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</si>
  <si>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</si>
  <si>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</si>
  <si>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</si>
  <si>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</si>
  <si>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</si>
  <si>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</si>
  <si>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</si>
  <si>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</si>
  <si>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</si>
  <si>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</si>
  <si>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</si>
  <si>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</si>
  <si>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</si>
  <si>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</si>
  <si>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</si>
  <si>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</si>
  <si>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</si>
  <si>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</si>
  <si>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</si>
  <si>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</si>
  <si>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</si>
  <si>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</si>
  <si>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</si>
  <si>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</si>
  <si>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</si>
  <si>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</si>
  <si>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</si>
  <si>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</si>
  <si>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</si>
  <si>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</si>
  <si>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</si>
  <si>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</si>
  <si>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</si>
  <si>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</si>
  <si>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</si>
  <si>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</si>
  <si>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</si>
  <si>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</si>
  <si>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</si>
  <si>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</si>
  <si>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</si>
  <si>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</si>
  <si>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</si>
  <si>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</si>
  <si>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</si>
  <si>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</si>
  <si>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</si>
  <si>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</si>
  <si>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</si>
  <si>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</si>
  <si>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</si>
  <si>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</si>
  <si>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</si>
  <si>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</si>
  <si>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</si>
  <si>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</si>
  <si>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</si>
  <si>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</si>
  <si>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</si>
  <si>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</si>
  <si>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</si>
  <si>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</si>
  <si>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</si>
  <si>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</si>
  <si>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</si>
  <si>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</si>
  <si>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</si>
  <si>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</si>
  <si>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</si>
  <si>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</si>
  <si>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</si>
  <si>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</si>
  <si>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</si>
  <si>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</si>
  <si>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</si>
  <si>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</si>
  <si>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</si>
  <si>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</si>
  <si>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</si>
  <si>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</si>
  <si>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</si>
  <si>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</si>
  <si>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</si>
  <si>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</si>
  <si>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</si>
  <si>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</si>
  <si>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</si>
  <si>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</si>
  <si>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</si>
  <si>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</si>
  <si>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</si>
  <si>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</si>
  <si>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</si>
  <si>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</si>
  <si>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</si>
  <si>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</si>
  <si>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</si>
  <si>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</si>
  <si>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</si>
  <si>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</si>
  <si>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</si>
  <si>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</si>
  <si>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</si>
  <si>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</si>
  <si>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</si>
  <si>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</si>
  <si>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</si>
  <si>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</si>
  <si>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</si>
  <si>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</si>
  <si>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</si>
  <si>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</si>
  <si>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</si>
  <si>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</si>
  <si>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</si>
  <si>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</si>
  <si>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</si>
  <si>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</si>
  <si>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</si>
  <si>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</si>
  <si>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</si>
  <si>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</si>
  <si>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</si>
  <si>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</si>
  <si>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</si>
  <si>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</si>
  <si>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</si>
  <si>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</si>
  <si>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</si>
  <si>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</si>
  <si>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</si>
  <si>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</si>
  <si>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</si>
  <si>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</si>
  <si>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</si>
  <si>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</si>
  <si>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</si>
  <si>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</si>
  <si>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</si>
  <si>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</si>
  <si>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</si>
  <si>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</si>
  <si>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</si>
  <si>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</si>
  <si>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</si>
  <si>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</si>
  <si>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</si>
  <si>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</si>
  <si>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</si>
  <si>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</si>
  <si>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</si>
  <si>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</si>
  <si>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</si>
  <si>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</si>
  <si>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</si>
  <si>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</si>
  <si>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</si>
  <si>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</si>
  <si>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</si>
  <si>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</si>
  <si>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</si>
  <si>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</si>
  <si>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</si>
  <si>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</si>
  <si>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</si>
  <si>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</si>
  <si>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</si>
  <si>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</si>
  <si>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</si>
  <si>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</si>
  <si>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</si>
  <si>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</si>
  <si>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</si>
  <si>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</si>
  <si>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</si>
  <si>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</si>
  <si>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</si>
  <si>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</si>
  <si>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</si>
  <si>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</si>
  <si>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</si>
  <si>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</si>
  <si>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</si>
  <si>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</si>
  <si>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</si>
  <si>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</si>
  <si>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</si>
  <si>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</si>
  <si>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</si>
  <si>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</si>
  <si>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</si>
  <si>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</si>
  <si>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</si>
  <si>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</si>
  <si>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</si>
  <si>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</si>
  <si>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</si>
  <si>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</si>
  <si>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</si>
  <si>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</si>
  <si>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</si>
  <si>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</si>
  <si>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</si>
  <si>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</si>
  <si>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</si>
  <si>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</si>
  <si>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</si>
  <si>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</si>
  <si>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</si>
  <si>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</si>
  <si>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</si>
  <si>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</si>
  <si>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</si>
  <si>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</si>
  <si>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</si>
  <si>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</si>
  <si>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</si>
  <si>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</si>
  <si>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</si>
  <si>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</si>
  <si>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</si>
  <si>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</si>
  <si>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</si>
  <si>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</si>
  <si>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</si>
  <si>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</si>
  <si>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</si>
  <si>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</si>
  <si>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</si>
  <si>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</si>
  <si>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</si>
  <si>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</si>
  <si>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</si>
  <si>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</si>
  <si>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</si>
  <si>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</si>
  <si>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</si>
  <si>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</si>
  <si>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</si>
  <si>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</si>
  <si>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</si>
  <si>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</si>
  <si>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</si>
  <si>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</si>
  <si>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</si>
  <si>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</si>
  <si>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</si>
  <si>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</si>
  <si>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</si>
  <si>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</si>
  <si>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</si>
  <si>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</si>
  <si>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</si>
  <si>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</si>
  <si>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</si>
  <si>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</si>
  <si>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</si>
  <si>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</si>
  <si>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</si>
  <si>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</si>
  <si>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</si>
  <si>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</si>
  <si>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</si>
  <si>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</si>
  <si>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</si>
  <si>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</si>
  <si>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</si>
  <si>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</si>
  <si>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</si>
  <si>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</si>
  <si>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</si>
  <si>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</si>
  <si>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</si>
  <si>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</si>
  <si>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</si>
  <si>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</si>
  <si>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</si>
  <si>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</si>
  <si>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</si>
  <si>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</si>
  <si>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</si>
  <si>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</si>
  <si>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</si>
  <si>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</si>
  <si>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</si>
  <si>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</si>
  <si>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</si>
  <si>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</si>
  <si>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</si>
  <si>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</si>
  <si>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</si>
  <si>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</si>
  <si>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</si>
  <si>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</si>
  <si>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</si>
  <si>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</si>
  <si>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</si>
  <si>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</si>
  <si>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</si>
  <si>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</si>
  <si>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</si>
  <si>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</si>
  <si>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</si>
  <si>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</si>
  <si>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</si>
  <si>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</si>
  <si>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</si>
  <si>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</si>
  <si>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</si>
  <si>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</si>
  <si>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</si>
  <si>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</si>
  <si>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</si>
  <si>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</si>
  <si>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</si>
  <si>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</si>
  <si>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</si>
  <si>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</si>
  <si>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</si>
  <si>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</si>
  <si>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</si>
  <si>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</si>
  <si>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</si>
  <si>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</si>
  <si>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</si>
  <si>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</si>
  <si>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</si>
  <si>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</si>
  <si>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</si>
  <si>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</si>
  <si>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</si>
  <si>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</si>
  <si>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</si>
  <si>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</si>
  <si>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</si>
  <si>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</si>
  <si>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</si>
  <si>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</si>
  <si>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</si>
  <si>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</si>
  <si>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</si>
  <si>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</si>
  <si>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</si>
  <si>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</si>
  <si>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</si>
  <si>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</si>
  <si>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</si>
  <si>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</si>
  <si>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</si>
  <si>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</si>
  <si>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</si>
  <si>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</si>
  <si>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</si>
  <si>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</si>
  <si>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</si>
  <si>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</si>
  <si>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</si>
  <si>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</si>
  <si>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</si>
  <si>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</si>
  <si>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</si>
  <si>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</si>
  <si>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</si>
  <si>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</si>
  <si>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</si>
  <si>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</si>
  <si>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</si>
  <si>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</si>
  <si>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</si>
  <si>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</si>
  <si>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</si>
  <si>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</si>
  <si>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</si>
  <si>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</si>
  <si>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</si>
  <si>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</si>
  <si>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</si>
  <si>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</si>
  <si>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</si>
  <si>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</si>
  <si>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</si>
  <si>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</si>
  <si>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</si>
  <si>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</si>
  <si>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</si>
  <si>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</si>
  <si>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</si>
  <si>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</si>
  <si>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</si>
  <si>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</si>
  <si>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</si>
  <si>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</si>
  <si>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</si>
  <si>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</si>
  <si>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</si>
  <si>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</si>
  <si>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</si>
  <si>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</si>
  <si>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</si>
  <si>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</si>
  <si>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</si>
  <si>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</si>
  <si>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</si>
  <si>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</si>
  <si>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</si>
  <si>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</si>
  <si>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</si>
  <si>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</si>
  <si>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</si>
  <si>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</si>
  <si>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</si>
  <si>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</si>
  <si>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</si>
  <si>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</si>
  <si>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</si>
  <si>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</si>
  <si>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</si>
  <si>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</si>
  <si>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</si>
  <si>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</si>
  <si>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</si>
  <si>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</si>
  <si>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</si>
  <si>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</si>
  <si>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</si>
  <si>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</si>
  <si>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</si>
  <si>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</si>
  <si>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</si>
  <si>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</si>
  <si>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</si>
  <si>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</si>
  <si>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</si>
  <si>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</si>
  <si>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</si>
  <si>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</si>
  <si>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</si>
  <si>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</si>
  <si>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</si>
  <si>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</si>
  <si>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</si>
  <si>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</si>
  <si>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</si>
  <si>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</si>
  <si>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</si>
  <si>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</si>
  <si>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</si>
  <si>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</si>
  <si>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</si>
  <si>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</si>
  <si>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</si>
  <si>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</si>
  <si>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</si>
  <si>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</si>
  <si>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</si>
  <si>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</si>
  <si>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</si>
  <si>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</si>
  <si>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</si>
  <si>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</si>
  <si>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</si>
  <si>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</si>
  <si>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</si>
  <si>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</si>
  <si>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</si>
  <si>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</si>
  <si>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</si>
  <si>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</si>
  <si>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</si>
  <si>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</si>
  <si>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</si>
  <si>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</si>
  <si>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</si>
  <si>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</si>
  <si>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</si>
  <si>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</si>
  <si>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</si>
  <si>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</si>
  <si>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</si>
  <si>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</si>
  <si>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</si>
  <si>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</si>
  <si>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</si>
  <si>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</si>
  <si>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</si>
  <si>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</si>
  <si>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</si>
  <si>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</si>
  <si>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</si>
  <si>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</si>
  <si>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</si>
  <si>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</si>
  <si>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</si>
  <si>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</si>
  <si>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</si>
  <si>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</si>
  <si>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</si>
  <si>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</si>
  <si>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</si>
  <si>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</si>
  <si>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</si>
  <si>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</si>
  <si>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</si>
  <si>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</si>
  <si>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</si>
  <si>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</si>
  <si>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</si>
  <si>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</si>
  <si>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</si>
  <si>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</si>
  <si>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</si>
  <si>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</si>
  <si>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</si>
  <si>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</si>
  <si>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</si>
  <si>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</si>
  <si>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</si>
  <si>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</si>
  <si>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</si>
  <si>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</si>
  <si>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</si>
  <si>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</si>
  <si>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</si>
  <si>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</si>
  <si>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</si>
  <si>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</si>
  <si>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</si>
  <si>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</si>
  <si>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</si>
  <si>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</si>
  <si>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</si>
  <si>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</si>
  <si>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</si>
  <si>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</si>
  <si>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</si>
  <si>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</si>
  <si>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</si>
  <si>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</si>
  <si>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</si>
  <si>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</si>
  <si>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</si>
  <si>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</si>
  <si>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</si>
  <si>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</si>
  <si>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</si>
  <si>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</si>
  <si>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</si>
  <si>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</si>
  <si>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</si>
  <si>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</si>
  <si>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</si>
  <si>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</si>
  <si>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</si>
  <si>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</si>
  <si>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</si>
  <si>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</si>
  <si>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</si>
  <si>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</si>
  <si>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</si>
  <si>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</si>
  <si>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</si>
  <si>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</si>
  <si>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</si>
  <si>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</si>
  <si>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</si>
  <si>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</si>
  <si>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</si>
  <si>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</si>
  <si>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</si>
  <si>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</si>
  <si>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</si>
  <si>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</si>
  <si>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</si>
  <si>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</si>
  <si>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</si>
  <si>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</si>
  <si>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</si>
  <si>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</si>
  <si>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</si>
  <si>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</si>
  <si>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</si>
  <si>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</si>
  <si>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</si>
  <si>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</si>
  <si>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</si>
  <si>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</si>
  <si>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</si>
  <si>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</si>
  <si>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</si>
  <si>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</si>
  <si>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</si>
  <si>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</si>
  <si>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</si>
  <si>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</si>
  <si>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</si>
  <si>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</si>
  <si>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</si>
  <si>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</si>
  <si>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</si>
  <si>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</si>
  <si>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</si>
  <si>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</si>
  <si>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</si>
  <si>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</si>
  <si>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</si>
  <si>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</si>
  <si>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</si>
  <si>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</si>
  <si>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</si>
  <si>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</si>
  <si>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</si>
  <si>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</si>
  <si>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</si>
  <si>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</si>
  <si>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</si>
  <si>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</si>
  <si>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</si>
  <si>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</si>
  <si>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</si>
  <si>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</si>
  <si>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</si>
  <si>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</si>
  <si>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</si>
  <si>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</si>
  <si>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</si>
  <si>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</si>
  <si>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</si>
  <si>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</si>
  <si>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</si>
  <si>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</si>
  <si>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</si>
  <si>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</si>
  <si>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</si>
  <si>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</si>
  <si>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</si>
  <si>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</si>
  <si>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</si>
  <si>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</si>
  <si>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</si>
  <si>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</si>
  <si>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</si>
  <si>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</si>
  <si>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</si>
  <si>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</si>
  <si>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</si>
  <si>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</si>
  <si>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</si>
  <si>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</si>
  <si>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</si>
  <si>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</si>
  <si>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</si>
  <si>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</si>
  <si>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</si>
  <si>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</si>
  <si>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</si>
  <si>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</si>
  <si>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</si>
  <si>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</si>
  <si>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</si>
  <si>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</si>
  <si>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</si>
  <si>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</si>
  <si>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</si>
  <si>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</si>
  <si>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</si>
  <si>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</si>
  <si>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</si>
  <si>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</si>
  <si>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</si>
  <si>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</si>
  <si>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</si>
  <si>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</si>
  <si>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</si>
  <si>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</si>
  <si>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</si>
  <si>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</si>
  <si>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</si>
  <si>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</si>
  <si>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</si>
  <si>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</si>
  <si>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</si>
  <si>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</si>
  <si>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</si>
  <si>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</si>
  <si>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</si>
  <si>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</si>
  <si>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</si>
  <si>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</si>
  <si>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</si>
  <si>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</si>
  <si>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</si>
  <si>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</si>
  <si>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</si>
  <si>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</si>
  <si>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</si>
  <si>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</si>
  <si>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</si>
  <si>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</si>
  <si>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</si>
  <si>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</si>
  <si>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</si>
  <si>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</si>
  <si>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</si>
  <si>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</si>
  <si>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</si>
  <si>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</si>
  <si>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</si>
  <si>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</si>
  <si>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</si>
  <si>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</si>
  <si>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</si>
  <si>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</si>
  <si>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</si>
  <si>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</si>
  <si>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</si>
  <si>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</si>
  <si>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</si>
  <si>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</si>
  <si>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</si>
  <si>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</si>
  <si>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</si>
  <si>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</si>
  <si>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</si>
  <si>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</si>
  <si>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</si>
  <si>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</si>
  <si>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</si>
  <si>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</si>
  <si>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</si>
  <si>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</si>
  <si>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</si>
  <si>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</si>
  <si>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</si>
  <si>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</si>
  <si>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</si>
  <si>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</si>
  <si>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</si>
  <si>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</si>
  <si>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</si>
  <si>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</si>
  <si>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</si>
  <si>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</si>
  <si>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</si>
  <si>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</si>
  <si>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</si>
  <si>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</si>
  <si>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</si>
  <si>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</si>
  <si>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</si>
  <si>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</si>
  <si>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</si>
  <si>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</si>
  <si>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</si>
  <si>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</si>
  <si>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</si>
  <si>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</si>
  <si>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</si>
  <si>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</si>
  <si>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</si>
  <si>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</si>
  <si>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</si>
  <si>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</si>
  <si>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</si>
  <si>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</si>
  <si>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</si>
  <si>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</si>
  <si>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</si>
  <si>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</si>
  <si>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</si>
  <si>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</si>
  <si>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</si>
  <si>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</si>
  <si>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</si>
  <si>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</si>
  <si>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</si>
  <si>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</si>
  <si>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</si>
  <si>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</si>
  <si>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</si>
  <si>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</si>
  <si>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</si>
  <si>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</si>
  <si>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</si>
  <si>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</si>
  <si>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</si>
  <si>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</si>
  <si>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</si>
  <si>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</si>
  <si>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</si>
  <si>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</si>
  <si>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</si>
  <si>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</si>
  <si>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</si>
  <si>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</si>
  <si>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</si>
  <si>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</si>
  <si>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</si>
  <si>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</si>
  <si>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</si>
  <si>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</si>
  <si>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</si>
  <si>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</si>
  <si>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</si>
  <si>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</si>
  <si>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</si>
  <si>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</si>
  <si>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</si>
  <si>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</si>
  <si>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</si>
  <si>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</si>
  <si>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</si>
  <si>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</si>
  <si>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</si>
  <si>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</si>
  <si>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</si>
  <si>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</si>
  <si>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</si>
  <si>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</si>
  <si>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</si>
  <si>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</si>
  <si>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</si>
  <si>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</si>
  <si>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</si>
  <si>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</si>
  <si>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</si>
  <si>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</si>
  <si>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</si>
  <si>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</si>
  <si>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</si>
  <si>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</si>
  <si>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</si>
  <si>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</si>
  <si>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</si>
  <si>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</si>
  <si>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</si>
  <si>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</si>
  <si>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</si>
  <si>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</si>
  <si>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</si>
  <si>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</si>
  <si>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</si>
  <si>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</si>
  <si>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</si>
  <si>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</si>
  <si>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</si>
  <si>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</si>
  <si>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</si>
  <si>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</si>
  <si>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</si>
  <si>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</si>
  <si>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</si>
  <si>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</si>
  <si>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</si>
  <si>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</si>
  <si>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</si>
  <si>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</si>
  <si>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</si>
  <si>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</si>
  <si>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</si>
  <si>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</si>
  <si>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</si>
  <si>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</si>
  <si>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</si>
  <si>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</si>
  <si>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</si>
  <si>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</si>
  <si>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</si>
  <si>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</si>
  <si>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</si>
  <si>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</si>
  <si>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</si>
  <si>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</si>
  <si>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</si>
  <si>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</si>
  <si>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</si>
  <si>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</si>
  <si>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</si>
  <si>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</si>
  <si>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</si>
  <si>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</si>
  <si>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</si>
  <si>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</si>
  <si>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</si>
  <si>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</si>
  <si>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</si>
  <si>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</si>
  <si>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</si>
  <si>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</si>
  <si>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</si>
  <si>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</si>
  <si>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</si>
  <si>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</si>
  <si>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</si>
  <si>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</si>
  <si>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</si>
  <si>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</si>
  <si>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</si>
  <si>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</si>
  <si>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</si>
  <si>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</si>
  <si>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</si>
  <si>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</si>
  <si>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</si>
  <si>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</si>
  <si>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</si>
  <si>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</si>
  <si>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</si>
  <si>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</si>
  <si>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</si>
  <si>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</si>
  <si>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</si>
  <si>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</si>
  <si>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</si>
  <si>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</si>
  <si>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</si>
  <si>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</si>
  <si>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</si>
  <si>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</si>
  <si>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</si>
  <si>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</si>
  <si>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</si>
  <si>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</si>
  <si>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</si>
  <si>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</si>
  <si>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</si>
  <si>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</si>
  <si>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07/14</t>
  </si>
  <si>
    <t>08/34</t>
  </si>
  <si>
    <t>Wilton-Lyndeborough Cooperative School District</t>
  </si>
  <si>
    <t>There are significant reimbursements to be requested for grant funds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</si>
</sst>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10" zoomScaleNormal="110" workbookViewId="0">
      <pane xSplit="5" ySplit="3" topLeftCell="F643" activePane="bottomRight" state="frozen"/>
      <selection pane="topRight" activeCell="F1" sqref="F1"/>
      <selection pane="bottomLeft" activeCell="A4" sqref="A4"/>
      <selection pane="bottomRight" activeCell="H672" sqref="H672"/>
    </sheetView>
  </sheetViews>
  <sheetFormatPr defaultRowHeight="12.4"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4" customHeight="1" x14ac:dyDescent="0.15">
      <c r="A1" s="1" t="s">
        <v>261</v>
      </c>
      <c r="B1" s="2" t="s">
        <v>262</v>
      </c>
      <c r="C1" s="2" t="s">
        <v>263</v>
      </c>
      <c r="D1" s="2"/>
      <c r="E1" s="2"/>
      <c r="F1" s="13"/>
      <c r="G1" s="13"/>
      <c r="H1" s="15" t="s">
        <v>1623</v>
      </c>
      <c r="I1" s="13"/>
      <c r="J1" s="13"/>
      <c r="K1" s="13"/>
      <c r="L1" s="13"/>
    </row>
    <row r="2" spans="1:14" s="3" customFormat="1" ht="12.4" customHeight="1" x14ac:dyDescent="0.2">
      <c r="A2" s="176" t="s">
        <v>1674</v>
      </c>
      <c r="B2" s="21">
        <v>572</v>
      </c>
      <c r="C2" s="21"/>
      <c r="D2" s="21"/>
      <c r="E2" s="6" t="s">
        <v>678</v>
      </c>
      <c r="F2" s="15" t="s">
        <v>264</v>
      </c>
      <c r="G2" s="15" t="s">
        <v>265</v>
      </c>
      <c r="H2" s="15" t="s">
        <v>266</v>
      </c>
      <c r="I2" s="15" t="s">
        <v>267</v>
      </c>
      <c r="J2" s="15" t="s">
        <v>268</v>
      </c>
      <c r="K2" s="15" t="s">
        <v>269</v>
      </c>
      <c r="L2" s="15" t="s">
        <v>688</v>
      </c>
    </row>
    <row r="3" spans="1:14" s="3" customFormat="1" ht="12.4" customHeight="1" x14ac:dyDescent="0.15">
      <c r="A3" s="5" t="s">
        <v>270</v>
      </c>
      <c r="B3" s="6" t="s">
        <v>271</v>
      </c>
      <c r="C3" s="6" t="s">
        <v>272</v>
      </c>
      <c r="D3" s="6"/>
      <c r="E3" s="23" t="s">
        <v>402</v>
      </c>
    </row>
    <row r="4" spans="1:14" s="3" customFormat="1" ht="12.4" customHeight="1" x14ac:dyDescent="0.15">
      <c r="A4" s="1" t="s">
        <v>278</v>
      </c>
      <c r="K4" s="13"/>
      <c r="L4" s="13"/>
    </row>
    <row r="5" spans="1:14" s="3" customFormat="1" ht="12.4" customHeight="1" x14ac:dyDescent="0.15">
      <c r="A5" s="1" t="s">
        <v>279</v>
      </c>
      <c r="F5" s="23" t="s">
        <v>273</v>
      </c>
      <c r="G5" s="23" t="s">
        <v>274</v>
      </c>
      <c r="H5" s="23" t="s">
        <v>275</v>
      </c>
      <c r="I5" s="23" t="s">
        <v>276</v>
      </c>
      <c r="J5" s="23" t="s">
        <v>277</v>
      </c>
      <c r="K5" s="13"/>
      <c r="L5" s="13"/>
    </row>
    <row r="6" spans="1:14" s="3" customFormat="1" ht="12.4" customHeight="1" x14ac:dyDescent="0.15">
      <c r="B6" s="7"/>
      <c r="C6" s="7"/>
      <c r="D6" s="7"/>
      <c r="F6" s="225" t="s">
        <v>280</v>
      </c>
      <c r="G6" s="225" t="s">
        <v>281</v>
      </c>
      <c r="H6" s="225" t="s">
        <v>282</v>
      </c>
      <c r="I6" s="225" t="s">
        <v>283</v>
      </c>
      <c r="J6" s="225" t="s">
        <v>284</v>
      </c>
      <c r="K6" s="13"/>
      <c r="L6" s="13"/>
      <c r="M6" s="8"/>
    </row>
    <row r="7" spans="1:14" s="3" customFormat="1" ht="12.4" customHeight="1" x14ac:dyDescent="0.15">
      <c r="A7" s="1" t="s">
        <v>285</v>
      </c>
      <c r="B7" s="7"/>
      <c r="C7" s="7"/>
      <c r="D7" s="7"/>
      <c r="E7" s="7"/>
      <c r="F7" s="225"/>
      <c r="G7" s="226"/>
      <c r="H7" s="225" t="s">
        <v>768</v>
      </c>
      <c r="I7" s="226"/>
      <c r="J7" s="226"/>
      <c r="K7" s="13"/>
      <c r="L7" s="13"/>
      <c r="M7" s="8"/>
    </row>
    <row r="8" spans="1:14" s="3" customFormat="1" ht="12.4"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4" customHeight="1" x14ac:dyDescent="0.15">
      <c r="A9" s="1" t="s">
        <v>561</v>
      </c>
      <c r="B9" s="2" t="s">
        <v>289</v>
      </c>
      <c r="C9" s="6">
        <v>1</v>
      </c>
      <c r="D9" s="2" t="s">
        <v>428</v>
      </c>
      <c r="E9" s="6">
        <v>100</v>
      </c>
      <c r="F9" s="18">
        <v>803710.62</v>
      </c>
      <c r="G9" s="18">
        <v>0</v>
      </c>
      <c r="H9" s="18">
        <v>0</v>
      </c>
      <c r="I9" s="18">
        <v>0</v>
      </c>
      <c r="J9" s="67">
        <f>SUM(I440)</f>
        <v>344576.21</v>
      </c>
      <c r="K9" s="24" t="s">
        <v>288</v>
      </c>
      <c r="L9" s="24" t="s">
        <v>288</v>
      </c>
      <c r="M9" s="8"/>
      <c r="N9" s="264"/>
    </row>
    <row r="10" spans="1:14" s="3" customFormat="1" ht="12.4" customHeight="1" x14ac:dyDescent="0.15">
      <c r="A10" s="1" t="s">
        <v>562</v>
      </c>
      <c r="B10" s="2" t="s">
        <v>289</v>
      </c>
      <c r="C10" s="6">
        <v>2</v>
      </c>
      <c r="D10" s="2" t="s">
        <v>428</v>
      </c>
      <c r="E10" s="6">
        <v>110</v>
      </c>
      <c r="F10" s="18">
        <v>0</v>
      </c>
      <c r="G10" s="18">
        <v>62666.97</v>
      </c>
      <c r="H10" s="18">
        <v>0</v>
      </c>
      <c r="I10" s="18">
        <v>0</v>
      </c>
      <c r="J10" s="67">
        <f>SUM(I441)</f>
        <v>0</v>
      </c>
      <c r="K10" s="24" t="s">
        <v>288</v>
      </c>
      <c r="L10" s="24" t="s">
        <v>288</v>
      </c>
      <c r="M10" s="8"/>
      <c r="N10" s="264"/>
    </row>
    <row r="11" spans="1:14" s="3" customFormat="1" ht="12.4"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4"/>
    </row>
    <row r="12" spans="1:14" s="3" customFormat="1" ht="12.4" customHeight="1" x14ac:dyDescent="0.15">
      <c r="A12" s="1" t="s">
        <v>564</v>
      </c>
      <c r="B12" s="2" t="s">
        <v>289</v>
      </c>
      <c r="C12" s="6">
        <v>4</v>
      </c>
      <c r="D12" s="2" t="s">
        <v>428</v>
      </c>
      <c r="E12" s="6">
        <v>130</v>
      </c>
      <c r="F12" s="18">
        <v>420535.92</v>
      </c>
      <c r="G12" s="18">
        <v>0</v>
      </c>
      <c r="H12" s="18">
        <v>0</v>
      </c>
      <c r="I12" s="18">
        <v>0</v>
      </c>
      <c r="J12" s="67">
        <f>SUM(I442)</f>
        <v>0</v>
      </c>
      <c r="K12" s="24" t="s">
        <v>288</v>
      </c>
      <c r="L12" s="24" t="s">
        <v>288</v>
      </c>
      <c r="M12" s="8"/>
      <c r="N12" s="264"/>
    </row>
    <row r="13" spans="1:14" s="3" customFormat="1" ht="12.4" customHeight="1" x14ac:dyDescent="0.15">
      <c r="A13" s="1" t="s">
        <v>604</v>
      </c>
      <c r="B13" s="2" t="s">
        <v>289</v>
      </c>
      <c r="C13" s="6">
        <v>5</v>
      </c>
      <c r="D13" s="2" t="s">
        <v>428</v>
      </c>
      <c r="E13" s="6">
        <v>140</v>
      </c>
      <c r="F13" s="18">
        <v>32</v>
      </c>
      <c r="G13" s="18">
        <v>1037</v>
      </c>
      <c r="H13" s="18">
        <v>6310.81</v>
      </c>
      <c r="I13" s="18">
        <v>0</v>
      </c>
      <c r="J13" s="67">
        <f>SUM(I443)</f>
        <v>0</v>
      </c>
      <c r="K13" s="24" t="s">
        <v>288</v>
      </c>
      <c r="L13" s="24" t="s">
        <v>288</v>
      </c>
      <c r="M13" s="8"/>
      <c r="N13" s="264"/>
    </row>
    <row r="14" spans="1:14" s="3" customFormat="1" ht="12.4" customHeight="1" x14ac:dyDescent="0.15">
      <c r="A14" s="1" t="s">
        <v>565</v>
      </c>
      <c r="B14" s="2" t="s">
        <v>289</v>
      </c>
      <c r="C14" s="6">
        <v>6</v>
      </c>
      <c r="D14" s="2" t="s">
        <v>428</v>
      </c>
      <c r="E14" s="6">
        <v>150</v>
      </c>
      <c r="F14" s="18">
        <v>0</v>
      </c>
      <c r="G14" s="18">
        <v>0</v>
      </c>
      <c r="H14" s="18">
        <v>0</v>
      </c>
      <c r="I14" s="18">
        <v>0</v>
      </c>
      <c r="J14" s="67">
        <f>SUM(I444)</f>
        <v>0</v>
      </c>
      <c r="K14" s="24" t="s">
        <v>288</v>
      </c>
      <c r="L14" s="24" t="s">
        <v>288</v>
      </c>
      <c r="M14" s="8"/>
      <c r="N14" s="264"/>
    </row>
    <row r="15" spans="1:14" s="3" customFormat="1" ht="12.4"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4"/>
    </row>
    <row r="16" spans="1:14" s="3" customFormat="1" ht="12.4" customHeight="1" x14ac:dyDescent="0.15">
      <c r="A16" s="1" t="s">
        <v>566</v>
      </c>
      <c r="B16" s="2" t="s">
        <v>289</v>
      </c>
      <c r="C16" s="6">
        <v>8</v>
      </c>
      <c r="D16" s="2" t="s">
        <v>428</v>
      </c>
      <c r="E16" s="6">
        <v>170</v>
      </c>
      <c r="F16" s="18">
        <v>0</v>
      </c>
      <c r="G16" s="18">
        <v>1838.05</v>
      </c>
      <c r="H16" s="18">
        <v>0</v>
      </c>
      <c r="I16" s="18">
        <v>0</v>
      </c>
      <c r="J16" s="24" t="s">
        <v>288</v>
      </c>
      <c r="K16" s="24" t="s">
        <v>288</v>
      </c>
      <c r="L16" s="24" t="s">
        <v>288</v>
      </c>
      <c r="M16" s="8"/>
      <c r="N16" s="264"/>
    </row>
    <row r="17" spans="1:14" s="3" customFormat="1" ht="12.4" customHeight="1" x14ac:dyDescent="0.15">
      <c r="A17" s="1" t="s">
        <v>567</v>
      </c>
      <c r="B17" s="2" t="s">
        <v>289</v>
      </c>
      <c r="C17" s="6">
        <v>9</v>
      </c>
      <c r="D17" s="2" t="s">
        <v>428</v>
      </c>
      <c r="E17" s="6">
        <v>180</v>
      </c>
      <c r="F17" s="18">
        <v>95417.14</v>
      </c>
      <c r="G17" s="18">
        <v>0</v>
      </c>
      <c r="H17" s="18">
        <v>0</v>
      </c>
      <c r="I17" s="18">
        <v>0</v>
      </c>
      <c r="J17" s="67">
        <f>SUM(I445)</f>
        <v>0</v>
      </c>
      <c r="K17" s="24" t="s">
        <v>288</v>
      </c>
      <c r="L17" s="24" t="s">
        <v>288</v>
      </c>
      <c r="M17" s="8"/>
      <c r="N17" s="264"/>
    </row>
    <row r="18" spans="1:14" s="3" customFormat="1" ht="12.4" customHeight="1" thickBot="1" x14ac:dyDescent="0.2">
      <c r="A18" s="1" t="s">
        <v>568</v>
      </c>
      <c r="B18" s="2" t="s">
        <v>289</v>
      </c>
      <c r="C18" s="6">
        <v>10</v>
      </c>
      <c r="D18" s="2" t="s">
        <v>428</v>
      </c>
      <c r="E18" s="6">
        <v>190</v>
      </c>
      <c r="F18" s="18">
        <v>0</v>
      </c>
      <c r="G18" s="18">
        <v>0</v>
      </c>
      <c r="H18" s="145">
        <v>0</v>
      </c>
      <c r="I18" s="18">
        <v>0</v>
      </c>
      <c r="J18" s="67">
        <f>SUM(I446)</f>
        <v>0</v>
      </c>
      <c r="K18" s="24" t="s">
        <v>288</v>
      </c>
      <c r="L18" s="24" t="s">
        <v>288</v>
      </c>
      <c r="M18" s="8"/>
      <c r="N18" s="264"/>
    </row>
    <row r="19" spans="1:14" s="3" customFormat="1" ht="12.4" customHeight="1" thickTop="1" x14ac:dyDescent="0.15">
      <c r="A19" s="38" t="s">
        <v>404</v>
      </c>
      <c r="B19" s="39" t="s">
        <v>289</v>
      </c>
      <c r="C19" s="40">
        <v>11</v>
      </c>
      <c r="D19" s="39" t="s">
        <v>428</v>
      </c>
      <c r="E19" s="39"/>
      <c r="F19" s="41">
        <f>SUM(F9:F18)</f>
        <v>1319695.68</v>
      </c>
      <c r="G19" s="41">
        <f>SUM(G9:G18)</f>
        <v>65542.02</v>
      </c>
      <c r="H19" s="41">
        <f>SUM(H9:H18)</f>
        <v>6310.81</v>
      </c>
      <c r="I19" s="41">
        <f>SUM(I9:I18)</f>
        <v>0</v>
      </c>
      <c r="J19" s="41">
        <f>SUM(J9:J18)</f>
        <v>344576.21</v>
      </c>
      <c r="K19" s="45" t="s">
        <v>288</v>
      </c>
      <c r="L19" s="45" t="s">
        <v>288</v>
      </c>
      <c r="M19" s="8"/>
      <c r="N19" s="264"/>
    </row>
    <row r="20" spans="1:14" s="3" customFormat="1" ht="12.4" customHeight="1" x14ac:dyDescent="0.15">
      <c r="A20" s="1" t="s">
        <v>454</v>
      </c>
      <c r="C20" s="159"/>
      <c r="F20" s="13"/>
      <c r="G20" s="13"/>
      <c r="H20" s="13"/>
      <c r="I20" s="13"/>
      <c r="J20" s="13"/>
      <c r="K20" s="13"/>
      <c r="L20" s="13"/>
      <c r="M20" s="8"/>
      <c r="N20" s="264"/>
    </row>
    <row r="21" spans="1:14" s="3" customFormat="1" ht="12.4"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4" customHeight="1" x14ac:dyDescent="0.15">
      <c r="A22" s="1" t="s">
        <v>569</v>
      </c>
      <c r="B22" s="2" t="s">
        <v>289</v>
      </c>
      <c r="C22" s="6">
        <v>12</v>
      </c>
      <c r="D22" s="2" t="s">
        <v>429</v>
      </c>
      <c r="E22" s="6">
        <v>400</v>
      </c>
      <c r="F22" s="18">
        <v>0</v>
      </c>
      <c r="G22" s="18">
        <v>59948.09</v>
      </c>
      <c r="H22" s="18">
        <v>305860.3</v>
      </c>
      <c r="I22" s="18">
        <v>0</v>
      </c>
      <c r="J22" s="67">
        <f>SUM(I449)</f>
        <v>0</v>
      </c>
      <c r="K22" s="24" t="s">
        <v>288</v>
      </c>
      <c r="L22" s="24" t="s">
        <v>288</v>
      </c>
      <c r="M22" s="8"/>
      <c r="N22" s="264"/>
    </row>
    <row r="23" spans="1:14" s="3" customFormat="1" ht="12.4" customHeight="1" x14ac:dyDescent="0.15">
      <c r="A23" s="1" t="s">
        <v>607</v>
      </c>
      <c r="B23" s="2" t="s">
        <v>289</v>
      </c>
      <c r="C23" s="6">
        <v>13</v>
      </c>
      <c r="D23" s="2" t="s">
        <v>429</v>
      </c>
      <c r="E23" s="6">
        <v>410</v>
      </c>
      <c r="F23" s="18">
        <v>0</v>
      </c>
      <c r="G23" s="18">
        <v>10432.18</v>
      </c>
      <c r="H23" s="18">
        <v>0</v>
      </c>
      <c r="I23" s="18">
        <v>0</v>
      </c>
      <c r="J23" s="67">
        <f>SUM(I450)</f>
        <v>0</v>
      </c>
      <c r="K23" s="24" t="s">
        <v>288</v>
      </c>
      <c r="L23" s="24" t="s">
        <v>288</v>
      </c>
      <c r="M23" s="8"/>
      <c r="N23" s="264"/>
    </row>
    <row r="24" spans="1:14" s="3" customFormat="1" ht="12.4" customHeight="1" x14ac:dyDescent="0.15">
      <c r="A24" s="1" t="s">
        <v>570</v>
      </c>
      <c r="B24" s="2" t="s">
        <v>289</v>
      </c>
      <c r="C24" s="6">
        <v>14</v>
      </c>
      <c r="D24" s="2" t="s">
        <v>429</v>
      </c>
      <c r="E24" s="6">
        <v>420</v>
      </c>
      <c r="F24" s="18">
        <v>0</v>
      </c>
      <c r="G24" s="18">
        <v>0</v>
      </c>
      <c r="H24" s="18">
        <v>18853.2</v>
      </c>
      <c r="I24" s="18">
        <v>0</v>
      </c>
      <c r="J24" s="67">
        <f>SUM(I451)</f>
        <v>0</v>
      </c>
      <c r="K24" s="24" t="s">
        <v>288</v>
      </c>
      <c r="L24" s="24" t="s">
        <v>288</v>
      </c>
      <c r="M24" s="8"/>
      <c r="N24" s="264"/>
    </row>
    <row r="25" spans="1:14" s="3" customFormat="1" ht="12.4" customHeight="1" x14ac:dyDescent="0.15">
      <c r="A25" s="1" t="s">
        <v>574</v>
      </c>
      <c r="B25" s="2" t="s">
        <v>289</v>
      </c>
      <c r="C25" s="6">
        <v>15</v>
      </c>
      <c r="D25" s="2" t="s">
        <v>429</v>
      </c>
      <c r="E25" s="6">
        <v>430</v>
      </c>
      <c r="F25" s="18">
        <v>0</v>
      </c>
      <c r="G25" s="145">
        <v>0</v>
      </c>
      <c r="H25" s="18">
        <v>0</v>
      </c>
      <c r="I25" s="18">
        <v>0</v>
      </c>
      <c r="J25" s="24" t="s">
        <v>288</v>
      </c>
      <c r="K25" s="24" t="s">
        <v>288</v>
      </c>
      <c r="L25" s="24" t="s">
        <v>288</v>
      </c>
      <c r="M25" s="8"/>
      <c r="N25" s="264"/>
    </row>
    <row r="26" spans="1:14" s="3" customFormat="1" ht="12.4"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4"/>
    </row>
    <row r="27" spans="1:14" s="3" customFormat="1" ht="12.4"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4"/>
    </row>
    <row r="28" spans="1:14" s="3" customFormat="1" ht="12.4" customHeight="1" x14ac:dyDescent="0.15">
      <c r="A28" s="1" t="s">
        <v>573</v>
      </c>
      <c r="B28" s="2" t="s">
        <v>289</v>
      </c>
      <c r="C28" s="6">
        <v>18</v>
      </c>
      <c r="D28" s="2" t="s">
        <v>429</v>
      </c>
      <c r="E28" s="6">
        <v>460</v>
      </c>
      <c r="F28" s="18">
        <v>86504.42</v>
      </c>
      <c r="G28" s="18">
        <v>0</v>
      </c>
      <c r="H28" s="18">
        <v>0</v>
      </c>
      <c r="I28" s="18">
        <v>0</v>
      </c>
      <c r="J28" s="24" t="s">
        <v>288</v>
      </c>
      <c r="K28" s="24" t="s">
        <v>288</v>
      </c>
      <c r="L28" s="24" t="s">
        <v>288</v>
      </c>
      <c r="M28" s="8"/>
      <c r="N28" s="264"/>
    </row>
    <row r="29" spans="1:14" s="3" customFormat="1" ht="12.4" customHeight="1" x14ac:dyDescent="0.15">
      <c r="A29" s="1" t="s">
        <v>575</v>
      </c>
      <c r="B29" s="2" t="s">
        <v>289</v>
      </c>
      <c r="C29" s="6">
        <v>19</v>
      </c>
      <c r="D29" s="2" t="s">
        <v>429</v>
      </c>
      <c r="E29" s="6">
        <v>470</v>
      </c>
      <c r="F29" s="18">
        <v>-51756.66</v>
      </c>
      <c r="G29" s="18">
        <v>0</v>
      </c>
      <c r="H29" s="18">
        <v>0</v>
      </c>
      <c r="I29" s="18">
        <v>0</v>
      </c>
      <c r="J29" s="24" t="s">
        <v>288</v>
      </c>
      <c r="K29" s="24" t="s">
        <v>288</v>
      </c>
      <c r="L29" s="24" t="s">
        <v>288</v>
      </c>
      <c r="M29" s="8"/>
      <c r="N29" s="264"/>
    </row>
    <row r="30" spans="1:14" s="3" customFormat="1" ht="12.4" customHeight="1" x14ac:dyDescent="0.15">
      <c r="A30" s="1" t="s">
        <v>576</v>
      </c>
      <c r="B30" s="2" t="s">
        <v>289</v>
      </c>
      <c r="C30" s="6">
        <v>20</v>
      </c>
      <c r="D30" s="2" t="s">
        <v>429</v>
      </c>
      <c r="E30" s="6">
        <v>480</v>
      </c>
      <c r="F30" s="18">
        <v>0</v>
      </c>
      <c r="G30" s="18">
        <v>0</v>
      </c>
      <c r="H30" s="18">
        <v>0</v>
      </c>
      <c r="I30" s="18">
        <v>0</v>
      </c>
      <c r="J30" s="24" t="s">
        <v>288</v>
      </c>
      <c r="K30" s="24" t="s">
        <v>288</v>
      </c>
      <c r="L30" s="24" t="s">
        <v>288</v>
      </c>
      <c r="M30" s="8"/>
      <c r="N30" s="264"/>
    </row>
    <row r="31" spans="1:14" s="3" customFormat="1" ht="12.4" customHeight="1" thickBot="1" x14ac:dyDescent="0.2">
      <c r="A31" s="1" t="s">
        <v>585</v>
      </c>
      <c r="B31" s="2" t="s">
        <v>289</v>
      </c>
      <c r="C31" s="6">
        <v>21</v>
      </c>
      <c r="D31" s="2" t="s">
        <v>429</v>
      </c>
      <c r="E31" s="6">
        <v>490</v>
      </c>
      <c r="F31" s="18">
        <v>0</v>
      </c>
      <c r="G31" s="18">
        <v>0</v>
      </c>
      <c r="H31" s="18">
        <v>-1690</v>
      </c>
      <c r="I31" s="18">
        <v>0</v>
      </c>
      <c r="J31" s="67">
        <f>SUM(I452)</f>
        <v>0</v>
      </c>
      <c r="K31" s="24" t="s">
        <v>288</v>
      </c>
      <c r="L31" s="24" t="s">
        <v>288</v>
      </c>
      <c r="M31" s="8"/>
      <c r="N31" s="264"/>
    </row>
    <row r="32" spans="1:14" s="3" customFormat="1" ht="12.4" customHeight="1" thickTop="1" x14ac:dyDescent="0.15">
      <c r="A32" s="38" t="s">
        <v>406</v>
      </c>
      <c r="B32" s="39" t="s">
        <v>289</v>
      </c>
      <c r="C32" s="40">
        <v>22</v>
      </c>
      <c r="D32" s="39" t="s">
        <v>429</v>
      </c>
      <c r="E32" s="39"/>
      <c r="F32" s="41">
        <f>SUM(F22:F31)</f>
        <v>34747.759999999995</v>
      </c>
      <c r="G32" s="41">
        <f>SUM(G22:G31)</f>
        <v>70380.26999999999</v>
      </c>
      <c r="H32" s="41">
        <f>SUM(H22:H31)</f>
        <v>323023.5</v>
      </c>
      <c r="I32" s="41">
        <f>SUM(I22:I31)</f>
        <v>0</v>
      </c>
      <c r="J32" s="41">
        <f>SUM(J22:J31)</f>
        <v>0</v>
      </c>
      <c r="K32" s="45" t="s">
        <v>288</v>
      </c>
      <c r="L32" s="45" t="s">
        <v>288</v>
      </c>
      <c r="M32" s="8"/>
      <c r="N32" s="264"/>
    </row>
    <row r="33" spans="1:14" s="3" customFormat="1" ht="12.4"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4"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4"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4"/>
    </row>
    <row r="36" spans="1:14" s="3" customFormat="1" ht="12.4"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4"/>
    </row>
    <row r="37" spans="1:14" s="3" customFormat="1" ht="12.4" customHeight="1" x14ac:dyDescent="0.15">
      <c r="A37" s="1" t="s">
        <v>852</v>
      </c>
      <c r="B37" s="6">
        <v>1</v>
      </c>
      <c r="C37" s="6">
        <v>25</v>
      </c>
      <c r="D37" s="2" t="s">
        <v>653</v>
      </c>
      <c r="E37" s="6">
        <v>756</v>
      </c>
      <c r="F37" s="18">
        <v>0</v>
      </c>
      <c r="G37" s="18">
        <v>0</v>
      </c>
      <c r="H37" s="18">
        <v>0</v>
      </c>
      <c r="I37" s="18">
        <v>0</v>
      </c>
      <c r="J37" s="13">
        <f>I458</f>
        <v>344576.21</v>
      </c>
      <c r="K37" s="24" t="s">
        <v>288</v>
      </c>
      <c r="L37" s="24" t="s">
        <v>288</v>
      </c>
      <c r="M37" s="8"/>
      <c r="N37" s="264"/>
    </row>
    <row r="38" spans="1:14" s="3" customFormat="1" ht="12.4"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4" customHeight="1" x14ac:dyDescent="0.15">
      <c r="A39" s="1" t="s">
        <v>853</v>
      </c>
      <c r="B39" s="6">
        <v>1</v>
      </c>
      <c r="C39" s="6">
        <v>26</v>
      </c>
      <c r="D39" s="2"/>
      <c r="E39" s="6">
        <v>756</v>
      </c>
      <c r="F39" s="18">
        <v>0</v>
      </c>
      <c r="G39" s="18">
        <v>0</v>
      </c>
      <c r="H39" s="18">
        <v>0</v>
      </c>
      <c r="I39" s="18">
        <v>0</v>
      </c>
      <c r="J39" s="13">
        <f>I459</f>
        <v>0</v>
      </c>
      <c r="K39" s="24" t="s">
        <v>288</v>
      </c>
      <c r="L39" s="24" t="s">
        <v>288</v>
      </c>
      <c r="M39" s="8"/>
      <c r="N39" s="264"/>
    </row>
    <row r="40" spans="1:14" s="3" customFormat="1" ht="12.4" customHeight="1" x14ac:dyDescent="0.15">
      <c r="A40" s="1" t="s">
        <v>860</v>
      </c>
      <c r="B40" s="6">
        <v>1</v>
      </c>
      <c r="C40" s="6">
        <v>27</v>
      </c>
      <c r="D40" s="2"/>
      <c r="E40" s="6"/>
      <c r="F40" s="24" t="s">
        <v>288</v>
      </c>
      <c r="G40" s="18">
        <v>0</v>
      </c>
      <c r="H40" s="24" t="s">
        <v>288</v>
      </c>
      <c r="I40" s="24" t="s">
        <v>288</v>
      </c>
      <c r="J40" s="24" t="s">
        <v>288</v>
      </c>
      <c r="K40" s="24" t="s">
        <v>288</v>
      </c>
      <c r="L40" s="24" t="s">
        <v>288</v>
      </c>
      <c r="M40" s="8"/>
      <c r="N40" s="264"/>
    </row>
    <row r="41" spans="1:14" s="3" customFormat="1" ht="12.4" customHeight="1" x14ac:dyDescent="0.15">
      <c r="A41" s="1" t="s">
        <v>870</v>
      </c>
      <c r="B41" s="6">
        <v>1</v>
      </c>
      <c r="C41" s="6">
        <v>28</v>
      </c>
      <c r="D41" s="2"/>
      <c r="E41" s="6"/>
      <c r="F41" s="24" t="s">
        <v>288</v>
      </c>
      <c r="G41" s="24" t="s">
        <v>288</v>
      </c>
      <c r="H41" s="24" t="s">
        <v>288</v>
      </c>
      <c r="I41" s="18">
        <v>0</v>
      </c>
      <c r="J41" s="24" t="s">
        <v>288</v>
      </c>
      <c r="K41" s="24" t="s">
        <v>288</v>
      </c>
      <c r="L41" s="24" t="s">
        <v>288</v>
      </c>
      <c r="M41" s="8"/>
      <c r="N41" s="264"/>
    </row>
    <row r="42" spans="1:14" s="3" customFormat="1" ht="12.4"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4"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4"/>
    </row>
    <row r="44" spans="1:14" s="3" customFormat="1" ht="12.4" customHeight="1" x14ac:dyDescent="0.15">
      <c r="A44" s="1" t="s">
        <v>837</v>
      </c>
      <c r="B44" s="6">
        <v>1</v>
      </c>
      <c r="C44" s="6">
        <v>30</v>
      </c>
      <c r="D44" s="2" t="s">
        <v>653</v>
      </c>
      <c r="E44" s="6">
        <v>755</v>
      </c>
      <c r="F44" s="18">
        <v>0</v>
      </c>
      <c r="G44" s="18">
        <v>-4838.25</v>
      </c>
      <c r="H44" s="18">
        <v>-316712.69</v>
      </c>
      <c r="I44" s="18">
        <v>0</v>
      </c>
      <c r="J44" s="24" t="s">
        <v>288</v>
      </c>
      <c r="K44" s="24" t="s">
        <v>288</v>
      </c>
      <c r="L44" s="24" t="s">
        <v>288</v>
      </c>
      <c r="M44" s="8"/>
      <c r="N44" s="264"/>
    </row>
    <row r="45" spans="1:14" s="3" customFormat="1" ht="12.4" customHeight="1" x14ac:dyDescent="0.15">
      <c r="A45" s="1" t="s">
        <v>838</v>
      </c>
      <c r="B45" s="6">
        <v>1</v>
      </c>
      <c r="C45" s="6">
        <v>31</v>
      </c>
      <c r="D45" s="2"/>
      <c r="E45" s="6">
        <v>753</v>
      </c>
      <c r="F45" s="18">
        <v>128201.44</v>
      </c>
      <c r="G45" s="18">
        <v>0</v>
      </c>
      <c r="H45" s="18">
        <v>0</v>
      </c>
      <c r="I45" s="18">
        <v>0</v>
      </c>
      <c r="J45" s="13">
        <f>I456</f>
        <v>0</v>
      </c>
      <c r="K45" s="24" t="s">
        <v>288</v>
      </c>
      <c r="L45" s="24" t="s">
        <v>288</v>
      </c>
      <c r="M45" s="8"/>
      <c r="N45" s="264"/>
    </row>
    <row r="46" spans="1:14" s="3" customFormat="1" ht="12.4"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4"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4" customHeight="1" x14ac:dyDescent="0.15">
      <c r="A48" s="1" t="s">
        <v>839</v>
      </c>
      <c r="B48" s="2" t="s">
        <v>289</v>
      </c>
      <c r="C48" s="6">
        <v>33</v>
      </c>
      <c r="D48" s="2" t="s">
        <v>653</v>
      </c>
      <c r="E48" s="6">
        <v>760</v>
      </c>
      <c r="F48" s="18">
        <v>0</v>
      </c>
      <c r="G48" s="18">
        <v>0</v>
      </c>
      <c r="H48" s="18">
        <v>0</v>
      </c>
      <c r="I48" s="18">
        <v>0</v>
      </c>
      <c r="J48" s="13">
        <f>SUM(I460)</f>
        <v>0</v>
      </c>
      <c r="K48" s="24" t="s">
        <v>288</v>
      </c>
      <c r="L48" s="24" t="s">
        <v>288</v>
      </c>
      <c r="M48" s="8"/>
      <c r="N48" s="264"/>
    </row>
    <row r="49" spans="1:14" s="3" customFormat="1" ht="12.4" customHeight="1" x14ac:dyDescent="0.15">
      <c r="A49" s="1" t="s">
        <v>859</v>
      </c>
      <c r="B49" s="2" t="s">
        <v>289</v>
      </c>
      <c r="C49" s="6">
        <v>34</v>
      </c>
      <c r="D49" s="2"/>
      <c r="E49" s="6">
        <v>753</v>
      </c>
      <c r="F49" s="18">
        <v>0</v>
      </c>
      <c r="G49" s="18">
        <v>0</v>
      </c>
      <c r="H49" s="18">
        <v>0</v>
      </c>
      <c r="I49" s="18">
        <v>0</v>
      </c>
      <c r="J49" s="13">
        <f>I455</f>
        <v>0</v>
      </c>
      <c r="K49" s="24"/>
      <c r="L49" s="24"/>
      <c r="M49" s="8"/>
      <c r="N49" s="264"/>
    </row>
    <row r="50" spans="1:14" s="3" customFormat="1" ht="12.4" customHeight="1" thickBot="1" x14ac:dyDescent="0.2">
      <c r="A50" s="29" t="s">
        <v>840</v>
      </c>
      <c r="B50" s="2" t="s">
        <v>289</v>
      </c>
      <c r="C50" s="71">
        <v>35</v>
      </c>
      <c r="D50" s="2" t="s">
        <v>653</v>
      </c>
      <c r="E50" s="6">
        <v>770</v>
      </c>
      <c r="F50" s="18">
        <v>1156746.48</v>
      </c>
      <c r="G50" s="24" t="s">
        <v>288</v>
      </c>
      <c r="H50" s="24" t="s">
        <v>288</v>
      </c>
      <c r="I50" s="24" t="s">
        <v>288</v>
      </c>
      <c r="J50" s="24" t="s">
        <v>288</v>
      </c>
      <c r="K50" s="24" t="s">
        <v>288</v>
      </c>
      <c r="L50" s="24" t="s">
        <v>288</v>
      </c>
      <c r="M50" s="8"/>
      <c r="N50" s="264"/>
    </row>
    <row r="51" spans="1:14" ht="12.4" customHeight="1" thickTop="1" thickBot="1" x14ac:dyDescent="0.25">
      <c r="A51" s="38" t="s">
        <v>407</v>
      </c>
      <c r="B51" s="39" t="s">
        <v>289</v>
      </c>
      <c r="C51" s="51">
        <v>36</v>
      </c>
      <c r="D51" s="39" t="s">
        <v>653</v>
      </c>
      <c r="E51" s="39"/>
      <c r="F51" s="41">
        <f>SUM(F35:F50)</f>
        <v>1284947.92</v>
      </c>
      <c r="G51" s="41">
        <f>SUM(G35:G50)</f>
        <v>-4838.25</v>
      </c>
      <c r="H51" s="41">
        <f>SUM(H35:H50)</f>
        <v>-316712.69</v>
      </c>
      <c r="I51" s="41">
        <f>SUM(I35:I50)</f>
        <v>0</v>
      </c>
      <c r="J51" s="41">
        <f>SUM(J35:J50)</f>
        <v>344576.21</v>
      </c>
      <c r="K51" s="45" t="s">
        <v>288</v>
      </c>
      <c r="L51" s="45" t="s">
        <v>288</v>
      </c>
      <c r="N51" s="262"/>
    </row>
    <row r="52" spans="1:14" s="3" customFormat="1" ht="12.4" customHeight="1" thickTop="1" x14ac:dyDescent="0.15">
      <c r="A52" s="38" t="s">
        <v>455</v>
      </c>
      <c r="B52" s="39" t="s">
        <v>289</v>
      </c>
      <c r="C52" s="6">
        <v>37</v>
      </c>
      <c r="D52" s="39" t="s">
        <v>653</v>
      </c>
      <c r="E52" s="39"/>
      <c r="F52" s="41">
        <f>F51+F32</f>
        <v>1319695.68</v>
      </c>
      <c r="G52" s="41">
        <f>G51+G32</f>
        <v>65542.01999999999</v>
      </c>
      <c r="H52" s="41">
        <f>H51+H32</f>
        <v>6310.8099999999977</v>
      </c>
      <c r="I52" s="41">
        <f>I51+I32</f>
        <v>0</v>
      </c>
      <c r="J52" s="41">
        <f>J51+J32</f>
        <v>344576.21</v>
      </c>
      <c r="K52" s="45" t="s">
        <v>288</v>
      </c>
      <c r="L52" s="45" t="s">
        <v>288</v>
      </c>
      <c r="M52" s="8"/>
      <c r="N52" s="264"/>
    </row>
    <row r="53" spans="1:14" s="3" customFormat="1" ht="12.4" customHeight="1" x14ac:dyDescent="0.2">
      <c r="A53"/>
      <c r="B53"/>
      <c r="C53"/>
      <c r="D53"/>
      <c r="E53"/>
      <c r="F53" s="23" t="s">
        <v>273</v>
      </c>
      <c r="G53" s="23" t="s">
        <v>274</v>
      </c>
      <c r="H53" s="23" t="s">
        <v>275</v>
      </c>
      <c r="I53" s="23" t="s">
        <v>276</v>
      </c>
      <c r="J53" s="23" t="s">
        <v>277</v>
      </c>
      <c r="K53" s="20"/>
      <c r="L53" s="20"/>
      <c r="M53" s="8"/>
      <c r="N53" s="264"/>
    </row>
    <row r="54" spans="1:14" s="3" customFormat="1" ht="12.4" customHeight="1" x14ac:dyDescent="0.2">
      <c r="A54" s="1" t="s">
        <v>305</v>
      </c>
      <c r="F54" s="23"/>
      <c r="G54" s="23"/>
      <c r="H54" s="23" t="s">
        <v>282</v>
      </c>
      <c r="I54" s="23"/>
      <c r="J54" s="23"/>
      <c r="K54" s="20"/>
      <c r="L54" s="20"/>
      <c r="M54" s="8"/>
      <c r="N54" s="264"/>
    </row>
    <row r="55" spans="1:14" s="3" customFormat="1" ht="12.4" customHeight="1" x14ac:dyDescent="0.2">
      <c r="A55" s="28" t="s">
        <v>307</v>
      </c>
      <c r="E55" s="6"/>
      <c r="F55" s="16" t="s">
        <v>280</v>
      </c>
      <c r="G55" s="16" t="s">
        <v>281</v>
      </c>
      <c r="H55" s="16" t="s">
        <v>768</v>
      </c>
      <c r="I55" s="16" t="s">
        <v>283</v>
      </c>
      <c r="J55" s="16" t="s">
        <v>284</v>
      </c>
      <c r="K55" s="20"/>
      <c r="L55" s="20"/>
      <c r="M55" s="8"/>
      <c r="N55" s="264"/>
    </row>
    <row r="56" spans="1:14" s="3" customFormat="1" ht="12.4"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4" customHeight="1" x14ac:dyDescent="0.15">
      <c r="A57" s="1" t="s">
        <v>511</v>
      </c>
      <c r="B57" s="2" t="s">
        <v>309</v>
      </c>
      <c r="C57" s="6">
        <v>1</v>
      </c>
      <c r="D57" s="2" t="s">
        <v>430</v>
      </c>
      <c r="E57" s="6">
        <v>1111</v>
      </c>
      <c r="F57" s="18">
        <v>8936592.6799999997</v>
      </c>
      <c r="G57" s="18">
        <v>0</v>
      </c>
      <c r="H57" s="18">
        <v>0</v>
      </c>
      <c r="I57" s="18">
        <v>0</v>
      </c>
      <c r="J57" s="18">
        <v>0</v>
      </c>
      <c r="K57" s="24" t="s">
        <v>288</v>
      </c>
      <c r="L57" s="24" t="s">
        <v>288</v>
      </c>
      <c r="M57" s="8"/>
      <c r="N57" s="264"/>
    </row>
    <row r="58" spans="1:14" s="3" customFormat="1" ht="12.4"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4"/>
    </row>
    <row r="59" spans="1:14" s="27" customFormat="1" ht="12.4" customHeight="1" thickBot="1" x14ac:dyDescent="0.2">
      <c r="A59" s="1" t="s">
        <v>510</v>
      </c>
      <c r="B59" s="2" t="s">
        <v>309</v>
      </c>
      <c r="C59" s="6">
        <v>3</v>
      </c>
      <c r="D59" s="2" t="s">
        <v>430</v>
      </c>
      <c r="E59" s="6">
        <v>1119</v>
      </c>
      <c r="F59" s="18">
        <v>69969.34</v>
      </c>
      <c r="G59" s="18">
        <v>0</v>
      </c>
      <c r="H59" s="18">
        <v>0</v>
      </c>
      <c r="I59" s="18">
        <v>0</v>
      </c>
      <c r="J59" s="18">
        <v>0</v>
      </c>
      <c r="K59" s="24" t="s">
        <v>288</v>
      </c>
      <c r="L59" s="24" t="s">
        <v>288</v>
      </c>
      <c r="M59" s="31"/>
      <c r="N59" s="265"/>
    </row>
    <row r="60" spans="1:14" s="27" customFormat="1" ht="12.4" customHeight="1" thickTop="1" x14ac:dyDescent="0.15">
      <c r="A60" s="38" t="s">
        <v>408</v>
      </c>
      <c r="B60" s="39" t="s">
        <v>309</v>
      </c>
      <c r="C60" s="40">
        <v>4</v>
      </c>
      <c r="D60" s="39" t="s">
        <v>430</v>
      </c>
      <c r="E60" s="40">
        <v>1100</v>
      </c>
      <c r="F60" s="41">
        <f>SUM(F57:F59)</f>
        <v>9006562.0199999996</v>
      </c>
      <c r="G60" s="41">
        <f>SUM(G57:G59)</f>
        <v>0</v>
      </c>
      <c r="H60" s="41">
        <f>SUM(H57:H59)</f>
        <v>0</v>
      </c>
      <c r="I60" s="41">
        <f>SUM(I57:I59)</f>
        <v>0</v>
      </c>
      <c r="J60" s="41">
        <f>SUM(J57:J59)</f>
        <v>0</v>
      </c>
      <c r="K60" s="45" t="s">
        <v>288</v>
      </c>
      <c r="L60" s="45" t="s">
        <v>288</v>
      </c>
      <c r="M60" s="31"/>
      <c r="N60" s="265"/>
    </row>
    <row r="61" spans="1:14" s="3" customFormat="1" ht="12.4"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4"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4" customHeight="1" x14ac:dyDescent="0.15">
      <c r="A63" s="1" t="s">
        <v>513</v>
      </c>
      <c r="B63" s="2" t="s">
        <v>309</v>
      </c>
      <c r="C63" s="6">
        <v>5</v>
      </c>
      <c r="D63" s="2" t="s">
        <v>430</v>
      </c>
      <c r="E63" s="6">
        <v>1311</v>
      </c>
      <c r="F63" s="18">
        <v>2700</v>
      </c>
      <c r="G63" s="24" t="s">
        <v>288</v>
      </c>
      <c r="H63" s="18">
        <v>0</v>
      </c>
      <c r="I63" s="24" t="s">
        <v>288</v>
      </c>
      <c r="J63" s="24" t="s">
        <v>288</v>
      </c>
      <c r="K63" s="24" t="s">
        <v>288</v>
      </c>
      <c r="L63" s="24" t="s">
        <v>288</v>
      </c>
      <c r="M63" s="8"/>
      <c r="N63" s="264"/>
    </row>
    <row r="64" spans="1:14" s="3" customFormat="1" ht="12.4"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4"/>
    </row>
    <row r="65" spans="1:14" s="27" customFormat="1" ht="12.4"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5"/>
    </row>
    <row r="66" spans="1:14" s="3" customFormat="1" ht="12.4"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4"/>
    </row>
    <row r="67" spans="1:14" s="3" customFormat="1" ht="12.4"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4" customHeight="1" x14ac:dyDescent="0.15">
      <c r="A68" s="1" t="s">
        <v>513</v>
      </c>
      <c r="B68" s="2" t="s">
        <v>309</v>
      </c>
      <c r="C68" s="6">
        <v>9</v>
      </c>
      <c r="D68" s="2" t="s">
        <v>430</v>
      </c>
      <c r="E68" s="6">
        <v>1321</v>
      </c>
      <c r="F68" s="18">
        <v>0</v>
      </c>
      <c r="G68" s="24" t="s">
        <v>288</v>
      </c>
      <c r="H68" s="18">
        <v>0</v>
      </c>
      <c r="I68" s="24" t="s">
        <v>288</v>
      </c>
      <c r="J68" s="24" t="s">
        <v>288</v>
      </c>
      <c r="K68" s="24" t="s">
        <v>288</v>
      </c>
      <c r="L68" s="24" t="s">
        <v>288</v>
      </c>
      <c r="M68" s="8"/>
      <c r="N68" s="264"/>
    </row>
    <row r="69" spans="1:14" s="3" customFormat="1" ht="12.4" customHeight="1" x14ac:dyDescent="0.15">
      <c r="A69" s="1" t="s">
        <v>515</v>
      </c>
      <c r="B69" s="2" t="s">
        <v>309</v>
      </c>
      <c r="C69" s="6">
        <v>10</v>
      </c>
      <c r="D69" s="2" t="s">
        <v>430</v>
      </c>
      <c r="E69" s="6">
        <v>1322</v>
      </c>
      <c r="F69" s="18">
        <v>49206.33</v>
      </c>
      <c r="G69" s="24" t="s">
        <v>288</v>
      </c>
      <c r="H69" s="18">
        <v>0</v>
      </c>
      <c r="I69" s="24" t="s">
        <v>288</v>
      </c>
      <c r="J69" s="24" t="s">
        <v>288</v>
      </c>
      <c r="K69" s="24" t="s">
        <v>288</v>
      </c>
      <c r="L69" s="24" t="s">
        <v>288</v>
      </c>
      <c r="M69" s="8"/>
      <c r="N69" s="264"/>
    </row>
    <row r="70" spans="1:14" s="3" customFormat="1" ht="12.4" customHeight="1" x14ac:dyDescent="0.15">
      <c r="A70" s="1" t="s">
        <v>516</v>
      </c>
      <c r="B70" s="2" t="s">
        <v>309</v>
      </c>
      <c r="C70" s="6">
        <v>11</v>
      </c>
      <c r="D70" s="2" t="s">
        <v>430</v>
      </c>
      <c r="E70" s="6">
        <v>1323</v>
      </c>
      <c r="F70" s="18">
        <v>0</v>
      </c>
      <c r="G70" s="24" t="s">
        <v>288</v>
      </c>
      <c r="H70" s="18">
        <v>0</v>
      </c>
      <c r="I70" s="24" t="s">
        <v>288</v>
      </c>
      <c r="J70" s="24" t="s">
        <v>288</v>
      </c>
      <c r="K70" s="24" t="s">
        <v>288</v>
      </c>
      <c r="L70" s="24" t="s">
        <v>288</v>
      </c>
      <c r="M70" s="8"/>
      <c r="N70" s="264"/>
    </row>
    <row r="71" spans="1:14" s="3" customFormat="1" ht="12.4"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4"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4"/>
    </row>
    <row r="73" spans="1:14" s="3" customFormat="1" ht="12.4"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4"/>
    </row>
    <row r="74" spans="1:14" s="3" customFormat="1" ht="12.4"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4"/>
    </row>
    <row r="75" spans="1:14" s="3" customFormat="1" ht="12.4"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4"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4"/>
    </row>
    <row r="77" spans="1:14" s="3" customFormat="1" ht="12.4"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4"/>
    </row>
    <row r="78" spans="1:14" ht="12.4"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2"/>
    </row>
    <row r="79" spans="1:14" s="3" customFormat="1" ht="12.4" customHeight="1" thickTop="1" x14ac:dyDescent="0.15">
      <c r="A79" s="38" t="s">
        <v>409</v>
      </c>
      <c r="B79" s="39" t="s">
        <v>309</v>
      </c>
      <c r="C79" s="39" t="s">
        <v>314</v>
      </c>
      <c r="D79" s="39" t="s">
        <v>430</v>
      </c>
      <c r="E79" s="40">
        <v>1300</v>
      </c>
      <c r="F79" s="41">
        <f>SUM(F63:F78)</f>
        <v>51906.33</v>
      </c>
      <c r="G79" s="45" t="s">
        <v>288</v>
      </c>
      <c r="H79" s="41">
        <f>SUM(H63:H78)</f>
        <v>0</v>
      </c>
      <c r="I79" s="45" t="s">
        <v>288</v>
      </c>
      <c r="J79" s="45" t="s">
        <v>288</v>
      </c>
      <c r="K79" s="45" t="s">
        <v>288</v>
      </c>
      <c r="L79" s="45" t="s">
        <v>288</v>
      </c>
      <c r="M79" s="8"/>
      <c r="N79" s="264"/>
    </row>
    <row r="80" spans="1:14" s="3" customFormat="1" ht="12.4" customHeight="1" x14ac:dyDescent="0.2">
      <c r="A80"/>
      <c r="B80"/>
      <c r="C80" s="32"/>
      <c r="D80" s="32"/>
      <c r="E80" s="32"/>
      <c r="F80" s="23" t="s">
        <v>273</v>
      </c>
      <c r="G80" s="23" t="s">
        <v>274</v>
      </c>
      <c r="H80" s="23" t="s">
        <v>275</v>
      </c>
      <c r="I80" s="23" t="s">
        <v>276</v>
      </c>
      <c r="J80" s="23" t="s">
        <v>277</v>
      </c>
      <c r="K80" s="20"/>
      <c r="L80" s="20"/>
      <c r="M80" s="8"/>
      <c r="N80" s="264"/>
    </row>
    <row r="81" spans="1:14" s="3" customFormat="1" ht="12.4" customHeight="1" x14ac:dyDescent="0.2">
      <c r="A81" s="170" t="s">
        <v>518</v>
      </c>
      <c r="C81" s="23"/>
      <c r="D81" s="23"/>
      <c r="E81" s="23"/>
      <c r="F81" s="23"/>
      <c r="G81" s="23"/>
      <c r="H81" s="23" t="s">
        <v>282</v>
      </c>
      <c r="I81" s="23"/>
      <c r="J81" s="23"/>
      <c r="K81" s="20"/>
      <c r="L81" s="20"/>
      <c r="M81" s="8"/>
      <c r="N81" s="264"/>
    </row>
    <row r="82" spans="1:14" s="3" customFormat="1" ht="12.4"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4"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4"/>
    </row>
    <row r="84" spans="1:14" s="3" customFormat="1" ht="12.4"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4"/>
    </row>
    <row r="85" spans="1:14" s="3" customFormat="1" ht="12.4"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4" customHeight="1" x14ac:dyDescent="0.15">
      <c r="A86" s="1" t="s">
        <v>513</v>
      </c>
      <c r="B86" s="1" t="s">
        <v>315</v>
      </c>
      <c r="C86" s="6">
        <v>3</v>
      </c>
      <c r="D86" s="2" t="s">
        <v>430</v>
      </c>
      <c r="E86" s="6">
        <v>1421</v>
      </c>
      <c r="F86" s="18">
        <v>0</v>
      </c>
      <c r="G86" s="24" t="s">
        <v>288</v>
      </c>
      <c r="H86" s="18">
        <v>0</v>
      </c>
      <c r="I86" s="24" t="s">
        <v>288</v>
      </c>
      <c r="J86" s="24" t="s">
        <v>288</v>
      </c>
      <c r="K86" s="24" t="s">
        <v>288</v>
      </c>
      <c r="L86" s="24" t="s">
        <v>288</v>
      </c>
      <c r="M86" s="8"/>
      <c r="N86" s="264"/>
    </row>
    <row r="87" spans="1:14" s="3" customFormat="1" ht="12.4"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4"/>
    </row>
    <row r="88" spans="1:14" s="3" customFormat="1" ht="12.4"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4"/>
    </row>
    <row r="89" spans="1:14" s="3" customFormat="1" ht="12.4"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4"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4"/>
    </row>
    <row r="91" spans="1:14" s="3" customFormat="1" ht="12.4"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4"/>
    </row>
    <row r="92" spans="1:14" s="3" customFormat="1" ht="12.4"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4"/>
    </row>
    <row r="93" spans="1:14" s="3" customFormat="1" ht="12.4"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4"/>
    </row>
    <row r="94" spans="1:14" s="3" customFormat="1" ht="12.4"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4"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4" customHeight="1" x14ac:dyDescent="0.15">
      <c r="A96" s="1" t="s">
        <v>592</v>
      </c>
      <c r="B96" s="2" t="s">
        <v>315</v>
      </c>
      <c r="C96" s="6">
        <v>11</v>
      </c>
      <c r="D96" s="2" t="s">
        <v>430</v>
      </c>
      <c r="E96" s="6">
        <v>1500</v>
      </c>
      <c r="F96" s="18">
        <v>1995.65</v>
      </c>
      <c r="G96" s="18">
        <v>0</v>
      </c>
      <c r="H96" s="18">
        <v>0</v>
      </c>
      <c r="I96" s="18">
        <v>0</v>
      </c>
      <c r="J96" s="18">
        <v>1182.19</v>
      </c>
      <c r="K96" s="24" t="s">
        <v>288</v>
      </c>
      <c r="L96" s="24" t="s">
        <v>288</v>
      </c>
      <c r="M96" s="8"/>
      <c r="N96" s="264"/>
    </row>
    <row r="97" spans="1:14" s="3" customFormat="1" ht="12.4" customHeight="1" x14ac:dyDescent="0.15">
      <c r="A97" s="1" t="s">
        <v>503</v>
      </c>
      <c r="B97" s="2" t="s">
        <v>315</v>
      </c>
      <c r="C97" s="6">
        <v>12</v>
      </c>
      <c r="D97" s="2" t="s">
        <v>430</v>
      </c>
      <c r="E97" s="6">
        <v>1600</v>
      </c>
      <c r="F97" s="24" t="s">
        <v>288</v>
      </c>
      <c r="G97" s="18">
        <v>5652.7</v>
      </c>
      <c r="H97" s="24" t="s">
        <v>288</v>
      </c>
      <c r="I97" s="24" t="s">
        <v>288</v>
      </c>
      <c r="J97" s="24" t="s">
        <v>288</v>
      </c>
      <c r="K97" s="24" t="s">
        <v>288</v>
      </c>
      <c r="L97" s="24" t="s">
        <v>288</v>
      </c>
      <c r="M97" s="8"/>
      <c r="N97" s="264"/>
    </row>
    <row r="98" spans="1:14" s="3" customFormat="1" ht="12.4" customHeight="1" x14ac:dyDescent="0.15">
      <c r="A98" s="1" t="s">
        <v>504</v>
      </c>
      <c r="B98" s="2" t="s">
        <v>315</v>
      </c>
      <c r="C98" s="6">
        <v>13</v>
      </c>
      <c r="D98" s="2" t="s">
        <v>430</v>
      </c>
      <c r="E98" s="6">
        <v>1700</v>
      </c>
      <c r="F98" s="18">
        <v>0</v>
      </c>
      <c r="G98" s="24" t="s">
        <v>288</v>
      </c>
      <c r="H98" s="18">
        <v>320</v>
      </c>
      <c r="I98" s="24" t="s">
        <v>288</v>
      </c>
      <c r="J98" s="24" t="s">
        <v>288</v>
      </c>
      <c r="K98" s="24" t="s">
        <v>288</v>
      </c>
      <c r="L98" s="24" t="s">
        <v>288</v>
      </c>
      <c r="M98" s="8"/>
      <c r="N98" s="264"/>
    </row>
    <row r="99" spans="1:14" s="3" customFormat="1" ht="12.4"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4"/>
    </row>
    <row r="100" spans="1:14" s="3" customFormat="1" ht="12.4"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4" customHeight="1" x14ac:dyDescent="0.15">
      <c r="A101" s="1" t="s">
        <v>505</v>
      </c>
      <c r="B101" s="2" t="s">
        <v>315</v>
      </c>
      <c r="C101" s="6">
        <v>15</v>
      </c>
      <c r="D101" s="2" t="s">
        <v>430</v>
      </c>
      <c r="E101" s="6">
        <v>1910</v>
      </c>
      <c r="F101" s="18">
        <v>0</v>
      </c>
      <c r="G101" s="18">
        <v>0</v>
      </c>
      <c r="H101" s="18">
        <v>0</v>
      </c>
      <c r="I101" s="18">
        <v>0</v>
      </c>
      <c r="J101" s="24" t="s">
        <v>288</v>
      </c>
      <c r="K101" s="24" t="s">
        <v>288</v>
      </c>
      <c r="L101" s="24" t="s">
        <v>288</v>
      </c>
      <c r="M101" s="8"/>
      <c r="N101" s="264"/>
    </row>
    <row r="102" spans="1:14" s="3" customFormat="1" ht="12.4" customHeight="1" x14ac:dyDescent="0.15">
      <c r="A102" s="1" t="s">
        <v>506</v>
      </c>
      <c r="B102" s="2" t="s">
        <v>315</v>
      </c>
      <c r="C102" s="6">
        <v>16</v>
      </c>
      <c r="D102" s="2" t="s">
        <v>430</v>
      </c>
      <c r="E102" s="6">
        <v>1920</v>
      </c>
      <c r="F102" s="18">
        <v>92.35</v>
      </c>
      <c r="G102" s="18">
        <v>0</v>
      </c>
      <c r="H102" s="18">
        <v>0</v>
      </c>
      <c r="I102" s="18">
        <v>0</v>
      </c>
      <c r="J102" s="18">
        <v>0</v>
      </c>
      <c r="K102" s="24" t="s">
        <v>288</v>
      </c>
      <c r="L102" s="24" t="s">
        <v>288</v>
      </c>
      <c r="M102" s="8"/>
      <c r="N102" s="264"/>
    </row>
    <row r="103" spans="1:14" s="3" customFormat="1" ht="12.4"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4"/>
    </row>
    <row r="104" spans="1:14" s="3" customFormat="1" ht="12.4"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4"/>
    </row>
    <row r="105" spans="1:14" s="3" customFormat="1" ht="12.4"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4"/>
    </row>
    <row r="106" spans="1:14" s="3" customFormat="1" ht="12.4"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4"/>
    </row>
    <row r="107" spans="1:14" s="3" customFormat="1" ht="12.4"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4"/>
    </row>
    <row r="108" spans="1:14" s="3" customFormat="1" ht="12.4" customHeight="1" x14ac:dyDescent="0.15">
      <c r="A108" s="1" t="s">
        <v>591</v>
      </c>
      <c r="B108" s="2" t="s">
        <v>315</v>
      </c>
      <c r="C108" s="6">
        <v>22</v>
      </c>
      <c r="D108" s="2" t="s">
        <v>430</v>
      </c>
      <c r="E108" s="6">
        <v>1960</v>
      </c>
      <c r="F108" s="18">
        <v>0</v>
      </c>
      <c r="G108" s="18">
        <v>0</v>
      </c>
      <c r="H108" s="18">
        <v>0</v>
      </c>
      <c r="I108" s="18">
        <v>0</v>
      </c>
      <c r="J108" s="24" t="s">
        <v>288</v>
      </c>
      <c r="K108" s="24" t="s">
        <v>288</v>
      </c>
      <c r="L108" s="24" t="s">
        <v>288</v>
      </c>
      <c r="M108" s="8"/>
      <c r="N108" s="264"/>
    </row>
    <row r="109" spans="1:14" s="3" customFormat="1" ht="12.4" customHeight="1" x14ac:dyDescent="0.15">
      <c r="A109" s="1" t="s">
        <v>509</v>
      </c>
      <c r="B109" s="2" t="s">
        <v>315</v>
      </c>
      <c r="C109" s="6">
        <v>23</v>
      </c>
      <c r="D109" s="2" t="s">
        <v>430</v>
      </c>
      <c r="E109" s="6">
        <v>1980</v>
      </c>
      <c r="F109" s="18">
        <v>17632.43</v>
      </c>
      <c r="G109" s="18">
        <v>0</v>
      </c>
      <c r="H109" s="18">
        <v>0</v>
      </c>
      <c r="I109" s="18">
        <v>0</v>
      </c>
      <c r="J109" s="24" t="s">
        <v>288</v>
      </c>
      <c r="K109" s="24" t="s">
        <v>288</v>
      </c>
      <c r="L109" s="24" t="s">
        <v>288</v>
      </c>
      <c r="M109" s="8"/>
      <c r="N109" s="264"/>
    </row>
    <row r="110" spans="1:14" s="3" customFormat="1" ht="12.4" customHeight="1" thickBot="1" x14ac:dyDescent="0.2">
      <c r="A110" s="1" t="s">
        <v>510</v>
      </c>
      <c r="B110" s="2" t="s">
        <v>315</v>
      </c>
      <c r="C110" s="6">
        <v>24</v>
      </c>
      <c r="D110" s="2" t="s">
        <v>430</v>
      </c>
      <c r="E110" s="6">
        <v>1990</v>
      </c>
      <c r="F110" s="18">
        <v>334.88</v>
      </c>
      <c r="G110" s="18">
        <v>7538.55</v>
      </c>
      <c r="H110" s="18">
        <v>0</v>
      </c>
      <c r="I110" s="18">
        <v>0</v>
      </c>
      <c r="J110" s="18">
        <v>0</v>
      </c>
      <c r="K110" s="24" t="s">
        <v>288</v>
      </c>
      <c r="L110" s="24" t="s">
        <v>288</v>
      </c>
      <c r="M110" s="8"/>
      <c r="N110" s="264"/>
    </row>
    <row r="111" spans="1:14" ht="12.4" customHeight="1" thickTop="1" thickBot="1" x14ac:dyDescent="0.25">
      <c r="A111" s="38" t="s">
        <v>433</v>
      </c>
      <c r="B111" s="39" t="s">
        <v>315</v>
      </c>
      <c r="C111" s="40">
        <v>25</v>
      </c>
      <c r="D111" s="39" t="s">
        <v>430</v>
      </c>
      <c r="E111" s="40"/>
      <c r="F111" s="41">
        <f>SUM(F96:F110)</f>
        <v>20055.310000000001</v>
      </c>
      <c r="G111" s="41">
        <f>SUM(G96:G110)</f>
        <v>13191.25</v>
      </c>
      <c r="H111" s="41">
        <f>SUM(H96:H110)</f>
        <v>320</v>
      </c>
      <c r="I111" s="41">
        <f>SUM(I96:I110)</f>
        <v>0</v>
      </c>
      <c r="J111" s="41">
        <f>SUM(J96:J110)</f>
        <v>1182.19</v>
      </c>
      <c r="K111" s="45" t="s">
        <v>288</v>
      </c>
      <c r="L111" s="45" t="s">
        <v>288</v>
      </c>
      <c r="N111" s="262"/>
    </row>
    <row r="112" spans="1:14" s="3" customFormat="1" ht="12.4" customHeight="1" thickTop="1" x14ac:dyDescent="0.15">
      <c r="A112" s="38" t="s">
        <v>414</v>
      </c>
      <c r="B112" s="39" t="s">
        <v>315</v>
      </c>
      <c r="C112" s="40">
        <v>26</v>
      </c>
      <c r="D112" s="39" t="s">
        <v>430</v>
      </c>
      <c r="E112" s="40">
        <v>1000</v>
      </c>
      <c r="F112" s="41">
        <f>F60+F79+F94+F111</f>
        <v>9078523.6600000001</v>
      </c>
      <c r="G112" s="41">
        <f>G60+G111</f>
        <v>13191.25</v>
      </c>
      <c r="H112" s="41">
        <f>H60+H79+H94+H111</f>
        <v>320</v>
      </c>
      <c r="I112" s="41">
        <f>I60+I111</f>
        <v>0</v>
      </c>
      <c r="J112" s="41">
        <f>J60+J111</f>
        <v>1182.19</v>
      </c>
      <c r="K112" s="45" t="s">
        <v>288</v>
      </c>
      <c r="L112" s="45" t="s">
        <v>288</v>
      </c>
      <c r="M112" s="8"/>
      <c r="N112" s="264"/>
    </row>
    <row r="113" spans="1:14" s="3" customFormat="1" ht="12.4" customHeight="1" x14ac:dyDescent="0.2">
      <c r="A113"/>
      <c r="B113"/>
      <c r="C113"/>
      <c r="D113"/>
      <c r="E113"/>
      <c r="F113" s="23" t="s">
        <v>273</v>
      </c>
      <c r="G113" s="23" t="s">
        <v>274</v>
      </c>
      <c r="H113" s="23" t="s">
        <v>275</v>
      </c>
      <c r="I113" s="23" t="s">
        <v>276</v>
      </c>
      <c r="J113" s="23" t="s">
        <v>277</v>
      </c>
      <c r="K113" s="20"/>
      <c r="L113" s="20"/>
      <c r="M113" s="8"/>
      <c r="N113" s="264"/>
    </row>
    <row r="114" spans="1:14" s="3" customFormat="1" ht="12.4" customHeight="1" x14ac:dyDescent="0.2">
      <c r="A114" s="29" t="s">
        <v>319</v>
      </c>
      <c r="H114" s="23" t="s">
        <v>282</v>
      </c>
      <c r="K114" s="20"/>
      <c r="L114" s="20"/>
      <c r="M114" s="8"/>
      <c r="N114" s="264"/>
    </row>
    <row r="115" spans="1:14" s="3" customFormat="1" ht="12.4" customHeight="1" x14ac:dyDescent="0.2">
      <c r="A115" s="28" t="s">
        <v>320</v>
      </c>
      <c r="F115" s="16" t="s">
        <v>280</v>
      </c>
      <c r="G115" s="14" t="s">
        <v>281</v>
      </c>
      <c r="H115" s="16" t="s">
        <v>768</v>
      </c>
      <c r="I115" s="16" t="s">
        <v>283</v>
      </c>
      <c r="J115" s="16" t="s">
        <v>284</v>
      </c>
      <c r="K115" s="20"/>
      <c r="L115" s="20"/>
      <c r="M115" s="8"/>
      <c r="N115" s="264"/>
    </row>
    <row r="116" spans="1:14" s="3" customFormat="1" ht="12.4"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4" customHeight="1" x14ac:dyDescent="0.15">
      <c r="A117" s="1" t="s">
        <v>833</v>
      </c>
      <c r="B117" s="2" t="s">
        <v>321</v>
      </c>
      <c r="C117" s="6">
        <v>1</v>
      </c>
      <c r="D117" s="2" t="s">
        <v>430</v>
      </c>
      <c r="E117" s="6">
        <v>3111</v>
      </c>
      <c r="F117" s="18">
        <v>1577921.05</v>
      </c>
      <c r="G117" s="24" t="s">
        <v>288</v>
      </c>
      <c r="H117" s="24" t="s">
        <v>288</v>
      </c>
      <c r="I117" s="24" t="s">
        <v>288</v>
      </c>
      <c r="J117" s="24" t="s">
        <v>288</v>
      </c>
      <c r="K117" s="24" t="s">
        <v>288</v>
      </c>
      <c r="L117" s="24" t="s">
        <v>288</v>
      </c>
      <c r="M117" s="8"/>
      <c r="N117" s="264"/>
    </row>
    <row r="118" spans="1:14" s="3" customFormat="1" ht="12.4" customHeight="1" x14ac:dyDescent="0.15">
      <c r="A118" s="1" t="s">
        <v>769</v>
      </c>
      <c r="B118" s="2" t="s">
        <v>321</v>
      </c>
      <c r="C118" s="6">
        <v>2</v>
      </c>
      <c r="D118" s="2" t="s">
        <v>430</v>
      </c>
      <c r="E118" s="6">
        <v>3112</v>
      </c>
      <c r="F118" s="18">
        <v>1142585</v>
      </c>
      <c r="G118" s="24" t="s">
        <v>288</v>
      </c>
      <c r="H118" s="24" t="s">
        <v>288</v>
      </c>
      <c r="I118" s="24" t="s">
        <v>288</v>
      </c>
      <c r="J118" s="24" t="s">
        <v>288</v>
      </c>
      <c r="K118" s="24" t="s">
        <v>288</v>
      </c>
      <c r="L118" s="24" t="s">
        <v>288</v>
      </c>
      <c r="M118" s="8"/>
      <c r="N118" s="264"/>
    </row>
    <row r="119" spans="1:14" s="3" customFormat="1" ht="12.4"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4" customHeight="1" thickBot="1" x14ac:dyDescent="0.2">
      <c r="A120" s="3" t="s">
        <v>502</v>
      </c>
      <c r="B120" s="2" t="s">
        <v>321</v>
      </c>
      <c r="C120" s="6">
        <v>4</v>
      </c>
      <c r="D120" s="2" t="s">
        <v>430</v>
      </c>
      <c r="E120" s="6">
        <v>3190</v>
      </c>
      <c r="F120" s="18">
        <v>412.41</v>
      </c>
      <c r="G120" s="18"/>
      <c r="H120" s="18"/>
      <c r="I120" s="18"/>
      <c r="J120" s="18"/>
      <c r="K120" s="24" t="s">
        <v>288</v>
      </c>
      <c r="L120" s="24" t="s">
        <v>288</v>
      </c>
      <c r="M120" s="8"/>
      <c r="N120" s="264"/>
    </row>
    <row r="121" spans="1:14" s="3" customFormat="1" ht="12.4" customHeight="1" thickTop="1" x14ac:dyDescent="0.15">
      <c r="A121" s="38" t="s">
        <v>648</v>
      </c>
      <c r="B121" s="39" t="s">
        <v>321</v>
      </c>
      <c r="C121" s="40">
        <v>5</v>
      </c>
      <c r="D121" s="39" t="s">
        <v>430</v>
      </c>
      <c r="E121" s="40">
        <v>3100</v>
      </c>
      <c r="F121" s="41">
        <f>SUM(F117:F120)</f>
        <v>2720918.46</v>
      </c>
      <c r="G121" s="41">
        <f>SUM(G117:G120)</f>
        <v>0</v>
      </c>
      <c r="H121" s="41">
        <f>SUM(H117:H120)</f>
        <v>0</v>
      </c>
      <c r="I121" s="41">
        <f>SUM(I117:I120)</f>
        <v>0</v>
      </c>
      <c r="J121" s="41">
        <f>SUM(J117:J120)</f>
        <v>0</v>
      </c>
      <c r="K121" s="45" t="s">
        <v>288</v>
      </c>
      <c r="L121" s="45" t="s">
        <v>288</v>
      </c>
      <c r="M121" s="8"/>
      <c r="N121" s="264"/>
    </row>
    <row r="122" spans="1:14" s="3" customFormat="1" ht="12.4"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4" customHeight="1" x14ac:dyDescent="0.15">
      <c r="A123" s="1" t="s">
        <v>496</v>
      </c>
      <c r="B123" s="2" t="s">
        <v>321</v>
      </c>
      <c r="C123" s="6">
        <v>6</v>
      </c>
      <c r="D123" s="2" t="s">
        <v>430</v>
      </c>
      <c r="E123" s="6">
        <v>3210</v>
      </c>
      <c r="F123" s="18">
        <v>0</v>
      </c>
      <c r="G123" s="24" t="s">
        <v>288</v>
      </c>
      <c r="H123" s="24" t="s">
        <v>288</v>
      </c>
      <c r="I123" s="18">
        <v>0</v>
      </c>
      <c r="J123" s="24" t="s">
        <v>288</v>
      </c>
      <c r="K123" s="24" t="s">
        <v>288</v>
      </c>
      <c r="L123" s="24" t="s">
        <v>288</v>
      </c>
      <c r="M123" s="8"/>
      <c r="N123" s="264"/>
    </row>
    <row r="124" spans="1:14" s="3" customFormat="1" ht="12.4" customHeight="1" x14ac:dyDescent="0.15">
      <c r="A124" s="1" t="s">
        <v>497</v>
      </c>
      <c r="B124" s="2" t="s">
        <v>321</v>
      </c>
      <c r="C124" s="6">
        <v>7</v>
      </c>
      <c r="D124" s="2" t="s">
        <v>430</v>
      </c>
      <c r="E124" s="6">
        <v>3215</v>
      </c>
      <c r="F124" s="18">
        <v>0</v>
      </c>
      <c r="G124" s="24" t="s">
        <v>288</v>
      </c>
      <c r="H124" s="24" t="s">
        <v>288</v>
      </c>
      <c r="I124" s="18">
        <v>0</v>
      </c>
      <c r="J124" s="24"/>
      <c r="K124" s="24"/>
      <c r="L124" s="24"/>
      <c r="M124" s="8"/>
      <c r="N124" s="264"/>
    </row>
    <row r="125" spans="1:14" s="3" customFormat="1" ht="12.4" customHeight="1" x14ac:dyDescent="0.15">
      <c r="A125" s="1" t="s">
        <v>903</v>
      </c>
      <c r="B125" s="2" t="s">
        <v>321</v>
      </c>
      <c r="C125" s="6">
        <v>8</v>
      </c>
      <c r="D125" s="2" t="s">
        <v>430</v>
      </c>
      <c r="E125" s="6">
        <v>3220</v>
      </c>
      <c r="F125" s="18">
        <v>0</v>
      </c>
      <c r="G125" s="24" t="s">
        <v>288</v>
      </c>
      <c r="H125" s="24" t="s">
        <v>288</v>
      </c>
      <c r="I125" s="24" t="s">
        <v>288</v>
      </c>
      <c r="J125" s="24" t="s">
        <v>288</v>
      </c>
      <c r="K125" s="24" t="s">
        <v>288</v>
      </c>
      <c r="L125" s="24" t="s">
        <v>288</v>
      </c>
      <c r="M125" s="8"/>
      <c r="N125" s="264"/>
    </row>
    <row r="126" spans="1:14" s="3" customFormat="1" ht="12.4" customHeight="1" x14ac:dyDescent="0.15">
      <c r="A126" s="1" t="s">
        <v>901</v>
      </c>
      <c r="B126" s="2" t="s">
        <v>321</v>
      </c>
      <c r="C126" s="6">
        <v>9</v>
      </c>
      <c r="D126" s="2" t="s">
        <v>430</v>
      </c>
      <c r="E126" s="6">
        <v>3230</v>
      </c>
      <c r="F126" s="18">
        <v>37896.629999999997</v>
      </c>
      <c r="G126" s="24" t="s">
        <v>288</v>
      </c>
      <c r="H126" s="24" t="s">
        <v>288</v>
      </c>
      <c r="I126" s="24" t="s">
        <v>288</v>
      </c>
      <c r="J126" s="24" t="s">
        <v>288</v>
      </c>
      <c r="K126" s="24" t="s">
        <v>288</v>
      </c>
      <c r="L126" s="24" t="s">
        <v>288</v>
      </c>
      <c r="M126" s="8"/>
      <c r="N126" s="264"/>
    </row>
    <row r="127" spans="1:14" s="3" customFormat="1" ht="12.4" customHeight="1" x14ac:dyDescent="0.15">
      <c r="A127" s="1" t="s">
        <v>593</v>
      </c>
      <c r="B127" s="2" t="s">
        <v>321</v>
      </c>
      <c r="C127" s="6">
        <v>10</v>
      </c>
      <c r="D127" s="2" t="s">
        <v>430</v>
      </c>
      <c r="E127" s="6">
        <v>3241</v>
      </c>
      <c r="F127" s="18">
        <v>0</v>
      </c>
      <c r="G127" s="24" t="s">
        <v>288</v>
      </c>
      <c r="H127" s="18">
        <v>0</v>
      </c>
      <c r="I127" s="24" t="s">
        <v>288</v>
      </c>
      <c r="J127" s="24" t="s">
        <v>288</v>
      </c>
      <c r="K127" s="24" t="s">
        <v>288</v>
      </c>
      <c r="L127" s="24" t="s">
        <v>288</v>
      </c>
      <c r="M127" s="8"/>
      <c r="N127" s="264"/>
    </row>
    <row r="128" spans="1:14" s="3" customFormat="1" ht="12.4" customHeight="1" x14ac:dyDescent="0.15">
      <c r="A128" s="1" t="s">
        <v>594</v>
      </c>
      <c r="B128" s="2" t="s">
        <v>321</v>
      </c>
      <c r="C128" s="6">
        <v>11</v>
      </c>
      <c r="D128" s="2" t="s">
        <v>430</v>
      </c>
      <c r="E128" s="6">
        <v>3242</v>
      </c>
      <c r="F128" s="18">
        <v>529.78</v>
      </c>
      <c r="G128" s="24" t="s">
        <v>288</v>
      </c>
      <c r="H128" s="18">
        <v>0</v>
      </c>
      <c r="I128" s="24" t="s">
        <v>288</v>
      </c>
      <c r="J128" s="24" t="s">
        <v>288</v>
      </c>
      <c r="K128" s="24" t="s">
        <v>288</v>
      </c>
      <c r="L128" s="24" t="s">
        <v>288</v>
      </c>
      <c r="M128" s="8"/>
      <c r="N128" s="264"/>
    </row>
    <row r="129" spans="1:14" s="3" customFormat="1" ht="12.4" customHeight="1" x14ac:dyDescent="0.15">
      <c r="A129" s="1" t="s">
        <v>595</v>
      </c>
      <c r="B129" s="2" t="s">
        <v>321</v>
      </c>
      <c r="C129" s="6">
        <v>12</v>
      </c>
      <c r="D129" s="2" t="s">
        <v>430</v>
      </c>
      <c r="E129" s="6">
        <v>3243</v>
      </c>
      <c r="F129" s="18">
        <v>0</v>
      </c>
      <c r="G129" s="24" t="s">
        <v>288</v>
      </c>
      <c r="H129" s="18">
        <v>0</v>
      </c>
      <c r="I129" s="18">
        <v>0</v>
      </c>
      <c r="J129" s="24" t="s">
        <v>288</v>
      </c>
      <c r="K129" s="24" t="s">
        <v>288</v>
      </c>
      <c r="L129" s="24" t="s">
        <v>288</v>
      </c>
      <c r="M129" s="8"/>
      <c r="N129" s="264"/>
    </row>
    <row r="130" spans="1:14" s="3" customFormat="1" ht="12.4" customHeight="1" x14ac:dyDescent="0.15">
      <c r="A130" s="1" t="s">
        <v>902</v>
      </c>
      <c r="B130" s="2" t="s">
        <v>321</v>
      </c>
      <c r="C130" s="6">
        <v>13</v>
      </c>
      <c r="D130" s="2" t="s">
        <v>430</v>
      </c>
      <c r="E130" s="6">
        <v>3249</v>
      </c>
      <c r="F130" s="18">
        <v>0</v>
      </c>
      <c r="G130" s="24" t="s">
        <v>288</v>
      </c>
      <c r="H130" s="18">
        <v>9964.7800000000007</v>
      </c>
      <c r="I130" s="24" t="s">
        <v>288</v>
      </c>
      <c r="J130" s="24" t="s">
        <v>288</v>
      </c>
      <c r="K130" s="24" t="s">
        <v>288</v>
      </c>
      <c r="L130" s="24" t="s">
        <v>288</v>
      </c>
      <c r="M130" s="8"/>
      <c r="N130" s="264"/>
    </row>
    <row r="131" spans="1:14" s="3" customFormat="1" ht="12.4"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4"/>
    </row>
    <row r="132" spans="1:14" s="3" customFormat="1" ht="12.4" customHeight="1" x14ac:dyDescent="0.15">
      <c r="A132" s="1" t="s">
        <v>498</v>
      </c>
      <c r="B132" s="2" t="s">
        <v>321</v>
      </c>
      <c r="C132" s="6">
        <v>15</v>
      </c>
      <c r="D132" s="2" t="s">
        <v>430</v>
      </c>
      <c r="E132" s="6">
        <v>3260</v>
      </c>
      <c r="F132" s="24" t="s">
        <v>288</v>
      </c>
      <c r="G132" s="18">
        <v>41360.26</v>
      </c>
      <c r="H132" s="24" t="s">
        <v>288</v>
      </c>
      <c r="I132" s="24" t="s">
        <v>288</v>
      </c>
      <c r="J132" s="24" t="s">
        <v>288</v>
      </c>
      <c r="K132" s="24" t="s">
        <v>288</v>
      </c>
      <c r="L132" s="24" t="s">
        <v>288</v>
      </c>
      <c r="M132" s="8"/>
      <c r="N132" s="264"/>
    </row>
    <row r="133" spans="1:14" s="3" customFormat="1" ht="12.4"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4"/>
    </row>
    <row r="134" spans="1:14" s="3" customFormat="1" ht="12.4" customHeight="1" x14ac:dyDescent="0.15">
      <c r="A134" s="1" t="s">
        <v>500</v>
      </c>
      <c r="B134" s="6">
        <v>4</v>
      </c>
      <c r="C134" s="6">
        <v>17</v>
      </c>
      <c r="D134" s="2"/>
      <c r="E134" s="6">
        <v>3280</v>
      </c>
      <c r="F134" s="24" t="s">
        <v>288</v>
      </c>
      <c r="G134" s="24"/>
      <c r="H134" s="18">
        <v>0</v>
      </c>
      <c r="I134" s="24"/>
      <c r="J134" s="24"/>
      <c r="K134" s="24"/>
      <c r="L134" s="24"/>
      <c r="M134" s="8"/>
      <c r="N134" s="264"/>
    </row>
    <row r="135" spans="1:14" s="3" customFormat="1" ht="12.4" customHeight="1" thickBot="1" x14ac:dyDescent="0.2">
      <c r="A135" s="1" t="s">
        <v>501</v>
      </c>
      <c r="B135" s="2" t="s">
        <v>321</v>
      </c>
      <c r="C135" s="6">
        <v>18</v>
      </c>
      <c r="D135" s="2" t="s">
        <v>430</v>
      </c>
      <c r="E135" s="6">
        <v>3290</v>
      </c>
      <c r="F135" s="18">
        <v>0</v>
      </c>
      <c r="G135" s="18">
        <v>0</v>
      </c>
      <c r="H135" s="18">
        <v>15000</v>
      </c>
      <c r="I135" s="18">
        <v>0</v>
      </c>
      <c r="J135" s="18">
        <v>0</v>
      </c>
      <c r="K135" s="24" t="s">
        <v>288</v>
      </c>
      <c r="L135" s="24" t="s">
        <v>288</v>
      </c>
      <c r="M135" s="8"/>
      <c r="N135" s="264"/>
    </row>
    <row r="136" spans="1:14" s="3" customFormat="1" ht="12.4" customHeight="1" thickTop="1" x14ac:dyDescent="0.15">
      <c r="A136" s="38" t="s">
        <v>434</v>
      </c>
      <c r="B136" s="39" t="s">
        <v>321</v>
      </c>
      <c r="C136" s="40">
        <v>19</v>
      </c>
      <c r="D136" s="39" t="s">
        <v>430</v>
      </c>
      <c r="E136" s="40">
        <v>3200</v>
      </c>
      <c r="F136" s="41">
        <f>SUM(F123:F135)</f>
        <v>38426.409999999996</v>
      </c>
      <c r="G136" s="41">
        <f>SUM(G123:G135)</f>
        <v>41360.26</v>
      </c>
      <c r="H136" s="41">
        <f>SUM(H123:H135)</f>
        <v>24964.78</v>
      </c>
      <c r="I136" s="41">
        <f>SUM(I123:I135)</f>
        <v>0</v>
      </c>
      <c r="J136" s="41">
        <f>SUM(J123:J135)</f>
        <v>0</v>
      </c>
      <c r="K136" s="45" t="s">
        <v>288</v>
      </c>
      <c r="L136" s="45" t="s">
        <v>288</v>
      </c>
      <c r="M136" s="8"/>
      <c r="N136" s="264"/>
    </row>
    <row r="137" spans="1:14" s="3" customFormat="1" ht="12.4" customHeight="1" x14ac:dyDescent="0.15">
      <c r="A137" s="3" t="s">
        <v>322</v>
      </c>
      <c r="B137" s="1" t="s">
        <v>321</v>
      </c>
      <c r="C137" s="6">
        <v>20</v>
      </c>
      <c r="D137" s="2" t="s">
        <v>430</v>
      </c>
      <c r="E137" s="6">
        <v>3700</v>
      </c>
      <c r="F137" s="18">
        <v>0</v>
      </c>
      <c r="G137" s="18">
        <v>0</v>
      </c>
      <c r="H137" s="18">
        <v>0</v>
      </c>
      <c r="I137" s="24" t="s">
        <v>288</v>
      </c>
      <c r="J137" s="24" t="s">
        <v>288</v>
      </c>
      <c r="K137" s="24" t="s">
        <v>288</v>
      </c>
      <c r="L137" s="24" t="s">
        <v>288</v>
      </c>
      <c r="M137" s="8"/>
      <c r="N137" s="264"/>
    </row>
    <row r="138" spans="1:14" s="3" customFormat="1" ht="12.4"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4"/>
    </row>
    <row r="139" spans="1:14" s="3" customFormat="1" ht="12.4"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4" customHeight="1" thickTop="1" x14ac:dyDescent="0.15">
      <c r="A140" s="38" t="s">
        <v>415</v>
      </c>
      <c r="B140" s="39" t="s">
        <v>321</v>
      </c>
      <c r="C140" s="40">
        <v>23</v>
      </c>
      <c r="D140" s="39" t="s">
        <v>430</v>
      </c>
      <c r="E140" s="40">
        <v>3000</v>
      </c>
      <c r="F140" s="41">
        <f>F121+SUM(F136:F139)</f>
        <v>2759344.87</v>
      </c>
      <c r="G140" s="41">
        <f>G121+SUM(G136:G137)</f>
        <v>41360.26</v>
      </c>
      <c r="H140" s="41">
        <f>H121+SUM(H136:H139)</f>
        <v>24964.78</v>
      </c>
      <c r="I140" s="41">
        <f>I121+I136</f>
        <v>0</v>
      </c>
      <c r="J140" s="41">
        <f>J121+J136</f>
        <v>0</v>
      </c>
      <c r="K140" s="45" t="s">
        <v>288</v>
      </c>
      <c r="L140" s="45" t="s">
        <v>288</v>
      </c>
      <c r="M140" s="8"/>
      <c r="N140" s="264"/>
    </row>
    <row r="141" spans="1:14" s="3" customFormat="1" ht="12.4"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4" customHeight="1" x14ac:dyDescent="0.2">
      <c r="A142" s="29" t="s">
        <v>319</v>
      </c>
      <c r="F142" s="23"/>
      <c r="G142" s="23"/>
      <c r="H142" s="16" t="s">
        <v>282</v>
      </c>
      <c r="I142" s="23"/>
      <c r="J142" s="23"/>
      <c r="K142" s="20"/>
      <c r="L142" s="20"/>
      <c r="M142" s="8"/>
      <c r="N142" s="264"/>
    </row>
    <row r="143" spans="1:14" s="3" customFormat="1" ht="12.4" customHeight="1" x14ac:dyDescent="0.2">
      <c r="A143" s="28" t="s">
        <v>456</v>
      </c>
      <c r="F143" s="16" t="s">
        <v>280</v>
      </c>
      <c r="G143" s="16" t="s">
        <v>281</v>
      </c>
      <c r="H143" s="224" t="s">
        <v>768</v>
      </c>
      <c r="I143" s="16" t="s">
        <v>283</v>
      </c>
      <c r="J143" s="16" t="s">
        <v>284</v>
      </c>
      <c r="K143" s="20"/>
      <c r="L143" s="20"/>
      <c r="M143" s="8"/>
      <c r="N143" s="264"/>
    </row>
    <row r="144" spans="1:14" s="3" customFormat="1" ht="12.4"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4" customHeight="1" x14ac:dyDescent="0.15">
      <c r="A145" s="1" t="s">
        <v>599</v>
      </c>
      <c r="B145" s="2" t="s">
        <v>324</v>
      </c>
      <c r="C145" s="6">
        <v>1</v>
      </c>
      <c r="D145" s="2" t="s">
        <v>430</v>
      </c>
      <c r="E145" s="6">
        <v>4100</v>
      </c>
      <c r="F145" s="18">
        <v>0</v>
      </c>
      <c r="G145" s="18">
        <v>0</v>
      </c>
      <c r="H145" s="18">
        <v>0</v>
      </c>
      <c r="I145" s="18">
        <v>0</v>
      </c>
      <c r="J145" s="24" t="s">
        <v>288</v>
      </c>
      <c r="K145" s="24" t="s">
        <v>288</v>
      </c>
      <c r="L145" s="24" t="s">
        <v>288</v>
      </c>
      <c r="M145" s="8"/>
      <c r="N145" s="264"/>
    </row>
    <row r="146" spans="1:14" s="3" customFormat="1" ht="12.4"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4"/>
    </row>
    <row r="147" spans="1:14" s="3" customFormat="1" ht="12.4"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4"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4"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4"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4"/>
    </row>
    <row r="151" spans="1:14" s="3" customFormat="1" ht="12.4"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4"/>
    </row>
    <row r="152" spans="1:14" s="3" customFormat="1" ht="12.4"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4"/>
    </row>
    <row r="153" spans="1:14" s="3" customFormat="1" ht="12.4"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4" customHeight="1" x14ac:dyDescent="0.15">
      <c r="A154" s="1" t="s">
        <v>646</v>
      </c>
      <c r="B154" s="2" t="s">
        <v>324</v>
      </c>
      <c r="C154" s="6">
        <v>7</v>
      </c>
      <c r="D154" s="2" t="s">
        <v>430</v>
      </c>
      <c r="E154" s="6">
        <v>4520</v>
      </c>
      <c r="F154" s="24" t="s">
        <v>288</v>
      </c>
      <c r="G154" s="24" t="s">
        <v>288</v>
      </c>
      <c r="H154" s="18">
        <v>58599.26</v>
      </c>
      <c r="I154" s="24" t="s">
        <v>288</v>
      </c>
      <c r="J154" s="24" t="s">
        <v>288</v>
      </c>
      <c r="K154" s="24" t="s">
        <v>288</v>
      </c>
      <c r="L154" s="24" t="s">
        <v>288</v>
      </c>
      <c r="M154" s="8"/>
      <c r="N154" s="264"/>
    </row>
    <row r="155" spans="1:14" s="3" customFormat="1" ht="12.4" customHeight="1" x14ac:dyDescent="0.15">
      <c r="A155" s="1" t="s">
        <v>647</v>
      </c>
      <c r="B155" s="2" t="s">
        <v>324</v>
      </c>
      <c r="C155" s="6">
        <v>8</v>
      </c>
      <c r="D155" s="2" t="s">
        <v>430</v>
      </c>
      <c r="E155" s="6">
        <v>4530</v>
      </c>
      <c r="F155" s="24" t="s">
        <v>288</v>
      </c>
      <c r="G155" s="24" t="s">
        <v>288</v>
      </c>
      <c r="H155" s="18">
        <v>7828.28</v>
      </c>
      <c r="I155" s="24" t="s">
        <v>288</v>
      </c>
      <c r="J155" s="24" t="s">
        <v>288</v>
      </c>
      <c r="K155" s="24" t="s">
        <v>288</v>
      </c>
      <c r="L155" s="24" t="s">
        <v>288</v>
      </c>
      <c r="M155" s="8"/>
      <c r="N155" s="264"/>
    </row>
    <row r="156" spans="1:14" s="3" customFormat="1" ht="12.4"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4"/>
    </row>
    <row r="157" spans="1:14" s="3" customFormat="1" ht="12.4" customHeight="1" x14ac:dyDescent="0.15">
      <c r="A157" s="1" t="s">
        <v>489</v>
      </c>
      <c r="B157" s="2" t="s">
        <v>324</v>
      </c>
      <c r="C157" s="6">
        <v>10</v>
      </c>
      <c r="D157" s="2" t="s">
        <v>430</v>
      </c>
      <c r="E157" s="6">
        <v>4550</v>
      </c>
      <c r="F157" s="18">
        <v>0</v>
      </c>
      <c r="G157" s="24" t="s">
        <v>288</v>
      </c>
      <c r="H157" s="18">
        <v>0</v>
      </c>
      <c r="I157" s="24" t="s">
        <v>288</v>
      </c>
      <c r="J157" s="24" t="s">
        <v>288</v>
      </c>
      <c r="K157" s="24" t="s">
        <v>288</v>
      </c>
      <c r="L157" s="24" t="s">
        <v>288</v>
      </c>
      <c r="M157" s="8"/>
      <c r="N157" s="264"/>
    </row>
    <row r="158" spans="1:14" s="3" customFormat="1" ht="12.4" customHeight="1" x14ac:dyDescent="0.15">
      <c r="A158" s="1" t="s">
        <v>490</v>
      </c>
      <c r="B158" s="2" t="s">
        <v>324</v>
      </c>
      <c r="C158" s="6">
        <v>11</v>
      </c>
      <c r="D158" s="2" t="s">
        <v>430</v>
      </c>
      <c r="E158" s="6">
        <v>4560</v>
      </c>
      <c r="F158" s="24" t="s">
        <v>288</v>
      </c>
      <c r="G158" s="18">
        <v>96706.3</v>
      </c>
      <c r="H158" s="24" t="s">
        <v>288</v>
      </c>
      <c r="I158" s="24" t="s">
        <v>288</v>
      </c>
      <c r="J158" s="24" t="s">
        <v>288</v>
      </c>
      <c r="K158" s="24" t="s">
        <v>288</v>
      </c>
      <c r="L158" s="24" t="s">
        <v>288</v>
      </c>
      <c r="M158" s="8"/>
      <c r="N158" s="264"/>
    </row>
    <row r="159" spans="1:14" s="3" customFormat="1" ht="12.4" customHeight="1" x14ac:dyDescent="0.15">
      <c r="A159" s="1" t="s">
        <v>486</v>
      </c>
      <c r="B159" s="2" t="s">
        <v>324</v>
      </c>
      <c r="C159" s="6">
        <v>12</v>
      </c>
      <c r="D159" s="2" t="s">
        <v>430</v>
      </c>
      <c r="E159" s="6">
        <v>4570</v>
      </c>
      <c r="F159" s="24" t="s">
        <v>288</v>
      </c>
      <c r="G159" s="24" t="s">
        <v>288</v>
      </c>
      <c r="H159" s="18">
        <v>29159.51</v>
      </c>
      <c r="I159" s="24" t="s">
        <v>288</v>
      </c>
      <c r="J159" s="24" t="s">
        <v>288</v>
      </c>
      <c r="K159" s="24" t="s">
        <v>288</v>
      </c>
      <c r="L159" s="24" t="s">
        <v>288</v>
      </c>
      <c r="M159" s="8"/>
      <c r="N159" s="264"/>
    </row>
    <row r="160" spans="1:14" s="3" customFormat="1" ht="12.4" customHeight="1" x14ac:dyDescent="0.15">
      <c r="A160" s="1" t="s">
        <v>491</v>
      </c>
      <c r="B160" s="2" t="s">
        <v>324</v>
      </c>
      <c r="C160" s="6">
        <v>13</v>
      </c>
      <c r="D160" s="2" t="s">
        <v>430</v>
      </c>
      <c r="E160" s="6">
        <v>4580</v>
      </c>
      <c r="F160" s="18">
        <v>51659.82</v>
      </c>
      <c r="G160" s="24" t="s">
        <v>288</v>
      </c>
      <c r="H160" s="18">
        <v>0</v>
      </c>
      <c r="I160" s="24" t="s">
        <v>288</v>
      </c>
      <c r="J160" s="24" t="s">
        <v>288</v>
      </c>
      <c r="K160" s="24" t="s">
        <v>288</v>
      </c>
      <c r="L160" s="24" t="s">
        <v>288</v>
      </c>
      <c r="M160" s="8"/>
      <c r="N160" s="264"/>
    </row>
    <row r="161" spans="1:14" s="3" customFormat="1" ht="12.4" customHeight="1" x14ac:dyDescent="0.15">
      <c r="A161" s="1" t="s">
        <v>492</v>
      </c>
      <c r="B161" s="2" t="s">
        <v>324</v>
      </c>
      <c r="C161" s="6">
        <v>14</v>
      </c>
      <c r="D161" s="2" t="s">
        <v>430</v>
      </c>
      <c r="E161" s="6">
        <v>4590</v>
      </c>
      <c r="F161" s="18">
        <v>0</v>
      </c>
      <c r="G161" s="18">
        <v>0</v>
      </c>
      <c r="H161" s="18">
        <v>116665.69</v>
      </c>
      <c r="I161" s="18">
        <v>0</v>
      </c>
      <c r="J161" s="24" t="s">
        <v>288</v>
      </c>
      <c r="K161" s="24" t="s">
        <v>288</v>
      </c>
      <c r="L161" s="24" t="s">
        <v>288</v>
      </c>
      <c r="M161" s="8"/>
      <c r="N161" s="264"/>
    </row>
    <row r="162" spans="1:14" s="3" customFormat="1" ht="12.4" customHeight="1" thickBot="1" x14ac:dyDescent="0.2">
      <c r="A162" s="327" t="s">
        <v>1604</v>
      </c>
      <c r="B162" s="325">
        <v>5</v>
      </c>
      <c r="C162" s="325">
        <v>15</v>
      </c>
      <c r="D162" s="326"/>
      <c r="E162" s="325">
        <v>4595</v>
      </c>
      <c r="F162" s="18">
        <v>0</v>
      </c>
      <c r="G162" s="24" t="s">
        <v>288</v>
      </c>
      <c r="H162" s="18">
        <v>0</v>
      </c>
      <c r="I162" s="24" t="s">
        <v>288</v>
      </c>
      <c r="J162" s="24"/>
      <c r="K162" s="24"/>
      <c r="L162" s="24"/>
      <c r="M162" s="8"/>
      <c r="N162" s="264"/>
    </row>
    <row r="163" spans="1:14" s="3" customFormat="1" ht="12.4" customHeight="1" thickTop="1" x14ac:dyDescent="0.15">
      <c r="A163" s="38" t="s">
        <v>436</v>
      </c>
      <c r="B163" s="39" t="s">
        <v>324</v>
      </c>
      <c r="C163" s="40">
        <v>16</v>
      </c>
      <c r="D163" s="39" t="s">
        <v>430</v>
      </c>
      <c r="E163" s="40"/>
      <c r="F163" s="41">
        <f>SUM(F150:F162)</f>
        <v>51659.82</v>
      </c>
      <c r="G163" s="41">
        <f>SUM(G150:G162)</f>
        <v>96706.3</v>
      </c>
      <c r="H163" s="41">
        <f>SUM(H150:H162)</f>
        <v>212252.74</v>
      </c>
      <c r="I163" s="41">
        <f>SUM(I150:I162)</f>
        <v>0</v>
      </c>
      <c r="J163" s="45" t="s">
        <v>288</v>
      </c>
      <c r="K163" s="45" t="s">
        <v>288</v>
      </c>
      <c r="L163" s="45" t="s">
        <v>288</v>
      </c>
      <c r="M163" s="8"/>
      <c r="N163" s="264"/>
    </row>
    <row r="164" spans="1:14" s="3" customFormat="1" ht="12.4" customHeight="1" x14ac:dyDescent="0.15">
      <c r="A164" s="3" t="s">
        <v>679</v>
      </c>
      <c r="B164" s="2" t="s">
        <v>324</v>
      </c>
      <c r="C164" s="6">
        <v>17</v>
      </c>
      <c r="D164" s="2" t="s">
        <v>430</v>
      </c>
      <c r="E164" s="6">
        <v>4700</v>
      </c>
      <c r="F164" s="18">
        <v>0</v>
      </c>
      <c r="G164" s="18">
        <v>0</v>
      </c>
      <c r="H164" s="18">
        <v>0</v>
      </c>
      <c r="I164" s="18">
        <v>0</v>
      </c>
      <c r="J164" s="24" t="s">
        <v>288</v>
      </c>
      <c r="K164" s="24" t="s">
        <v>288</v>
      </c>
      <c r="L164" s="24" t="s">
        <v>288</v>
      </c>
      <c r="M164" s="8"/>
      <c r="N164" s="264"/>
    </row>
    <row r="165" spans="1:14" s="3" customFormat="1" ht="12.4"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4" customHeight="1" x14ac:dyDescent="0.15">
      <c r="A166" s="1" t="s">
        <v>493</v>
      </c>
      <c r="B166" s="2" t="s">
        <v>324</v>
      </c>
      <c r="C166" s="6">
        <v>18</v>
      </c>
      <c r="D166" s="2" t="s">
        <v>430</v>
      </c>
      <c r="E166" s="6">
        <v>4810</v>
      </c>
      <c r="F166" s="18">
        <v>0</v>
      </c>
      <c r="G166" s="24" t="s">
        <v>288</v>
      </c>
      <c r="H166" s="24" t="s">
        <v>288</v>
      </c>
      <c r="I166" s="24" t="s">
        <v>288</v>
      </c>
      <c r="J166" s="24" t="s">
        <v>288</v>
      </c>
      <c r="K166" s="24" t="s">
        <v>288</v>
      </c>
      <c r="L166" s="24" t="s">
        <v>288</v>
      </c>
      <c r="M166" s="8"/>
      <c r="N166" s="264"/>
    </row>
    <row r="167" spans="1:14" s="3" customFormat="1" ht="12.4" customHeight="1" x14ac:dyDescent="0.15">
      <c r="A167" s="1" t="s">
        <v>494</v>
      </c>
      <c r="B167" s="2" t="s">
        <v>324</v>
      </c>
      <c r="C167" s="6">
        <v>19</v>
      </c>
      <c r="D167" s="2" t="s">
        <v>430</v>
      </c>
      <c r="E167" s="6">
        <v>4890</v>
      </c>
      <c r="F167" s="18">
        <v>0</v>
      </c>
      <c r="G167" s="24" t="s">
        <v>288</v>
      </c>
      <c r="H167" s="24" t="s">
        <v>288</v>
      </c>
      <c r="I167" s="24" t="s">
        <v>288</v>
      </c>
      <c r="J167" s="24" t="s">
        <v>288</v>
      </c>
      <c r="K167" s="24" t="s">
        <v>288</v>
      </c>
      <c r="L167" s="24" t="s">
        <v>288</v>
      </c>
      <c r="M167" s="8"/>
      <c r="N167" s="264"/>
    </row>
    <row r="168" spans="1:14" s="3" customFormat="1" ht="12.4"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4" customHeight="1" thickBot="1" x14ac:dyDescent="0.2">
      <c r="A169" s="1" t="s">
        <v>495</v>
      </c>
      <c r="B169" s="2" t="s">
        <v>324</v>
      </c>
      <c r="C169" s="6">
        <v>20</v>
      </c>
      <c r="D169" s="2" t="s">
        <v>430</v>
      </c>
      <c r="E169" s="6">
        <v>4900</v>
      </c>
      <c r="F169" s="18">
        <v>0</v>
      </c>
      <c r="G169" s="18">
        <v>0</v>
      </c>
      <c r="H169" s="18">
        <v>0</v>
      </c>
      <c r="I169" s="24" t="s">
        <v>288</v>
      </c>
      <c r="J169" s="24" t="s">
        <v>288</v>
      </c>
      <c r="K169" s="24" t="s">
        <v>288</v>
      </c>
      <c r="L169" s="24" t="s">
        <v>288</v>
      </c>
      <c r="M169" s="8"/>
      <c r="N169" s="264"/>
    </row>
    <row r="170" spans="1:14" s="3" customFormat="1" ht="12.4" customHeight="1" thickTop="1" x14ac:dyDescent="0.15">
      <c r="A170" s="38" t="s">
        <v>458</v>
      </c>
      <c r="B170" s="39" t="s">
        <v>324</v>
      </c>
      <c r="C170" s="40">
        <v>21</v>
      </c>
      <c r="D170" s="39" t="s">
        <v>430</v>
      </c>
      <c r="E170" s="44">
        <v>4000</v>
      </c>
      <c r="F170" s="41">
        <f>F147+F163+SUM(F164:F169)</f>
        <v>51659.82</v>
      </c>
      <c r="G170" s="41">
        <f>G147+G163+SUM(G164:G169)</f>
        <v>96706.3</v>
      </c>
      <c r="H170" s="41">
        <f>H147+H163+SUM(H164:H169)</f>
        <v>212252.74</v>
      </c>
      <c r="I170" s="41">
        <f>I147+I163+SUM(I164:I169)</f>
        <v>0</v>
      </c>
      <c r="J170" s="45" t="s">
        <v>288</v>
      </c>
      <c r="K170" s="45" t="s">
        <v>288</v>
      </c>
      <c r="L170" s="45" t="s">
        <v>288</v>
      </c>
      <c r="M170" s="8"/>
      <c r="N170" s="264"/>
    </row>
    <row r="171" spans="1:14" s="3" customFormat="1" ht="12.4"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4" customHeight="1" x14ac:dyDescent="0.2">
      <c r="A172" s="29" t="s">
        <v>680</v>
      </c>
      <c r="F172" s="23"/>
      <c r="G172" s="23"/>
      <c r="H172" s="16" t="s">
        <v>282</v>
      </c>
      <c r="I172" s="23"/>
      <c r="J172" s="23"/>
      <c r="K172" s="20"/>
      <c r="L172" s="20"/>
      <c r="M172" s="8"/>
      <c r="N172" s="264"/>
    </row>
    <row r="173" spans="1:14" s="3" customFormat="1" ht="12.4"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4" customHeight="1" x14ac:dyDescent="0.15">
      <c r="A174" s="1" t="s">
        <v>520</v>
      </c>
      <c r="B174" s="2" t="s">
        <v>330</v>
      </c>
      <c r="C174" s="6">
        <v>1</v>
      </c>
      <c r="D174" s="2" t="s">
        <v>430</v>
      </c>
      <c r="E174" s="6">
        <v>5110</v>
      </c>
      <c r="F174" s="18">
        <v>0</v>
      </c>
      <c r="G174" s="24" t="s">
        <v>288</v>
      </c>
      <c r="H174" s="24" t="s">
        <v>288</v>
      </c>
      <c r="I174" s="18">
        <v>0</v>
      </c>
      <c r="J174" s="24" t="s">
        <v>288</v>
      </c>
      <c r="K174" s="24" t="s">
        <v>288</v>
      </c>
      <c r="L174" s="24" t="s">
        <v>288</v>
      </c>
      <c r="M174" s="8"/>
      <c r="N174" s="264"/>
    </row>
    <row r="175" spans="1:14" s="3" customFormat="1" ht="12.4" customHeight="1" x14ac:dyDescent="0.15">
      <c r="A175" s="1" t="s">
        <v>521</v>
      </c>
      <c r="B175" s="6">
        <v>6</v>
      </c>
      <c r="C175" s="6">
        <v>2</v>
      </c>
      <c r="D175" s="2" t="s">
        <v>430</v>
      </c>
      <c r="E175" s="6">
        <v>5120</v>
      </c>
      <c r="F175" s="18">
        <v>0</v>
      </c>
      <c r="G175" s="24" t="s">
        <v>288</v>
      </c>
      <c r="H175" s="24" t="s">
        <v>288</v>
      </c>
      <c r="I175" s="18">
        <v>0</v>
      </c>
      <c r="J175" s="24" t="s">
        <v>288</v>
      </c>
      <c r="K175" s="24" t="s">
        <v>288</v>
      </c>
      <c r="L175" s="24" t="s">
        <v>288</v>
      </c>
      <c r="M175" s="8"/>
      <c r="N175" s="264"/>
    </row>
    <row r="176" spans="1:14" s="3" customFormat="1" ht="12.4" customHeight="1" x14ac:dyDescent="0.15">
      <c r="A176" s="1" t="s">
        <v>523</v>
      </c>
      <c r="B176" s="2" t="s">
        <v>330</v>
      </c>
      <c r="C176" s="6">
        <v>3</v>
      </c>
      <c r="D176" s="2" t="s">
        <v>430</v>
      </c>
      <c r="E176" s="6">
        <v>5130</v>
      </c>
      <c r="F176" s="18">
        <v>0</v>
      </c>
      <c r="G176" s="24" t="s">
        <v>288</v>
      </c>
      <c r="H176" s="24" t="s">
        <v>288</v>
      </c>
      <c r="I176" s="18">
        <v>0</v>
      </c>
      <c r="J176" s="24" t="s">
        <v>288</v>
      </c>
      <c r="K176" s="24" t="s">
        <v>288</v>
      </c>
      <c r="L176" s="24" t="s">
        <v>288</v>
      </c>
      <c r="M176" s="8"/>
      <c r="N176" s="264"/>
    </row>
    <row r="177" spans="1:14" s="3" customFormat="1" ht="12.4" customHeight="1" thickBot="1" x14ac:dyDescent="0.2">
      <c r="A177" s="1" t="s">
        <v>522</v>
      </c>
      <c r="B177" s="2" t="s">
        <v>330</v>
      </c>
      <c r="C177" s="6">
        <v>4</v>
      </c>
      <c r="D177" s="2" t="s">
        <v>430</v>
      </c>
      <c r="E177" s="6">
        <v>5140</v>
      </c>
      <c r="F177" s="18">
        <v>0</v>
      </c>
      <c r="G177" s="24" t="s">
        <v>288</v>
      </c>
      <c r="H177" s="24" t="s">
        <v>288</v>
      </c>
      <c r="I177" s="18">
        <v>0</v>
      </c>
      <c r="J177" s="24" t="s">
        <v>288</v>
      </c>
      <c r="K177" s="24" t="s">
        <v>288</v>
      </c>
      <c r="L177" s="24" t="s">
        <v>288</v>
      </c>
      <c r="M177" s="8"/>
      <c r="N177" s="264"/>
    </row>
    <row r="178" spans="1:14" s="3" customFormat="1" ht="12.4"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4"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4" customHeight="1" x14ac:dyDescent="0.15">
      <c r="A180" s="1" t="s">
        <v>524</v>
      </c>
      <c r="B180" s="2" t="s">
        <v>330</v>
      </c>
      <c r="C180" s="6">
        <v>6</v>
      </c>
      <c r="D180" s="2" t="s">
        <v>430</v>
      </c>
      <c r="E180" s="6">
        <v>5210</v>
      </c>
      <c r="F180" s="24" t="s">
        <v>288</v>
      </c>
      <c r="G180" s="18">
        <v>25000</v>
      </c>
      <c r="H180" s="18">
        <v>0</v>
      </c>
      <c r="I180" s="18">
        <v>0</v>
      </c>
      <c r="J180" s="18">
        <v>250000</v>
      </c>
      <c r="K180" s="24" t="s">
        <v>288</v>
      </c>
      <c r="L180" s="24" t="s">
        <v>288</v>
      </c>
      <c r="M180" s="8"/>
      <c r="N180" s="264"/>
    </row>
    <row r="181" spans="1:14" s="3" customFormat="1" ht="12.4" customHeight="1" x14ac:dyDescent="0.15">
      <c r="A181" s="1" t="s">
        <v>525</v>
      </c>
      <c r="B181" s="2" t="s">
        <v>330</v>
      </c>
      <c r="C181" s="6">
        <v>7</v>
      </c>
      <c r="D181" s="2" t="s">
        <v>430</v>
      </c>
      <c r="E181" s="6">
        <v>5221</v>
      </c>
      <c r="F181" s="18">
        <v>0</v>
      </c>
      <c r="G181" s="24" t="s">
        <v>288</v>
      </c>
      <c r="H181" s="18">
        <v>0</v>
      </c>
      <c r="I181" s="18">
        <v>0</v>
      </c>
      <c r="J181" s="18">
        <v>0</v>
      </c>
      <c r="K181" s="24" t="s">
        <v>288</v>
      </c>
      <c r="L181" s="24" t="s">
        <v>288</v>
      </c>
      <c r="M181" s="8"/>
      <c r="N181" s="264"/>
    </row>
    <row r="182" spans="1:14" s="3" customFormat="1" ht="12.4" customHeight="1" x14ac:dyDescent="0.15">
      <c r="A182" s="3" t="s">
        <v>526</v>
      </c>
      <c r="B182" s="2" t="s">
        <v>330</v>
      </c>
      <c r="C182" s="6">
        <v>8</v>
      </c>
      <c r="D182" s="2" t="s">
        <v>430</v>
      </c>
      <c r="E182" s="6">
        <v>5222</v>
      </c>
      <c r="F182" s="18">
        <v>0</v>
      </c>
      <c r="G182" s="18">
        <v>0</v>
      </c>
      <c r="H182" s="24" t="s">
        <v>288</v>
      </c>
      <c r="I182" s="18">
        <v>0</v>
      </c>
      <c r="J182" s="18">
        <v>0</v>
      </c>
      <c r="K182" s="24" t="s">
        <v>288</v>
      </c>
      <c r="L182" s="24" t="s">
        <v>288</v>
      </c>
      <c r="M182" s="8"/>
      <c r="N182" s="264"/>
    </row>
    <row r="183" spans="1:14" s="3" customFormat="1" ht="12.4" customHeight="1" thickBot="1" x14ac:dyDescent="0.2">
      <c r="A183" s="3" t="s">
        <v>527</v>
      </c>
      <c r="B183" s="2" t="s">
        <v>330</v>
      </c>
      <c r="C183" s="6">
        <v>9</v>
      </c>
      <c r="D183" s="2" t="s">
        <v>430</v>
      </c>
      <c r="E183" s="6">
        <v>5230</v>
      </c>
      <c r="F183" s="18">
        <v>0</v>
      </c>
      <c r="G183" s="18">
        <v>0</v>
      </c>
      <c r="H183" s="18">
        <v>0</v>
      </c>
      <c r="I183" s="24" t="s">
        <v>288</v>
      </c>
      <c r="J183" s="18">
        <v>0</v>
      </c>
      <c r="K183" s="24" t="s">
        <v>288</v>
      </c>
      <c r="L183" s="24" t="s">
        <v>288</v>
      </c>
      <c r="M183" s="8"/>
      <c r="N183" s="264"/>
    </row>
    <row r="184" spans="1:14" s="3" customFormat="1" ht="12.4" customHeight="1" thickTop="1" x14ac:dyDescent="0.15">
      <c r="A184" s="38" t="s">
        <v>416</v>
      </c>
      <c r="B184" s="39" t="s">
        <v>330</v>
      </c>
      <c r="C184" s="44">
        <v>10</v>
      </c>
      <c r="D184" s="39" t="s">
        <v>430</v>
      </c>
      <c r="E184" s="44">
        <v>5200</v>
      </c>
      <c r="F184" s="41">
        <f>SUM(F180:F183)</f>
        <v>0</v>
      </c>
      <c r="G184" s="41">
        <f>SUM(G180:G183)</f>
        <v>25000</v>
      </c>
      <c r="H184" s="41">
        <f>SUM(H180:H183)</f>
        <v>0</v>
      </c>
      <c r="I184" s="41">
        <f>SUM(I180:I183)</f>
        <v>0</v>
      </c>
      <c r="J184" s="41">
        <f>SUM(J180:J183)</f>
        <v>250000</v>
      </c>
      <c r="K184" s="45" t="s">
        <v>288</v>
      </c>
      <c r="L184" s="45" t="s">
        <v>288</v>
      </c>
      <c r="M184" s="8"/>
      <c r="N184" s="264"/>
    </row>
    <row r="185" spans="1:14" s="3" customFormat="1" ht="12.4"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4" customHeight="1" x14ac:dyDescent="0.15">
      <c r="A186" s="1" t="s">
        <v>528</v>
      </c>
      <c r="B186" s="2" t="s">
        <v>330</v>
      </c>
      <c r="C186" s="6">
        <v>11</v>
      </c>
      <c r="D186" s="2" t="s">
        <v>430</v>
      </c>
      <c r="E186" s="6">
        <v>5251</v>
      </c>
      <c r="F186" s="18">
        <v>0</v>
      </c>
      <c r="G186" s="18">
        <v>0</v>
      </c>
      <c r="H186" s="18">
        <v>0</v>
      </c>
      <c r="I186" s="18">
        <v>0</v>
      </c>
      <c r="J186" s="24" t="s">
        <v>288</v>
      </c>
      <c r="K186" s="24" t="s">
        <v>288</v>
      </c>
      <c r="L186" s="24" t="s">
        <v>288</v>
      </c>
      <c r="M186" s="8"/>
      <c r="N186" s="264"/>
    </row>
    <row r="187" spans="1:14" ht="12.4" customHeight="1" x14ac:dyDescent="0.2">
      <c r="A187" s="1" t="s">
        <v>529</v>
      </c>
      <c r="B187" s="2" t="s">
        <v>330</v>
      </c>
      <c r="C187" s="6">
        <v>12</v>
      </c>
      <c r="D187" s="2" t="s">
        <v>430</v>
      </c>
      <c r="E187" s="6">
        <v>5252</v>
      </c>
      <c r="F187" s="18">
        <v>0</v>
      </c>
      <c r="G187" s="18">
        <v>0</v>
      </c>
      <c r="H187" s="18">
        <v>0</v>
      </c>
      <c r="I187" s="18">
        <v>0</v>
      </c>
      <c r="J187" s="24" t="s">
        <v>288</v>
      </c>
      <c r="K187" s="24" t="s">
        <v>288</v>
      </c>
      <c r="L187" s="24" t="s">
        <v>288</v>
      </c>
      <c r="N187" s="262"/>
    </row>
    <row r="188" spans="1:14" ht="12.4" customHeight="1" thickBot="1" x14ac:dyDescent="0.25">
      <c r="A188" s="1" t="s">
        <v>530</v>
      </c>
      <c r="B188" s="2" t="s">
        <v>330</v>
      </c>
      <c r="C188" s="6">
        <v>13</v>
      </c>
      <c r="D188" s="2" t="s">
        <v>430</v>
      </c>
      <c r="E188" s="6">
        <v>5253</v>
      </c>
      <c r="F188" s="18">
        <v>0</v>
      </c>
      <c r="G188" s="18">
        <v>0</v>
      </c>
      <c r="H188" s="18">
        <v>0</v>
      </c>
      <c r="I188" s="18">
        <v>0</v>
      </c>
      <c r="J188" s="24" t="s">
        <v>288</v>
      </c>
      <c r="K188" s="24" t="s">
        <v>288</v>
      </c>
      <c r="L188" s="24" t="s">
        <v>288</v>
      </c>
      <c r="N188" s="262"/>
    </row>
    <row r="189" spans="1:14" s="3" customFormat="1" ht="12.4"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4" customHeight="1" x14ac:dyDescent="0.15">
      <c r="A190" s="3" t="s">
        <v>333</v>
      </c>
      <c r="B190" s="2" t="s">
        <v>330</v>
      </c>
      <c r="C190" s="6">
        <v>15</v>
      </c>
      <c r="D190" s="2" t="s">
        <v>430</v>
      </c>
      <c r="E190" s="6">
        <v>5300</v>
      </c>
      <c r="F190" s="18">
        <v>0</v>
      </c>
      <c r="G190" s="18">
        <v>0</v>
      </c>
      <c r="H190" s="18">
        <v>0</v>
      </c>
      <c r="I190" s="18">
        <v>0</v>
      </c>
      <c r="J190" s="24" t="s">
        <v>288</v>
      </c>
      <c r="K190" s="24" t="s">
        <v>288</v>
      </c>
      <c r="L190" s="24" t="s">
        <v>288</v>
      </c>
      <c r="M190" s="8"/>
      <c r="N190" s="264"/>
    </row>
    <row r="191" spans="1:14" s="3" customFormat="1" ht="12.4" customHeight="1" x14ac:dyDescent="0.15">
      <c r="A191" s="3" t="s">
        <v>334</v>
      </c>
      <c r="B191" s="2" t="s">
        <v>330</v>
      </c>
      <c r="C191" s="6">
        <v>16</v>
      </c>
      <c r="D191" s="2" t="s">
        <v>430</v>
      </c>
      <c r="E191" s="6">
        <v>5500</v>
      </c>
      <c r="F191" s="18">
        <v>0</v>
      </c>
      <c r="G191" s="18">
        <v>0</v>
      </c>
      <c r="H191" s="18">
        <v>0</v>
      </c>
      <c r="I191" s="18">
        <v>0</v>
      </c>
      <c r="J191" s="24" t="s">
        <v>288</v>
      </c>
      <c r="K191" s="24" t="s">
        <v>288</v>
      </c>
      <c r="L191" s="24" t="s">
        <v>288</v>
      </c>
      <c r="M191" s="8"/>
      <c r="N191" s="264"/>
    </row>
    <row r="192" spans="1:14" s="3" customFormat="1" ht="12.4" customHeight="1" thickBot="1" x14ac:dyDescent="0.2">
      <c r="A192" s="1" t="s">
        <v>335</v>
      </c>
      <c r="B192" s="2" t="s">
        <v>330</v>
      </c>
      <c r="C192" s="6">
        <v>17</v>
      </c>
      <c r="D192" s="2" t="s">
        <v>430</v>
      </c>
      <c r="E192" s="6">
        <v>5600</v>
      </c>
      <c r="F192" s="18">
        <v>0</v>
      </c>
      <c r="G192" s="18">
        <v>0</v>
      </c>
      <c r="H192" s="18">
        <v>0</v>
      </c>
      <c r="I192" s="18">
        <v>0</v>
      </c>
      <c r="J192" s="24" t="s">
        <v>288</v>
      </c>
      <c r="K192" s="24" t="s">
        <v>288</v>
      </c>
      <c r="L192" s="24" t="s">
        <v>288</v>
      </c>
      <c r="M192" s="8"/>
      <c r="N192" s="264"/>
    </row>
    <row r="193" spans="1:14" s="3" customFormat="1" ht="12.4" customHeight="1" thickTop="1" thickBot="1" x14ac:dyDescent="0.25">
      <c r="A193" s="38" t="s">
        <v>418</v>
      </c>
      <c r="B193" s="39" t="s">
        <v>330</v>
      </c>
      <c r="C193" s="40">
        <v>18</v>
      </c>
      <c r="D193" s="156" t="s">
        <v>430</v>
      </c>
      <c r="E193" s="51">
        <v>5000</v>
      </c>
      <c r="F193" s="41">
        <f>F178+F184+SUM(F189:F192)</f>
        <v>0</v>
      </c>
      <c r="G193" s="41">
        <f>G184+SUM(G189:G192)</f>
        <v>25000</v>
      </c>
      <c r="H193" s="41">
        <f>+H184+SUM(H189:H192)</f>
        <v>0</v>
      </c>
      <c r="I193" s="41">
        <f>I178+I184+SUM(I189:I192)</f>
        <v>0</v>
      </c>
      <c r="J193" s="41">
        <f>J184</f>
        <v>250000</v>
      </c>
      <c r="K193" s="45" t="s">
        <v>288</v>
      </c>
      <c r="L193" s="45" t="s">
        <v>288</v>
      </c>
      <c r="M193" s="8"/>
      <c r="N193" s="264"/>
    </row>
    <row r="194" spans="1:14" s="3" customFormat="1" ht="12.4" customHeight="1" thickTop="1" x14ac:dyDescent="0.2">
      <c r="A194" s="46" t="s">
        <v>457</v>
      </c>
      <c r="B194" s="39" t="s">
        <v>330</v>
      </c>
      <c r="C194" s="40">
        <v>19</v>
      </c>
      <c r="D194" s="157" t="s">
        <v>430</v>
      </c>
      <c r="E194" s="44"/>
      <c r="F194" s="47">
        <f>F112+F140+F170+F193</f>
        <v>11889528.350000001</v>
      </c>
      <c r="G194" s="47">
        <f>G112+G140+G170+G193</f>
        <v>176257.81</v>
      </c>
      <c r="H194" s="47">
        <f>H112+H140+H170+H193</f>
        <v>237537.52</v>
      </c>
      <c r="I194" s="47">
        <f>I112+I140+I170+I193</f>
        <v>0</v>
      </c>
      <c r="J194" s="47">
        <f>J112+J140+J193</f>
        <v>251182.19</v>
      </c>
      <c r="K194" s="45" t="s">
        <v>288</v>
      </c>
      <c r="L194" s="45" t="s">
        <v>288</v>
      </c>
      <c r="M194" s="8"/>
      <c r="N194" s="264"/>
    </row>
    <row r="195" spans="1:14" s="3" customFormat="1" ht="12.4"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4"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4"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4" customHeight="1" x14ac:dyDescent="0.15">
      <c r="A198" s="1" t="s">
        <v>438</v>
      </c>
      <c r="B198" s="2" t="s">
        <v>341</v>
      </c>
      <c r="C198" s="2" t="s">
        <v>290</v>
      </c>
      <c r="D198" s="2" t="s">
        <v>431</v>
      </c>
      <c r="E198" s="6">
        <v>1100</v>
      </c>
      <c r="F198" s="18">
        <v>1235907.75</v>
      </c>
      <c r="G198" s="18">
        <v>601372.07999999996</v>
      </c>
      <c r="H198" s="18">
        <v>0</v>
      </c>
      <c r="I198" s="18">
        <v>69362</v>
      </c>
      <c r="J198" s="18">
        <v>6528.58</v>
      </c>
      <c r="K198" s="18">
        <v>129</v>
      </c>
      <c r="L198" s="19">
        <f>SUM(F198:K198)</f>
        <v>1913299.4100000001</v>
      </c>
      <c r="M198" s="8"/>
      <c r="N198" s="264"/>
    </row>
    <row r="199" spans="1:14" s="3" customFormat="1" ht="12.4" customHeight="1" x14ac:dyDescent="0.15">
      <c r="A199" s="1" t="s">
        <v>439</v>
      </c>
      <c r="B199" s="2" t="s">
        <v>341</v>
      </c>
      <c r="C199" s="2" t="s">
        <v>291</v>
      </c>
      <c r="D199" s="2" t="s">
        <v>431</v>
      </c>
      <c r="E199" s="6">
        <v>1200</v>
      </c>
      <c r="F199" s="18">
        <v>360741.99</v>
      </c>
      <c r="G199" s="18">
        <v>126888.54</v>
      </c>
      <c r="H199" s="18">
        <v>60769.75</v>
      </c>
      <c r="I199" s="18">
        <v>10863.91</v>
      </c>
      <c r="J199" s="18">
        <v>1667.54</v>
      </c>
      <c r="K199" s="18">
        <v>1686.96</v>
      </c>
      <c r="L199" s="19">
        <f>SUM(F199:K199)</f>
        <v>562618.69000000006</v>
      </c>
      <c r="M199" s="8"/>
      <c r="N199" s="264"/>
    </row>
    <row r="200" spans="1:14" s="3" customFormat="1" ht="12.4"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4"/>
    </row>
    <row r="201" spans="1:14" s="3" customFormat="1" ht="12.4" customHeight="1" x14ac:dyDescent="0.15">
      <c r="A201" s="1" t="s">
        <v>441</v>
      </c>
      <c r="B201" s="2" t="s">
        <v>341</v>
      </c>
      <c r="C201" s="2" t="s">
        <v>293</v>
      </c>
      <c r="D201" s="2" t="s">
        <v>431</v>
      </c>
      <c r="E201" s="6">
        <v>1400</v>
      </c>
      <c r="F201" s="18">
        <v>7090</v>
      </c>
      <c r="G201" s="18">
        <v>1814.81</v>
      </c>
      <c r="H201" s="18">
        <v>0</v>
      </c>
      <c r="I201" s="18">
        <v>0</v>
      </c>
      <c r="J201" s="18">
        <v>0</v>
      </c>
      <c r="K201" s="18">
        <v>0</v>
      </c>
      <c r="L201" s="19">
        <f>SUM(F201:K201)</f>
        <v>8904.81</v>
      </c>
      <c r="M201" s="8"/>
      <c r="N201" s="264"/>
    </row>
    <row r="202" spans="1:14" s="3" customFormat="1" ht="12.4"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4" customHeight="1" x14ac:dyDescent="0.15">
      <c r="A203" s="1" t="s">
        <v>442</v>
      </c>
      <c r="B203" s="2" t="s">
        <v>341</v>
      </c>
      <c r="C203" s="2" t="s">
        <v>294</v>
      </c>
      <c r="D203" s="2" t="s">
        <v>431</v>
      </c>
      <c r="E203" s="6">
        <v>2100</v>
      </c>
      <c r="F203" s="18">
        <f>581173.5+47666.67</f>
        <v>628840.17000000004</v>
      </c>
      <c r="G203" s="18">
        <f>273556.27+25789.54</f>
        <v>299345.81</v>
      </c>
      <c r="H203" s="18">
        <v>193987.46</v>
      </c>
      <c r="I203" s="18">
        <v>5544.17</v>
      </c>
      <c r="J203" s="18">
        <v>0</v>
      </c>
      <c r="K203" s="18">
        <v>0</v>
      </c>
      <c r="L203" s="19">
        <f t="shared" ref="L203:L209" si="0">SUM(F203:K203)</f>
        <v>1127717.6099999999</v>
      </c>
      <c r="M203" s="8"/>
      <c r="N203" s="264"/>
    </row>
    <row r="204" spans="1:14" s="3" customFormat="1" ht="12.4" customHeight="1" x14ac:dyDescent="0.15">
      <c r="A204" s="1" t="s">
        <v>443</v>
      </c>
      <c r="B204" s="2" t="s">
        <v>341</v>
      </c>
      <c r="C204" s="2" t="s">
        <v>295</v>
      </c>
      <c r="D204" s="2" t="s">
        <v>431</v>
      </c>
      <c r="E204" s="6">
        <v>2200</v>
      </c>
      <c r="F204" s="18">
        <f>44700+354.16</f>
        <v>45054.16</v>
      </c>
      <c r="G204" s="18">
        <f>41981.6+27.1</f>
        <v>42008.7</v>
      </c>
      <c r="H204" s="18">
        <v>3500</v>
      </c>
      <c r="I204" s="18">
        <v>1816.53</v>
      </c>
      <c r="J204" s="18">
        <v>0</v>
      </c>
      <c r="K204" s="18">
        <v>0</v>
      </c>
      <c r="L204" s="19">
        <f t="shared" si="0"/>
        <v>92379.39</v>
      </c>
      <c r="M204" s="8"/>
      <c r="N204" s="264"/>
    </row>
    <row r="205" spans="1:14" s="3" customFormat="1" ht="12.4" customHeight="1" x14ac:dyDescent="0.15">
      <c r="A205" s="1" t="s">
        <v>444</v>
      </c>
      <c r="B205" s="2" t="s">
        <v>341</v>
      </c>
      <c r="C205" s="2" t="s">
        <v>296</v>
      </c>
      <c r="D205" s="2" t="s">
        <v>431</v>
      </c>
      <c r="E205" s="6">
        <v>2300</v>
      </c>
      <c r="F205" s="18">
        <v>108723.7</v>
      </c>
      <c r="G205" s="18">
        <v>40243.14</v>
      </c>
      <c r="H205" s="18">
        <v>10966.64</v>
      </c>
      <c r="I205" s="18">
        <v>5864.82</v>
      </c>
      <c r="J205" s="18">
        <v>0</v>
      </c>
      <c r="K205" s="18">
        <v>2565.7600000000002</v>
      </c>
      <c r="L205" s="19">
        <f t="shared" si="0"/>
        <v>168364.06</v>
      </c>
      <c r="M205" s="8"/>
      <c r="N205" s="264"/>
    </row>
    <row r="206" spans="1:14" s="3" customFormat="1" ht="12.4" customHeight="1" x14ac:dyDescent="0.15">
      <c r="A206" s="1" t="s">
        <v>445</v>
      </c>
      <c r="B206" s="2" t="s">
        <v>341</v>
      </c>
      <c r="C206" s="2" t="s">
        <v>297</v>
      </c>
      <c r="D206" s="2" t="s">
        <v>431</v>
      </c>
      <c r="E206" s="6">
        <v>2400</v>
      </c>
      <c r="F206" s="18">
        <v>176633.33</v>
      </c>
      <c r="G206" s="18">
        <f>50616.08+980</f>
        <v>51596.08</v>
      </c>
      <c r="H206" s="18">
        <v>2501.2800000000002</v>
      </c>
      <c r="I206" s="18">
        <v>8861.3700000000008</v>
      </c>
      <c r="J206" s="18">
        <v>0</v>
      </c>
      <c r="K206" s="18">
        <v>0</v>
      </c>
      <c r="L206" s="19">
        <f t="shared" si="0"/>
        <v>239592.05999999997</v>
      </c>
      <c r="M206" s="8"/>
      <c r="N206" s="264"/>
    </row>
    <row r="207" spans="1:14" s="3" customFormat="1" ht="12.4" customHeight="1" x14ac:dyDescent="0.15">
      <c r="A207" s="1" t="s">
        <v>446</v>
      </c>
      <c r="B207" s="2" t="s">
        <v>341</v>
      </c>
      <c r="C207" s="2" t="s">
        <v>298</v>
      </c>
      <c r="D207" s="2" t="s">
        <v>431</v>
      </c>
      <c r="E207" s="6">
        <v>2500</v>
      </c>
      <c r="F207" s="18">
        <v>58533.91</v>
      </c>
      <c r="G207" s="18">
        <v>21512.880000000001</v>
      </c>
      <c r="H207" s="18">
        <v>9034.85</v>
      </c>
      <c r="I207" s="18">
        <v>7181.82</v>
      </c>
      <c r="J207" s="18">
        <v>271.41000000000003</v>
      </c>
      <c r="K207" s="18">
        <v>5343.66</v>
      </c>
      <c r="L207" s="19">
        <f t="shared" si="0"/>
        <v>101878.53000000003</v>
      </c>
      <c r="M207" s="8"/>
      <c r="N207" s="264"/>
    </row>
    <row r="208" spans="1:14" s="3" customFormat="1" ht="12.4" customHeight="1" x14ac:dyDescent="0.15">
      <c r="A208" s="1" t="s">
        <v>447</v>
      </c>
      <c r="B208" s="2" t="s">
        <v>341</v>
      </c>
      <c r="C208" s="2" t="s">
        <v>299</v>
      </c>
      <c r="D208" s="2" t="s">
        <v>431</v>
      </c>
      <c r="E208" s="6">
        <v>2600</v>
      </c>
      <c r="F208" s="18">
        <f>116527.01+21983.33</f>
        <v>138510.34</v>
      </c>
      <c r="G208" s="18">
        <f>32495.11+12588.97</f>
        <v>45084.08</v>
      </c>
      <c r="H208" s="18">
        <f>96353.57+933.33</f>
        <v>97286.900000000009</v>
      </c>
      <c r="I208" s="18">
        <f>85251.9+1375.94</f>
        <v>86627.839999999997</v>
      </c>
      <c r="J208" s="18">
        <v>6410.2</v>
      </c>
      <c r="K208" s="18">
        <v>2733.55</v>
      </c>
      <c r="L208" s="19">
        <f t="shared" si="0"/>
        <v>376652.91000000003</v>
      </c>
      <c r="M208" s="8"/>
      <c r="N208" s="264"/>
    </row>
    <row r="209" spans="1:14" s="3" customFormat="1" ht="12.4" customHeight="1" x14ac:dyDescent="0.15">
      <c r="A209" s="1" t="s">
        <v>448</v>
      </c>
      <c r="B209" s="2" t="s">
        <v>341</v>
      </c>
      <c r="C209" s="2" t="s">
        <v>300</v>
      </c>
      <c r="D209" s="2" t="s">
        <v>431</v>
      </c>
      <c r="E209" s="6">
        <v>2700</v>
      </c>
      <c r="F209" s="18">
        <v>0</v>
      </c>
      <c r="G209" s="18">
        <v>0</v>
      </c>
      <c r="H209" s="18">
        <v>185932.45</v>
      </c>
      <c r="I209" s="18">
        <v>0</v>
      </c>
      <c r="J209" s="18">
        <v>0</v>
      </c>
      <c r="K209" s="18">
        <v>0</v>
      </c>
      <c r="L209" s="19">
        <f t="shared" si="0"/>
        <v>185932.45</v>
      </c>
      <c r="M209" s="8"/>
      <c r="N209" s="264"/>
    </row>
    <row r="210" spans="1:14" s="3" customFormat="1" ht="12.4" customHeight="1" x14ac:dyDescent="0.15">
      <c r="A210" s="1" t="s">
        <v>449</v>
      </c>
      <c r="B210" s="2" t="s">
        <v>341</v>
      </c>
      <c r="C210" s="2" t="s">
        <v>343</v>
      </c>
      <c r="D210" s="2" t="s">
        <v>431</v>
      </c>
      <c r="E210" s="6">
        <v>2800</v>
      </c>
      <c r="F210" s="18">
        <f>45903.36+6339.07</f>
        <v>52242.43</v>
      </c>
      <c r="G210" s="18">
        <f>31679.86+2073.26</f>
        <v>33753.120000000003</v>
      </c>
      <c r="H210" s="18">
        <f>95645.32+1572.49</f>
        <v>97217.810000000012</v>
      </c>
      <c r="I210" s="18">
        <f>2762.32+1072.54</f>
        <v>3834.86</v>
      </c>
      <c r="J210" s="18">
        <v>0</v>
      </c>
      <c r="K210" s="18">
        <v>113.33</v>
      </c>
      <c r="L210" s="19">
        <f>SUM(F210:K210)</f>
        <v>187161.55</v>
      </c>
      <c r="M210" s="8"/>
      <c r="N210" s="264"/>
    </row>
    <row r="211" spans="1:14" s="3" customFormat="1" ht="12.4"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4" customHeight="1" thickTop="1" x14ac:dyDescent="0.15">
      <c r="A212" s="38" t="s">
        <v>419</v>
      </c>
      <c r="B212" s="39" t="s">
        <v>341</v>
      </c>
      <c r="C212" s="39" t="s">
        <v>345</v>
      </c>
      <c r="D212" s="39" t="s">
        <v>431</v>
      </c>
      <c r="E212" s="39"/>
      <c r="F212" s="41">
        <f t="shared" ref="F212:L212" si="1">SUM(F198:F211)</f>
        <v>2812277.7800000007</v>
      </c>
      <c r="G212" s="41">
        <f t="shared" si="1"/>
        <v>1263619.24</v>
      </c>
      <c r="H212" s="41">
        <f t="shared" si="1"/>
        <v>661197.14000000013</v>
      </c>
      <c r="I212" s="41">
        <f t="shared" si="1"/>
        <v>199957.31999999998</v>
      </c>
      <c r="J212" s="41">
        <f t="shared" si="1"/>
        <v>14877.73</v>
      </c>
      <c r="K212" s="41">
        <f t="shared" si="1"/>
        <v>12572.26</v>
      </c>
      <c r="L212" s="41">
        <f t="shared" si="1"/>
        <v>4964501.4700000007</v>
      </c>
      <c r="M212" s="8"/>
      <c r="N212" s="264"/>
    </row>
    <row r="213" spans="1:14" s="3" customFormat="1" ht="12.4"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4"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4"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4" customHeight="1" x14ac:dyDescent="0.15">
      <c r="A216" s="1" t="s">
        <v>438</v>
      </c>
      <c r="B216" s="2" t="s">
        <v>346</v>
      </c>
      <c r="C216" s="2" t="s">
        <v>290</v>
      </c>
      <c r="D216" s="2" t="s">
        <v>431</v>
      </c>
      <c r="E216" s="6">
        <v>1100</v>
      </c>
      <c r="F216" s="18">
        <v>632695.61</v>
      </c>
      <c r="G216" s="18">
        <v>270090.73</v>
      </c>
      <c r="H216" s="18">
        <v>450.91</v>
      </c>
      <c r="I216" s="18">
        <v>24852.400000000001</v>
      </c>
      <c r="J216" s="18">
        <v>2795.93</v>
      </c>
      <c r="K216" s="18">
        <v>0</v>
      </c>
      <c r="L216" s="19">
        <f>SUM(F216:K216)</f>
        <v>930885.58000000007</v>
      </c>
      <c r="M216" s="8"/>
      <c r="N216" s="264"/>
    </row>
    <row r="217" spans="1:14" s="3" customFormat="1" ht="12.4" customHeight="1" x14ac:dyDescent="0.15">
      <c r="A217" s="1" t="s">
        <v>439</v>
      </c>
      <c r="B217" s="2" t="s">
        <v>346</v>
      </c>
      <c r="C217" s="2" t="s">
        <v>291</v>
      </c>
      <c r="D217" s="2" t="s">
        <v>431</v>
      </c>
      <c r="E217" s="6">
        <v>1200</v>
      </c>
      <c r="F217" s="18">
        <v>257960.76</v>
      </c>
      <c r="G217" s="18">
        <v>109204.95</v>
      </c>
      <c r="H217" s="18">
        <v>12496.76</v>
      </c>
      <c r="I217" s="18">
        <v>6201.4</v>
      </c>
      <c r="J217" s="18">
        <f>593.98</f>
        <v>593.98</v>
      </c>
      <c r="K217" s="18">
        <v>1686.46</v>
      </c>
      <c r="L217" s="19">
        <f>SUM(F217:K217)</f>
        <v>388144.31000000006</v>
      </c>
      <c r="M217" s="8"/>
      <c r="N217" s="264"/>
    </row>
    <row r="218" spans="1:14" s="3" customFormat="1" ht="12.4"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4"/>
    </row>
    <row r="219" spans="1:14" s="3" customFormat="1" ht="12.4" customHeight="1" x14ac:dyDescent="0.15">
      <c r="A219" s="1" t="s">
        <v>441</v>
      </c>
      <c r="B219" s="2" t="s">
        <v>346</v>
      </c>
      <c r="C219" s="2" t="s">
        <v>293</v>
      </c>
      <c r="D219" s="2" t="s">
        <v>431</v>
      </c>
      <c r="E219" s="6">
        <v>1400</v>
      </c>
      <c r="F219" s="18">
        <v>25129.86</v>
      </c>
      <c r="G219" s="18">
        <v>5239.7299999999996</v>
      </c>
      <c r="H219" s="18">
        <v>17923.82</v>
      </c>
      <c r="I219" s="18">
        <v>2851.67</v>
      </c>
      <c r="J219" s="18">
        <v>0</v>
      </c>
      <c r="K219" s="18">
        <v>1957.55</v>
      </c>
      <c r="L219" s="19">
        <f>SUM(F219:K219)</f>
        <v>53102.630000000005</v>
      </c>
      <c r="M219" s="8"/>
      <c r="N219" s="264"/>
    </row>
    <row r="220" spans="1:14" s="3" customFormat="1" ht="12.4"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4" customHeight="1" x14ac:dyDescent="0.15">
      <c r="A221" s="1" t="s">
        <v>442</v>
      </c>
      <c r="B221" s="2" t="s">
        <v>346</v>
      </c>
      <c r="C221" s="2" t="s">
        <v>294</v>
      </c>
      <c r="D221" s="2" t="s">
        <v>431</v>
      </c>
      <c r="E221" s="6">
        <v>2100</v>
      </c>
      <c r="F221" s="18">
        <f>147077.41+47666.67</f>
        <v>194744.08000000002</v>
      </c>
      <c r="G221" s="18">
        <f>52348.26+25789.54</f>
        <v>78137.8</v>
      </c>
      <c r="H221" s="18">
        <v>66770.38</v>
      </c>
      <c r="I221" s="18">
        <v>2513.09</v>
      </c>
      <c r="J221" s="18">
        <v>0</v>
      </c>
      <c r="K221" s="18">
        <v>0</v>
      </c>
      <c r="L221" s="19">
        <f t="shared" ref="L221:L227" si="2">SUM(F221:K221)</f>
        <v>342165.35000000003</v>
      </c>
      <c r="M221" s="8"/>
      <c r="N221" s="264"/>
    </row>
    <row r="222" spans="1:14" s="3" customFormat="1" ht="12.4" customHeight="1" x14ac:dyDescent="0.15">
      <c r="A222" s="1" t="s">
        <v>443</v>
      </c>
      <c r="B222" s="2" t="s">
        <v>346</v>
      </c>
      <c r="C222" s="2" t="s">
        <v>295</v>
      </c>
      <c r="D222" s="2" t="s">
        <v>431</v>
      </c>
      <c r="E222" s="6">
        <v>2200</v>
      </c>
      <c r="F222" s="18">
        <f>19349.95+354.16</f>
        <v>19704.11</v>
      </c>
      <c r="G222" s="18">
        <f>16258.18+27.1</f>
        <v>16285.28</v>
      </c>
      <c r="H222" s="18">
        <v>0</v>
      </c>
      <c r="I222" s="18">
        <v>3206.47</v>
      </c>
      <c r="J222" s="18">
        <v>888.19</v>
      </c>
      <c r="K222" s="18">
        <v>0</v>
      </c>
      <c r="L222" s="19">
        <f t="shared" si="2"/>
        <v>40084.050000000003</v>
      </c>
      <c r="M222" s="8"/>
      <c r="N222" s="264"/>
    </row>
    <row r="223" spans="1:14" s="3" customFormat="1" ht="12.4" customHeight="1" x14ac:dyDescent="0.15">
      <c r="A223" s="1" t="s">
        <v>444</v>
      </c>
      <c r="B223" s="2" t="s">
        <v>346</v>
      </c>
      <c r="C223" s="2" t="s">
        <v>296</v>
      </c>
      <c r="D223" s="2" t="s">
        <v>431</v>
      </c>
      <c r="E223" s="6">
        <v>2300</v>
      </c>
      <c r="F223" s="18">
        <v>108723.7</v>
      </c>
      <c r="G223" s="18">
        <v>40243.14</v>
      </c>
      <c r="H223" s="18">
        <v>10966.64</v>
      </c>
      <c r="I223" s="18">
        <v>5864.82</v>
      </c>
      <c r="J223" s="18">
        <v>0</v>
      </c>
      <c r="K223" s="18">
        <v>2565.7600000000002</v>
      </c>
      <c r="L223" s="19">
        <f t="shared" si="2"/>
        <v>168364.06</v>
      </c>
      <c r="M223" s="8"/>
      <c r="N223" s="264"/>
    </row>
    <row r="224" spans="1:14" s="3" customFormat="1" ht="12.4" customHeight="1" x14ac:dyDescent="0.15">
      <c r="A224" s="1" t="s">
        <v>445</v>
      </c>
      <c r="B224" s="2" t="s">
        <v>346</v>
      </c>
      <c r="C224" s="2" t="s">
        <v>297</v>
      </c>
      <c r="D224" s="2" t="s">
        <v>431</v>
      </c>
      <c r="E224" s="6">
        <v>2400</v>
      </c>
      <c r="F224" s="18">
        <v>118355.54</v>
      </c>
      <c r="G224" s="18">
        <f>45014.34+980</f>
        <v>45994.34</v>
      </c>
      <c r="H224" s="18">
        <v>1621.9</v>
      </c>
      <c r="I224" s="18">
        <v>2987.55</v>
      </c>
      <c r="J224" s="18">
        <v>0</v>
      </c>
      <c r="K224" s="18">
        <v>4699.8100000000004</v>
      </c>
      <c r="L224" s="19">
        <f t="shared" si="2"/>
        <v>173659.13999999998</v>
      </c>
      <c r="M224" s="8"/>
      <c r="N224" s="264"/>
    </row>
    <row r="225" spans="1:14" s="3" customFormat="1" ht="12.4" customHeight="1" x14ac:dyDescent="0.15">
      <c r="A225" s="1" t="s">
        <v>446</v>
      </c>
      <c r="B225" s="2" t="s">
        <v>346</v>
      </c>
      <c r="C225" s="2" t="s">
        <v>298</v>
      </c>
      <c r="D225" s="2" t="s">
        <v>431</v>
      </c>
      <c r="E225" s="6">
        <v>2500</v>
      </c>
      <c r="F225" s="18">
        <v>58533.91</v>
      </c>
      <c r="G225" s="18">
        <v>21512.880000000001</v>
      </c>
      <c r="H225" s="18">
        <v>9034.85</v>
      </c>
      <c r="I225" s="18">
        <v>7181.82</v>
      </c>
      <c r="J225" s="18">
        <v>271.41000000000003</v>
      </c>
      <c r="K225" s="18">
        <v>5343.66</v>
      </c>
      <c r="L225" s="19">
        <f t="shared" si="2"/>
        <v>101878.53000000003</v>
      </c>
      <c r="M225" s="8"/>
      <c r="N225" s="264"/>
    </row>
    <row r="226" spans="1:14" s="3" customFormat="1" ht="12.4" customHeight="1" x14ac:dyDescent="0.15">
      <c r="A226" s="1" t="s">
        <v>447</v>
      </c>
      <c r="B226" s="2" t="s">
        <v>346</v>
      </c>
      <c r="C226" s="2" t="s">
        <v>299</v>
      </c>
      <c r="D226" s="2" t="s">
        <v>431</v>
      </c>
      <c r="E226" s="6">
        <v>2600</v>
      </c>
      <c r="F226" s="18">
        <f>51078.98+21983.33</f>
        <v>73062.31</v>
      </c>
      <c r="G226" s="18">
        <f>36232.16+12588.97</f>
        <v>48821.130000000005</v>
      </c>
      <c r="H226" s="18">
        <v>45240.43</v>
      </c>
      <c r="I226" s="18">
        <f>48520.26+1375.94</f>
        <v>49896.200000000004</v>
      </c>
      <c r="J226" s="18">
        <v>0</v>
      </c>
      <c r="K226" s="18">
        <v>4.18</v>
      </c>
      <c r="L226" s="19">
        <f t="shared" si="2"/>
        <v>217024.25</v>
      </c>
      <c r="M226" s="8"/>
      <c r="N226" s="264"/>
    </row>
    <row r="227" spans="1:14" s="3" customFormat="1" ht="12.4" customHeight="1" x14ac:dyDescent="0.15">
      <c r="A227" s="1" t="s">
        <v>448</v>
      </c>
      <c r="B227" s="2" t="s">
        <v>346</v>
      </c>
      <c r="C227" s="2" t="s">
        <v>300</v>
      </c>
      <c r="D227" s="2" t="s">
        <v>431</v>
      </c>
      <c r="E227" s="6">
        <v>2700</v>
      </c>
      <c r="F227" s="18">
        <v>0</v>
      </c>
      <c r="G227" s="18">
        <v>0</v>
      </c>
      <c r="H227" s="18">
        <v>73548.86</v>
      </c>
      <c r="I227" s="18">
        <v>0</v>
      </c>
      <c r="J227" s="18">
        <v>0</v>
      </c>
      <c r="K227" s="18">
        <v>0</v>
      </c>
      <c r="L227" s="19">
        <f t="shared" si="2"/>
        <v>73548.86</v>
      </c>
      <c r="M227" s="8"/>
      <c r="N227" s="264"/>
    </row>
    <row r="228" spans="1:14" s="3" customFormat="1" ht="12.4" customHeight="1" x14ac:dyDescent="0.15">
      <c r="A228" s="1" t="s">
        <v>449</v>
      </c>
      <c r="B228" s="2" t="s">
        <v>346</v>
      </c>
      <c r="C228" s="2" t="s">
        <v>343</v>
      </c>
      <c r="D228" s="2" t="s">
        <v>431</v>
      </c>
      <c r="E228" s="6">
        <v>2800</v>
      </c>
      <c r="F228" s="18">
        <f>36346.4+6339.07</f>
        <v>42685.47</v>
      </c>
      <c r="G228" s="18">
        <f>10949.81+2073.26</f>
        <v>13023.07</v>
      </c>
      <c r="H228" s="18">
        <f>45063.64+1572.49</f>
        <v>46636.13</v>
      </c>
      <c r="I228" s="18">
        <f>1351.4+1072.54</f>
        <v>2423.94</v>
      </c>
      <c r="J228" s="18">
        <v>0</v>
      </c>
      <c r="K228" s="18">
        <v>113.33</v>
      </c>
      <c r="L228" s="19">
        <f>SUM(F228:K228)</f>
        <v>104881.94</v>
      </c>
      <c r="M228" s="8"/>
      <c r="N228" s="264"/>
    </row>
    <row r="229" spans="1:14" s="3" customFormat="1" ht="12.4"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4" customHeight="1" thickTop="1" x14ac:dyDescent="0.15">
      <c r="A230" s="38" t="s">
        <v>459</v>
      </c>
      <c r="B230" s="39" t="s">
        <v>346</v>
      </c>
      <c r="C230" s="39" t="s">
        <v>345</v>
      </c>
      <c r="D230" s="39" t="s">
        <v>431</v>
      </c>
      <c r="E230" s="44"/>
      <c r="F230" s="41">
        <f t="shared" ref="F230:L230" si="3">SUM(F216:F229)</f>
        <v>1531595.35</v>
      </c>
      <c r="G230" s="41">
        <f>SUM(G216:G229)</f>
        <v>648553.04999999993</v>
      </c>
      <c r="H230" s="41">
        <f>SUM(H216:H229)</f>
        <v>284690.68</v>
      </c>
      <c r="I230" s="41">
        <f>SUM(I216:I229)</f>
        <v>107979.36000000002</v>
      </c>
      <c r="J230" s="41">
        <f>SUM(J216:J229)</f>
        <v>4549.51</v>
      </c>
      <c r="K230" s="41">
        <f t="shared" si="3"/>
        <v>16370.750000000002</v>
      </c>
      <c r="L230" s="41">
        <f t="shared" si="3"/>
        <v>2593738.7000000002</v>
      </c>
      <c r="M230" s="8"/>
      <c r="N230" s="264"/>
    </row>
    <row r="231" spans="1:14" s="3" customFormat="1" ht="12.4"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4"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4"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4" customHeight="1" x14ac:dyDescent="0.15">
      <c r="A234" s="1" t="s">
        <v>438</v>
      </c>
      <c r="B234" s="2" t="s">
        <v>350</v>
      </c>
      <c r="C234" s="2" t="s">
        <v>290</v>
      </c>
      <c r="D234" s="2" t="s">
        <v>431</v>
      </c>
      <c r="E234" s="6">
        <v>1100</v>
      </c>
      <c r="F234" s="18">
        <v>824706.27</v>
      </c>
      <c r="G234" s="18">
        <v>330161.73</v>
      </c>
      <c r="H234" s="18">
        <v>551.1</v>
      </c>
      <c r="I234" s="18">
        <v>32354.58</v>
      </c>
      <c r="J234" s="18">
        <v>1979.15</v>
      </c>
      <c r="K234" s="18">
        <v>0</v>
      </c>
      <c r="L234" s="19">
        <f>SUM(F234:K234)</f>
        <v>1189752.83</v>
      </c>
      <c r="M234" s="8"/>
      <c r="N234" s="264"/>
    </row>
    <row r="235" spans="1:14" s="3" customFormat="1" ht="12.4" customHeight="1" x14ac:dyDescent="0.15">
      <c r="A235" s="1" t="s">
        <v>439</v>
      </c>
      <c r="B235" s="2" t="s">
        <v>350</v>
      </c>
      <c r="C235" s="2" t="s">
        <v>291</v>
      </c>
      <c r="D235" s="2" t="s">
        <v>431</v>
      </c>
      <c r="E235" s="6">
        <v>1200</v>
      </c>
      <c r="F235" s="18">
        <v>155739.39000000001</v>
      </c>
      <c r="G235" s="18">
        <v>54926.38</v>
      </c>
      <c r="H235" s="18">
        <v>197900.61</v>
      </c>
      <c r="I235" s="18">
        <v>1995.94</v>
      </c>
      <c r="J235" s="18">
        <v>1479.88</v>
      </c>
      <c r="K235" s="18">
        <v>1686.47</v>
      </c>
      <c r="L235" s="19">
        <f>SUM(F235:K235)</f>
        <v>413728.67</v>
      </c>
      <c r="M235" s="8"/>
      <c r="N235" s="264"/>
    </row>
    <row r="236" spans="1:14" s="3" customFormat="1" ht="12.4" customHeight="1" x14ac:dyDescent="0.15">
      <c r="A236" s="1" t="s">
        <v>440</v>
      </c>
      <c r="B236" s="2" t="s">
        <v>350</v>
      </c>
      <c r="C236" s="2" t="s">
        <v>292</v>
      </c>
      <c r="D236" s="2" t="s">
        <v>431</v>
      </c>
      <c r="E236" s="6">
        <v>1300</v>
      </c>
      <c r="F236" s="18">
        <v>0</v>
      </c>
      <c r="G236" s="18">
        <v>0</v>
      </c>
      <c r="H236" s="18">
        <v>6214.64</v>
      </c>
      <c r="I236" s="18">
        <v>0</v>
      </c>
      <c r="J236" s="18">
        <v>0</v>
      </c>
      <c r="K236" s="18">
        <v>0</v>
      </c>
      <c r="L236" s="19">
        <f>SUM(F236:K236)</f>
        <v>6214.64</v>
      </c>
      <c r="M236" s="8"/>
      <c r="N236" s="264"/>
    </row>
    <row r="237" spans="1:14" s="3" customFormat="1" ht="12.4" customHeight="1" x14ac:dyDescent="0.15">
      <c r="A237" s="1" t="s">
        <v>441</v>
      </c>
      <c r="B237" s="2" t="s">
        <v>350</v>
      </c>
      <c r="C237" s="2" t="s">
        <v>293</v>
      </c>
      <c r="D237" s="2" t="s">
        <v>431</v>
      </c>
      <c r="E237" s="6">
        <v>1400</v>
      </c>
      <c r="F237" s="18">
        <v>45818.79</v>
      </c>
      <c r="G237" s="18">
        <v>8385.25</v>
      </c>
      <c r="H237" s="18">
        <v>21091.040000000001</v>
      </c>
      <c r="I237" s="18">
        <v>3485.34</v>
      </c>
      <c r="J237" s="18">
        <v>0</v>
      </c>
      <c r="K237" s="18">
        <v>2397.0500000000002</v>
      </c>
      <c r="L237" s="19">
        <f>SUM(F237:K237)</f>
        <v>81177.47</v>
      </c>
      <c r="M237" s="8"/>
      <c r="N237" s="264"/>
    </row>
    <row r="238" spans="1:14" s="3" customFormat="1" ht="12.4"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4" customHeight="1" x14ac:dyDescent="0.15">
      <c r="A239" s="1" t="s">
        <v>442</v>
      </c>
      <c r="B239" s="2" t="s">
        <v>350</v>
      </c>
      <c r="C239" s="2" t="s">
        <v>294</v>
      </c>
      <c r="D239" s="2" t="s">
        <v>431</v>
      </c>
      <c r="E239" s="6">
        <v>2100</v>
      </c>
      <c r="F239" s="18">
        <f>129988.57+47666.66</f>
        <v>177655.23</v>
      </c>
      <c r="G239" s="18">
        <f>79687.41+25789.54</f>
        <v>105476.95000000001</v>
      </c>
      <c r="H239" s="18">
        <v>47059.86</v>
      </c>
      <c r="I239" s="18">
        <v>1729.21</v>
      </c>
      <c r="J239" s="18">
        <v>0</v>
      </c>
      <c r="K239" s="18">
        <v>0</v>
      </c>
      <c r="L239" s="19">
        <f t="shared" ref="L239:L245" si="4">SUM(F239:K239)</f>
        <v>331921.25000000006</v>
      </c>
      <c r="M239" s="8"/>
      <c r="N239" s="264"/>
    </row>
    <row r="240" spans="1:14" s="3" customFormat="1" ht="12.4" customHeight="1" x14ac:dyDescent="0.15">
      <c r="A240" s="1" t="s">
        <v>443</v>
      </c>
      <c r="B240" s="2" t="s">
        <v>350</v>
      </c>
      <c r="C240" s="2" t="s">
        <v>295</v>
      </c>
      <c r="D240" s="2" t="s">
        <v>431</v>
      </c>
      <c r="E240" s="6">
        <v>2200</v>
      </c>
      <c r="F240" s="18">
        <f>23650.05+354.18</f>
        <v>24004.23</v>
      </c>
      <c r="G240" s="18">
        <f>21551.65+27.09</f>
        <v>21578.74</v>
      </c>
      <c r="H240" s="18">
        <v>0</v>
      </c>
      <c r="I240" s="18">
        <v>3919.01</v>
      </c>
      <c r="J240" s="18">
        <v>1098.79</v>
      </c>
      <c r="K240" s="18">
        <v>0</v>
      </c>
      <c r="L240" s="19">
        <f t="shared" si="4"/>
        <v>50600.770000000004</v>
      </c>
      <c r="M240" s="8"/>
      <c r="N240" s="264"/>
    </row>
    <row r="241" spans="1:14" s="3" customFormat="1" ht="12.4" customHeight="1" x14ac:dyDescent="0.15">
      <c r="A241" s="1" t="s">
        <v>444</v>
      </c>
      <c r="B241" s="2" t="s">
        <v>350</v>
      </c>
      <c r="C241" s="2" t="s">
        <v>296</v>
      </c>
      <c r="D241" s="2" t="s">
        <v>431</v>
      </c>
      <c r="E241" s="6">
        <v>2300</v>
      </c>
      <c r="F241" s="18">
        <v>108723.7</v>
      </c>
      <c r="G241" s="18">
        <v>40243.14</v>
      </c>
      <c r="H241" s="18">
        <v>10966.63</v>
      </c>
      <c r="I241" s="18">
        <v>5864.83</v>
      </c>
      <c r="J241" s="18">
        <v>0</v>
      </c>
      <c r="K241" s="18">
        <v>0</v>
      </c>
      <c r="L241" s="19">
        <f t="shared" si="4"/>
        <v>165798.29999999999</v>
      </c>
      <c r="M241" s="8"/>
      <c r="N241" s="264"/>
    </row>
    <row r="242" spans="1:14" s="3" customFormat="1" ht="12.4" customHeight="1" x14ac:dyDescent="0.15">
      <c r="A242" s="1" t="s">
        <v>445</v>
      </c>
      <c r="B242" s="2" t="s">
        <v>350</v>
      </c>
      <c r="C242" s="2" t="s">
        <v>297</v>
      </c>
      <c r="D242" s="2" t="s">
        <v>431</v>
      </c>
      <c r="E242" s="6">
        <v>2400</v>
      </c>
      <c r="F242" s="18">
        <v>142158.17000000001</v>
      </c>
      <c r="G242" s="18">
        <f>55331.26+980</f>
        <v>56311.26</v>
      </c>
      <c r="H242" s="18">
        <v>1944.92</v>
      </c>
      <c r="I242" s="18">
        <v>3956.48</v>
      </c>
      <c r="J242" s="18">
        <v>0</v>
      </c>
      <c r="K242" s="18">
        <v>6338.02</v>
      </c>
      <c r="L242" s="19">
        <f t="shared" si="4"/>
        <v>210708.85000000003</v>
      </c>
      <c r="M242" s="8"/>
      <c r="N242" s="264"/>
    </row>
    <row r="243" spans="1:14" s="3" customFormat="1" ht="12.4" customHeight="1" x14ac:dyDescent="0.15">
      <c r="A243" s="1" t="s">
        <v>446</v>
      </c>
      <c r="B243" s="2" t="s">
        <v>350</v>
      </c>
      <c r="C243" s="2" t="s">
        <v>298</v>
      </c>
      <c r="D243" s="2" t="s">
        <v>431</v>
      </c>
      <c r="E243" s="6">
        <v>2500</v>
      </c>
      <c r="F243" s="18">
        <v>58533.9</v>
      </c>
      <c r="G243" s="18">
        <v>21512.87</v>
      </c>
      <c r="H243" s="18">
        <v>9034.86</v>
      </c>
      <c r="I243" s="18">
        <v>7181.81</v>
      </c>
      <c r="J243" s="18">
        <v>271.42</v>
      </c>
      <c r="K243" s="18">
        <v>5343.68</v>
      </c>
      <c r="L243" s="19">
        <f t="shared" si="4"/>
        <v>101878.54000000001</v>
      </c>
      <c r="M243" s="8"/>
      <c r="N243" s="264"/>
    </row>
    <row r="244" spans="1:14" s="3" customFormat="1" ht="12.4" customHeight="1" x14ac:dyDescent="0.15">
      <c r="A244" s="1" t="s">
        <v>447</v>
      </c>
      <c r="B244" s="2" t="s">
        <v>350</v>
      </c>
      <c r="C244" s="2" t="s">
        <v>299</v>
      </c>
      <c r="D244" s="2" t="s">
        <v>431</v>
      </c>
      <c r="E244" s="6">
        <v>2600</v>
      </c>
      <c r="F244" s="18">
        <f>51078.98+21983.34</f>
        <v>73062.320000000007</v>
      </c>
      <c r="G244" s="18">
        <f>36229.82+12588.98</f>
        <v>48818.8</v>
      </c>
      <c r="H244" s="18">
        <f>53202.74+933.35</f>
        <v>54136.09</v>
      </c>
      <c r="I244" s="18">
        <f>59330.19+1375.93</f>
        <v>60706.12</v>
      </c>
      <c r="J244" s="18">
        <v>0</v>
      </c>
      <c r="K244" s="18">
        <v>2569.8989999999999</v>
      </c>
      <c r="L244" s="19">
        <f t="shared" si="4"/>
        <v>239293.22900000002</v>
      </c>
      <c r="M244" s="8"/>
      <c r="N244" s="264"/>
    </row>
    <row r="245" spans="1:14" s="3" customFormat="1" ht="12.4" customHeight="1" x14ac:dyDescent="0.15">
      <c r="A245" s="1" t="s">
        <v>448</v>
      </c>
      <c r="B245" s="2" t="s">
        <v>350</v>
      </c>
      <c r="C245" s="2" t="s">
        <v>300</v>
      </c>
      <c r="D245" s="2" t="s">
        <v>431</v>
      </c>
      <c r="E245" s="6">
        <v>2700</v>
      </c>
      <c r="F245" s="18">
        <v>9345</v>
      </c>
      <c r="G245" s="18">
        <v>775.19</v>
      </c>
      <c r="H245" s="18">
        <v>139576.4</v>
      </c>
      <c r="I245" s="18">
        <v>874.16</v>
      </c>
      <c r="J245" s="18">
        <v>0</v>
      </c>
      <c r="K245" s="18">
        <v>0</v>
      </c>
      <c r="L245" s="19">
        <f t="shared" si="4"/>
        <v>150570.75</v>
      </c>
      <c r="M245" s="8"/>
      <c r="N245" s="264"/>
    </row>
    <row r="246" spans="1:14" s="3" customFormat="1" ht="12.4" customHeight="1" x14ac:dyDescent="0.15">
      <c r="A246" s="1" t="s">
        <v>449</v>
      </c>
      <c r="B246" s="2" t="s">
        <v>350</v>
      </c>
      <c r="C246" s="2" t="s">
        <v>343</v>
      </c>
      <c r="D246" s="2" t="s">
        <v>431</v>
      </c>
      <c r="E246" s="6">
        <v>2800</v>
      </c>
      <c r="F246" s="18">
        <f>36346.65+6339.06</f>
        <v>42685.71</v>
      </c>
      <c r="G246" s="18">
        <f>11049.64+2073.25</f>
        <v>13122.89</v>
      </c>
      <c r="H246" s="18">
        <f>52057.3+1572.48</f>
        <v>53629.780000000006</v>
      </c>
      <c r="I246" s="18">
        <f>1256.2+1072.54</f>
        <v>2328.7399999999998</v>
      </c>
      <c r="J246" s="18">
        <v>0</v>
      </c>
      <c r="K246" s="18">
        <v>113.34</v>
      </c>
      <c r="L246" s="19">
        <f>SUM(F246:K246)</f>
        <v>111880.46</v>
      </c>
      <c r="M246" s="8"/>
      <c r="N246" s="264"/>
    </row>
    <row r="247" spans="1:14" s="3" customFormat="1" ht="12.4"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4" customHeight="1" thickTop="1" x14ac:dyDescent="0.15">
      <c r="A248" s="38" t="s">
        <v>681</v>
      </c>
      <c r="B248" s="39" t="s">
        <v>350</v>
      </c>
      <c r="C248" s="40">
        <v>14</v>
      </c>
      <c r="D248" s="39" t="s">
        <v>431</v>
      </c>
      <c r="E248" s="40"/>
      <c r="F248" s="41">
        <f t="shared" ref="F248:L248" si="5">SUM(F234:F247)</f>
        <v>1662432.71</v>
      </c>
      <c r="G248" s="41">
        <f t="shared" si="5"/>
        <v>701313.2</v>
      </c>
      <c r="H248" s="41">
        <f t="shared" si="5"/>
        <v>542105.93000000005</v>
      </c>
      <c r="I248" s="41">
        <f t="shared" si="5"/>
        <v>124396.22000000002</v>
      </c>
      <c r="J248" s="41">
        <f t="shared" si="5"/>
        <v>4829.24</v>
      </c>
      <c r="K248" s="41">
        <f t="shared" si="5"/>
        <v>18448.459000000003</v>
      </c>
      <c r="L248" s="41">
        <f t="shared" si="5"/>
        <v>3053525.7589999996</v>
      </c>
      <c r="M248" s="8"/>
      <c r="N248" s="264"/>
    </row>
    <row r="249" spans="1:14" s="3" customFormat="1" ht="12.4"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4"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4"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4"/>
    </row>
    <row r="252" spans="1:14" s="3" customFormat="1" ht="12.4" customHeight="1" x14ac:dyDescent="0.15">
      <c r="A252" s="1" t="s">
        <v>353</v>
      </c>
      <c r="B252" s="2" t="s">
        <v>352</v>
      </c>
      <c r="C252" s="2" t="s">
        <v>309</v>
      </c>
      <c r="D252" s="2" t="s">
        <v>431</v>
      </c>
      <c r="E252" s="6">
        <v>1600</v>
      </c>
      <c r="F252" s="18">
        <v>0</v>
      </c>
      <c r="G252" s="18">
        <v>0</v>
      </c>
      <c r="H252" s="18">
        <v>0</v>
      </c>
      <c r="I252" s="18">
        <v>0</v>
      </c>
      <c r="J252" s="18">
        <v>0</v>
      </c>
      <c r="K252" s="18">
        <v>0</v>
      </c>
      <c r="L252" s="19">
        <f t="shared" si="6"/>
        <v>0</v>
      </c>
      <c r="M252" s="8"/>
      <c r="N252" s="264"/>
    </row>
    <row r="253" spans="1:14" s="3" customFormat="1" ht="12.4"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4"/>
    </row>
    <row r="254" spans="1:14" s="3" customFormat="1" ht="12.4" customHeight="1" x14ac:dyDescent="0.15">
      <c r="A254" s="1" t="s">
        <v>583</v>
      </c>
      <c r="B254" s="2" t="s">
        <v>352</v>
      </c>
      <c r="C254" s="2" t="s">
        <v>321</v>
      </c>
      <c r="D254" s="2" t="s">
        <v>431</v>
      </c>
      <c r="E254" s="6">
        <v>1800</v>
      </c>
      <c r="F254" s="18">
        <v>0</v>
      </c>
      <c r="G254" s="18">
        <v>0</v>
      </c>
      <c r="H254" s="18">
        <v>0</v>
      </c>
      <c r="I254" s="18">
        <v>0</v>
      </c>
      <c r="J254" s="18">
        <v>0</v>
      </c>
      <c r="K254" s="18">
        <v>0</v>
      </c>
      <c r="L254" s="19">
        <f t="shared" si="6"/>
        <v>0</v>
      </c>
      <c r="M254" s="8"/>
      <c r="N254" s="264"/>
    </row>
    <row r="255" spans="1:14" s="3" customFormat="1" ht="12.4" customHeight="1" x14ac:dyDescent="0.15">
      <c r="A255" s="1" t="s">
        <v>391</v>
      </c>
      <c r="B255" s="2" t="s">
        <v>352</v>
      </c>
      <c r="C255" s="2" t="s">
        <v>324</v>
      </c>
      <c r="D255" s="2" t="s">
        <v>431</v>
      </c>
      <c r="E255" s="6">
        <v>2750</v>
      </c>
      <c r="F255" s="18">
        <v>0</v>
      </c>
      <c r="G255" s="18">
        <v>0</v>
      </c>
      <c r="H255" s="18">
        <v>0</v>
      </c>
      <c r="I255" s="18">
        <v>0</v>
      </c>
      <c r="J255" s="18">
        <v>0</v>
      </c>
      <c r="K255" s="18">
        <v>0</v>
      </c>
      <c r="L255" s="19">
        <f t="shared" si="6"/>
        <v>0</v>
      </c>
      <c r="M255" s="8"/>
      <c r="N255" s="264"/>
    </row>
    <row r="256" spans="1:14" s="3" customFormat="1" ht="12.4" customHeight="1" thickBot="1" x14ac:dyDescent="0.2">
      <c r="A256" s="1" t="s">
        <v>584</v>
      </c>
      <c r="B256" s="2" t="s">
        <v>352</v>
      </c>
      <c r="C256" s="6">
        <v>6</v>
      </c>
      <c r="D256" s="2" t="s">
        <v>431</v>
      </c>
      <c r="E256" s="6">
        <v>4000</v>
      </c>
      <c r="F256" s="18">
        <v>0</v>
      </c>
      <c r="G256" s="18">
        <v>0</v>
      </c>
      <c r="H256" s="18">
        <v>0</v>
      </c>
      <c r="I256" s="18">
        <v>0</v>
      </c>
      <c r="J256" s="18">
        <v>0</v>
      </c>
      <c r="K256" s="18">
        <v>0</v>
      </c>
      <c r="L256" s="19">
        <f t="shared" si="6"/>
        <v>0</v>
      </c>
      <c r="M256" s="8"/>
      <c r="N256" s="264"/>
    </row>
    <row r="257" spans="1:14" s="3" customFormat="1" ht="12.4"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4" customHeight="1" thickTop="1" x14ac:dyDescent="0.15">
      <c r="A258" s="38" t="s">
        <v>462</v>
      </c>
      <c r="B258" s="40">
        <v>10</v>
      </c>
      <c r="C258" s="40">
        <v>8</v>
      </c>
      <c r="D258" s="39" t="s">
        <v>431</v>
      </c>
      <c r="E258" s="40"/>
      <c r="F258" s="41">
        <f t="shared" ref="F258:L258" si="8">F212+F230+F248+F257</f>
        <v>6006305.8400000008</v>
      </c>
      <c r="G258" s="41">
        <f t="shared" si="8"/>
        <v>2613485.4900000002</v>
      </c>
      <c r="H258" s="41">
        <f t="shared" si="8"/>
        <v>1487993.75</v>
      </c>
      <c r="I258" s="41">
        <f t="shared" si="8"/>
        <v>432332.9</v>
      </c>
      <c r="J258" s="41">
        <f t="shared" si="8"/>
        <v>24256.479999999996</v>
      </c>
      <c r="K258" s="41">
        <f t="shared" si="8"/>
        <v>47391.469000000005</v>
      </c>
      <c r="L258" s="41">
        <f t="shared" si="8"/>
        <v>10611765.929000001</v>
      </c>
      <c r="M258" s="8"/>
      <c r="N258" s="264"/>
    </row>
    <row r="259" spans="1:14" s="3" customFormat="1" ht="12.4" customHeight="1" x14ac:dyDescent="0.15">
      <c r="A259" s="34" t="s">
        <v>354</v>
      </c>
      <c r="F259" s="13"/>
      <c r="G259" s="13"/>
      <c r="H259" s="13"/>
      <c r="I259" s="13"/>
      <c r="J259" s="13"/>
      <c r="K259" s="14" t="s">
        <v>286</v>
      </c>
      <c r="L259" s="14" t="s">
        <v>355</v>
      </c>
      <c r="M259" s="8"/>
      <c r="N259" s="264"/>
    </row>
    <row r="260" spans="1:14" s="3" customFormat="1" ht="12.4"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4" customHeight="1" x14ac:dyDescent="0.2">
      <c r="A261" s="1" t="s">
        <v>520</v>
      </c>
      <c r="B261" s="2" t="s">
        <v>352</v>
      </c>
      <c r="C261" s="6">
        <v>9</v>
      </c>
      <c r="D261" s="2" t="s">
        <v>431</v>
      </c>
      <c r="E261" s="6">
        <v>5110</v>
      </c>
      <c r="F261" s="24" t="s">
        <v>288</v>
      </c>
      <c r="G261" s="24" t="s">
        <v>288</v>
      </c>
      <c r="H261" s="24" t="s">
        <v>288</v>
      </c>
      <c r="I261" s="24" t="s">
        <v>288</v>
      </c>
      <c r="J261" s="24" t="s">
        <v>288</v>
      </c>
      <c r="K261" s="18">
        <v>325000</v>
      </c>
      <c r="L261" s="19">
        <f>SUM(F261:K261)</f>
        <v>325000</v>
      </c>
      <c r="N261" s="262"/>
    </row>
    <row r="262" spans="1:14" ht="12.4" customHeight="1" x14ac:dyDescent="0.2">
      <c r="A262" s="1" t="s">
        <v>532</v>
      </c>
      <c r="B262" s="2" t="s">
        <v>352</v>
      </c>
      <c r="C262" s="6">
        <v>10</v>
      </c>
      <c r="D262" s="2" t="s">
        <v>431</v>
      </c>
      <c r="E262" s="6">
        <v>5120</v>
      </c>
      <c r="F262" s="24" t="s">
        <v>288</v>
      </c>
      <c r="G262" s="24" t="s">
        <v>288</v>
      </c>
      <c r="H262" s="24" t="s">
        <v>288</v>
      </c>
      <c r="I262" s="24" t="s">
        <v>288</v>
      </c>
      <c r="J262" s="24" t="s">
        <v>288</v>
      </c>
      <c r="K262" s="18">
        <v>278267.5</v>
      </c>
      <c r="L262" s="19">
        <f>SUM(F262:K262)</f>
        <v>278267.5</v>
      </c>
      <c r="N262" s="262"/>
    </row>
    <row r="263" spans="1:14" ht="12.4"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4" customHeight="1" x14ac:dyDescent="0.2">
      <c r="A264" s="3" t="s">
        <v>533</v>
      </c>
      <c r="B264" s="6">
        <v>10</v>
      </c>
      <c r="C264" s="6">
        <v>11</v>
      </c>
      <c r="D264" s="2" t="s">
        <v>431</v>
      </c>
      <c r="E264" s="6">
        <v>5221</v>
      </c>
      <c r="F264" s="24" t="s">
        <v>288</v>
      </c>
      <c r="G264" s="24" t="s">
        <v>288</v>
      </c>
      <c r="H264" s="24" t="s">
        <v>288</v>
      </c>
      <c r="I264" s="24" t="s">
        <v>288</v>
      </c>
      <c r="J264" s="24" t="s">
        <v>288</v>
      </c>
      <c r="K264" s="18">
        <v>25000</v>
      </c>
      <c r="L264" s="19">
        <f>SUM(F264:K264)</f>
        <v>25000</v>
      </c>
      <c r="N264" s="262"/>
    </row>
    <row r="265" spans="1:14" ht="12.4"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2"/>
    </row>
    <row r="266" spans="1:14" ht="12.4"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2"/>
    </row>
    <row r="267" spans="1:14" ht="12.4" customHeight="1" x14ac:dyDescent="0.2">
      <c r="A267" s="3" t="s">
        <v>535</v>
      </c>
      <c r="B267" s="6">
        <v>10</v>
      </c>
      <c r="C267" s="6">
        <v>14</v>
      </c>
      <c r="D267" s="2" t="s">
        <v>431</v>
      </c>
      <c r="E267" s="6">
        <v>5250</v>
      </c>
      <c r="F267" s="24" t="s">
        <v>288</v>
      </c>
      <c r="G267" s="24" t="s">
        <v>288</v>
      </c>
      <c r="H267" s="24" t="s">
        <v>288</v>
      </c>
      <c r="I267" s="24" t="s">
        <v>288</v>
      </c>
      <c r="J267" s="24" t="s">
        <v>288</v>
      </c>
      <c r="K267" s="18">
        <v>250000</v>
      </c>
      <c r="L267" s="19">
        <f t="shared" si="9"/>
        <v>250000</v>
      </c>
      <c r="N267" s="262"/>
    </row>
    <row r="268" spans="1:14" ht="12.4"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4" customHeight="1" x14ac:dyDescent="0.2">
      <c r="A269" s="3" t="s">
        <v>536</v>
      </c>
      <c r="B269" s="6">
        <v>10</v>
      </c>
      <c r="C269" s="6">
        <v>15</v>
      </c>
      <c r="D269" s="2" t="s">
        <v>431</v>
      </c>
      <c r="E269" s="6">
        <v>5310</v>
      </c>
      <c r="F269" s="24" t="s">
        <v>288</v>
      </c>
      <c r="G269" s="24" t="s">
        <v>288</v>
      </c>
      <c r="H269" s="24" t="s">
        <v>288</v>
      </c>
      <c r="I269" s="24" t="s">
        <v>288</v>
      </c>
      <c r="J269" s="24" t="s">
        <v>288</v>
      </c>
      <c r="K269" s="18">
        <v>0</v>
      </c>
      <c r="L269" s="19">
        <f t="shared" si="9"/>
        <v>0</v>
      </c>
      <c r="N269" s="262"/>
    </row>
    <row r="270" spans="1:14" ht="12.4" customHeight="1" thickBot="1" x14ac:dyDescent="0.25">
      <c r="A270" s="3" t="s">
        <v>537</v>
      </c>
      <c r="B270" s="6">
        <v>10</v>
      </c>
      <c r="C270" s="6">
        <v>16</v>
      </c>
      <c r="D270" s="2" t="s">
        <v>431</v>
      </c>
      <c r="E270" s="6">
        <v>5390</v>
      </c>
      <c r="F270" s="24" t="s">
        <v>288</v>
      </c>
      <c r="G270" s="24" t="s">
        <v>288</v>
      </c>
      <c r="H270" s="24" t="s">
        <v>288</v>
      </c>
      <c r="I270" s="24" t="s">
        <v>288</v>
      </c>
      <c r="J270" s="24" t="s">
        <v>288</v>
      </c>
      <c r="K270" s="18">
        <v>0</v>
      </c>
      <c r="L270" s="19">
        <f t="shared" si="9"/>
        <v>0</v>
      </c>
      <c r="N270" s="262"/>
    </row>
    <row r="271" spans="1:14" s="3" customFormat="1" ht="12.4"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878267.5</v>
      </c>
      <c r="L271" s="41">
        <f t="shared" si="9"/>
        <v>878267.5</v>
      </c>
      <c r="M271" s="8"/>
      <c r="N271" s="264"/>
    </row>
    <row r="272" spans="1:14" s="34" customFormat="1" ht="12.4" customHeight="1" thickTop="1" x14ac:dyDescent="0.2">
      <c r="A272" s="43" t="s">
        <v>464</v>
      </c>
      <c r="B272" s="40">
        <v>10</v>
      </c>
      <c r="C272" s="40">
        <v>18</v>
      </c>
      <c r="D272" s="39" t="s">
        <v>431</v>
      </c>
      <c r="E272" s="40"/>
      <c r="F272" s="42">
        <f t="shared" ref="F272:L272" si="11">F258+F271</f>
        <v>6006305.8400000008</v>
      </c>
      <c r="G272" s="42">
        <f t="shared" si="11"/>
        <v>2613485.4900000002</v>
      </c>
      <c r="H272" s="42">
        <f t="shared" si="11"/>
        <v>1487993.75</v>
      </c>
      <c r="I272" s="42">
        <f t="shared" si="11"/>
        <v>432332.9</v>
      </c>
      <c r="J272" s="42">
        <f t="shared" si="11"/>
        <v>24256.479999999996</v>
      </c>
      <c r="K272" s="42">
        <f t="shared" si="11"/>
        <v>925658.96900000004</v>
      </c>
      <c r="L272" s="42">
        <f t="shared" si="11"/>
        <v>11490033.429000001</v>
      </c>
      <c r="M272" s="35"/>
      <c r="N272" s="264"/>
    </row>
    <row r="273" spans="1:14" s="3" customFormat="1" ht="12.4" customHeight="1" x14ac:dyDescent="0.2">
      <c r="A273" s="33"/>
      <c r="B273" s="6"/>
      <c r="C273" s="6"/>
      <c r="D273" s="6"/>
      <c r="E273" s="6"/>
      <c r="F273" s="20"/>
      <c r="G273" s="20"/>
      <c r="H273" s="20"/>
      <c r="I273" s="20"/>
      <c r="J273" s="20"/>
      <c r="K273" s="20"/>
      <c r="L273" s="20"/>
      <c r="M273" s="8"/>
      <c r="N273" s="264"/>
    </row>
    <row r="274" spans="1:14" s="3" customFormat="1" ht="12.4" customHeight="1" x14ac:dyDescent="0.15">
      <c r="A274" s="29" t="s">
        <v>466</v>
      </c>
      <c r="F274" s="177" t="s">
        <v>689</v>
      </c>
      <c r="G274" s="177" t="s">
        <v>690</v>
      </c>
      <c r="H274" s="177" t="s">
        <v>691</v>
      </c>
      <c r="I274" s="177" t="s">
        <v>692</v>
      </c>
      <c r="J274" s="177" t="s">
        <v>693</v>
      </c>
      <c r="K274" s="177" t="s">
        <v>694</v>
      </c>
      <c r="M274" s="8"/>
      <c r="N274" s="264"/>
    </row>
    <row r="275" spans="1:14" s="3" customFormat="1" ht="12.4"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4"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4" customHeight="1" x14ac:dyDescent="0.15">
      <c r="A277" s="1" t="s">
        <v>438</v>
      </c>
      <c r="B277" s="2" t="s">
        <v>357</v>
      </c>
      <c r="C277" s="2" t="s">
        <v>290</v>
      </c>
      <c r="D277" s="2" t="s">
        <v>431</v>
      </c>
      <c r="E277" s="6">
        <v>1100</v>
      </c>
      <c r="F277" s="18">
        <v>61321.51</v>
      </c>
      <c r="G277" s="18">
        <v>8782.14</v>
      </c>
      <c r="H277" s="18">
        <v>636</v>
      </c>
      <c r="I277" s="18">
        <v>1295.97</v>
      </c>
      <c r="J277" s="18">
        <v>32189.07</v>
      </c>
      <c r="K277" s="18">
        <v>0</v>
      </c>
      <c r="L277" s="19">
        <f>SUM(F277:K277)</f>
        <v>104224.69</v>
      </c>
      <c r="M277" s="8"/>
      <c r="N277" s="264"/>
    </row>
    <row r="278" spans="1:14" s="3" customFormat="1" ht="12.4" customHeight="1" x14ac:dyDescent="0.15">
      <c r="A278" s="1" t="s">
        <v>439</v>
      </c>
      <c r="B278" s="2" t="s">
        <v>357</v>
      </c>
      <c r="C278" s="2" t="s">
        <v>291</v>
      </c>
      <c r="D278" s="2" t="s">
        <v>431</v>
      </c>
      <c r="E278" s="6">
        <v>1200</v>
      </c>
      <c r="F278" s="18">
        <v>0</v>
      </c>
      <c r="G278" s="18">
        <v>0</v>
      </c>
      <c r="H278" s="18">
        <v>0</v>
      </c>
      <c r="I278" s="18">
        <v>2424.96</v>
      </c>
      <c r="J278" s="18">
        <v>6244.28</v>
      </c>
      <c r="K278" s="18">
        <v>0</v>
      </c>
      <c r="L278" s="19">
        <f>SUM(F278:K278)</f>
        <v>8669.24</v>
      </c>
      <c r="M278" s="8"/>
      <c r="N278" s="264"/>
    </row>
    <row r="279" spans="1:14" s="3" customFormat="1" ht="12.4"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4"/>
    </row>
    <row r="280" spans="1:14" s="3" customFormat="1" ht="12.4" customHeight="1" x14ac:dyDescent="0.15">
      <c r="A280" s="1" t="s">
        <v>441</v>
      </c>
      <c r="B280" s="2" t="s">
        <v>357</v>
      </c>
      <c r="C280" s="2" t="s">
        <v>293</v>
      </c>
      <c r="D280" s="2" t="s">
        <v>431</v>
      </c>
      <c r="E280" s="6">
        <v>1400</v>
      </c>
      <c r="F280" s="18">
        <v>0</v>
      </c>
      <c r="G280" s="18">
        <v>0</v>
      </c>
      <c r="H280" s="18">
        <v>0</v>
      </c>
      <c r="I280" s="18">
        <v>0</v>
      </c>
      <c r="J280" s="18">
        <v>0</v>
      </c>
      <c r="K280" s="18">
        <v>0</v>
      </c>
      <c r="L280" s="19">
        <f>SUM(F280:K280)</f>
        <v>0</v>
      </c>
      <c r="M280" s="8"/>
      <c r="N280" s="264"/>
    </row>
    <row r="281" spans="1:14" s="3" customFormat="1" ht="12.4"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4" customHeight="1" x14ac:dyDescent="0.15">
      <c r="A282" s="1" t="s">
        <v>442</v>
      </c>
      <c r="B282" s="2" t="s">
        <v>357</v>
      </c>
      <c r="C282" s="2" t="s">
        <v>294</v>
      </c>
      <c r="D282" s="2" t="s">
        <v>431</v>
      </c>
      <c r="E282" s="6">
        <v>2100</v>
      </c>
      <c r="F282" s="18">
        <v>0</v>
      </c>
      <c r="G282" s="18">
        <v>0</v>
      </c>
      <c r="H282" s="18">
        <v>101421.64</v>
      </c>
      <c r="I282" s="18">
        <v>0</v>
      </c>
      <c r="J282" s="18">
        <v>0</v>
      </c>
      <c r="K282" s="18">
        <v>0</v>
      </c>
      <c r="L282" s="19">
        <f t="shared" ref="L282:L288" si="12">SUM(F282:K282)</f>
        <v>101421.64</v>
      </c>
      <c r="M282" s="8"/>
      <c r="N282" s="264"/>
    </row>
    <row r="283" spans="1:14" s="3" customFormat="1" ht="12.4" customHeight="1" x14ac:dyDescent="0.15">
      <c r="A283" s="1" t="s">
        <v>443</v>
      </c>
      <c r="B283" s="2" t="s">
        <v>357</v>
      </c>
      <c r="C283" s="2" t="s">
        <v>295</v>
      </c>
      <c r="D283" s="2" t="s">
        <v>431</v>
      </c>
      <c r="E283" s="6">
        <v>2200</v>
      </c>
      <c r="F283" s="18">
        <v>1500</v>
      </c>
      <c r="G283" s="18">
        <v>512.49</v>
      </c>
      <c r="H283" s="18">
        <v>0</v>
      </c>
      <c r="I283" s="18">
        <v>3605</v>
      </c>
      <c r="J283" s="18">
        <v>0</v>
      </c>
      <c r="K283" s="18">
        <v>0</v>
      </c>
      <c r="L283" s="19">
        <f t="shared" si="12"/>
        <v>5617.49</v>
      </c>
      <c r="M283" s="8"/>
      <c r="N283" s="264"/>
    </row>
    <row r="284" spans="1:14" s="3" customFormat="1" ht="12.4" customHeight="1" x14ac:dyDescent="0.15">
      <c r="A284" s="1" t="s">
        <v>444</v>
      </c>
      <c r="B284" s="2" t="s">
        <v>357</v>
      </c>
      <c r="C284" s="2" t="s">
        <v>296</v>
      </c>
      <c r="D284" s="2" t="s">
        <v>431</v>
      </c>
      <c r="E284" s="6">
        <v>2300</v>
      </c>
      <c r="F284" s="18">
        <v>0</v>
      </c>
      <c r="G284" s="18">
        <v>0</v>
      </c>
      <c r="H284" s="18">
        <v>0</v>
      </c>
      <c r="I284" s="18">
        <v>0</v>
      </c>
      <c r="J284" s="18">
        <v>0</v>
      </c>
      <c r="K284" s="18">
        <v>0</v>
      </c>
      <c r="L284" s="19">
        <f t="shared" si="12"/>
        <v>0</v>
      </c>
      <c r="M284" s="8"/>
      <c r="N284" s="264"/>
    </row>
    <row r="285" spans="1:14" s="3" customFormat="1" ht="12.4"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4"/>
    </row>
    <row r="286" spans="1:14" s="3" customFormat="1" ht="12.4"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4"/>
    </row>
    <row r="287" spans="1:14" s="3" customFormat="1" ht="12.4" customHeight="1" x14ac:dyDescent="0.15">
      <c r="A287" s="1" t="s">
        <v>447</v>
      </c>
      <c r="B287" s="2" t="s">
        <v>357</v>
      </c>
      <c r="C287" s="2" t="s">
        <v>299</v>
      </c>
      <c r="D287" s="2" t="s">
        <v>431</v>
      </c>
      <c r="E287" s="6">
        <v>2600</v>
      </c>
      <c r="F287" s="18">
        <v>0</v>
      </c>
      <c r="G287" s="18">
        <v>0</v>
      </c>
      <c r="H287" s="18">
        <v>5711.03</v>
      </c>
      <c r="I287" s="18">
        <v>11338.52</v>
      </c>
      <c r="J287" s="18">
        <v>18671.439999999999</v>
      </c>
      <c r="K287" s="18">
        <v>0</v>
      </c>
      <c r="L287" s="19">
        <f t="shared" si="12"/>
        <v>35720.99</v>
      </c>
      <c r="M287" s="8"/>
      <c r="N287" s="264"/>
    </row>
    <row r="288" spans="1:14" s="3" customFormat="1" ht="12.4" customHeight="1" x14ac:dyDescent="0.15">
      <c r="A288" s="1" t="s">
        <v>448</v>
      </c>
      <c r="B288" s="2" t="s">
        <v>357</v>
      </c>
      <c r="C288" s="2" t="s">
        <v>300</v>
      </c>
      <c r="D288" s="2" t="s">
        <v>431</v>
      </c>
      <c r="E288" s="6">
        <v>2700</v>
      </c>
      <c r="F288" s="18">
        <v>0</v>
      </c>
      <c r="G288" s="18">
        <v>0</v>
      </c>
      <c r="H288" s="18">
        <v>0</v>
      </c>
      <c r="I288" s="18">
        <v>0</v>
      </c>
      <c r="J288" s="18">
        <v>0</v>
      </c>
      <c r="K288" s="18">
        <v>0</v>
      </c>
      <c r="L288" s="19">
        <f t="shared" si="12"/>
        <v>0</v>
      </c>
      <c r="M288" s="8"/>
      <c r="N288" s="264"/>
    </row>
    <row r="289" spans="1:14" s="3" customFormat="1" ht="12.4" customHeight="1" x14ac:dyDescent="0.15">
      <c r="A289" s="1" t="s">
        <v>449</v>
      </c>
      <c r="B289" s="2" t="s">
        <v>357</v>
      </c>
      <c r="C289" s="2" t="s">
        <v>343</v>
      </c>
      <c r="D289" s="2" t="s">
        <v>431</v>
      </c>
      <c r="E289" s="6">
        <v>2800</v>
      </c>
      <c r="F289" s="18">
        <v>0</v>
      </c>
      <c r="G289" s="18">
        <v>0</v>
      </c>
      <c r="H289" s="18">
        <v>0</v>
      </c>
      <c r="I289" s="18">
        <v>705</v>
      </c>
      <c r="J289" s="18">
        <v>24762.32</v>
      </c>
      <c r="K289" s="18">
        <v>0</v>
      </c>
      <c r="L289" s="19">
        <f>SUM(F289:K289)</f>
        <v>25467.32</v>
      </c>
      <c r="M289" s="8"/>
      <c r="N289" s="264"/>
    </row>
    <row r="290" spans="1:14" s="3" customFormat="1" ht="12.4"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4" customHeight="1" thickTop="1" x14ac:dyDescent="0.2">
      <c r="A291" s="38" t="s">
        <v>419</v>
      </c>
      <c r="B291" s="39" t="s">
        <v>357</v>
      </c>
      <c r="C291" s="39" t="s">
        <v>345</v>
      </c>
      <c r="D291" s="39" t="s">
        <v>431</v>
      </c>
      <c r="E291" s="39"/>
      <c r="F291" s="42">
        <f t="shared" ref="F291:L291" si="13">SUM(F277:F290)</f>
        <v>62821.51</v>
      </c>
      <c r="G291" s="42">
        <f t="shared" si="13"/>
        <v>9294.6299999999992</v>
      </c>
      <c r="H291" s="42">
        <f t="shared" si="13"/>
        <v>107768.67</v>
      </c>
      <c r="I291" s="42">
        <f t="shared" si="13"/>
        <v>19369.45</v>
      </c>
      <c r="J291" s="42">
        <f t="shared" si="13"/>
        <v>81867.109999999986</v>
      </c>
      <c r="K291" s="42">
        <f t="shared" si="13"/>
        <v>0</v>
      </c>
      <c r="L291" s="41">
        <f t="shared" si="13"/>
        <v>281121.37</v>
      </c>
      <c r="M291" s="8"/>
      <c r="N291" s="264"/>
    </row>
    <row r="292" spans="1:14" s="3" customFormat="1" ht="12.4" customHeight="1" x14ac:dyDescent="0.2">
      <c r="A292" s="70"/>
      <c r="B292" s="36"/>
      <c r="C292" s="36"/>
      <c r="D292" s="36"/>
      <c r="E292" s="36"/>
      <c r="F292" s="53"/>
      <c r="G292" s="53"/>
      <c r="H292" s="53"/>
      <c r="I292" s="53"/>
      <c r="J292" s="53"/>
      <c r="K292" s="53"/>
      <c r="L292" s="67"/>
      <c r="M292" s="8"/>
      <c r="N292" s="264"/>
    </row>
    <row r="293" spans="1:14" s="3" customFormat="1" ht="12.4"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4"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4"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4" customHeight="1" x14ac:dyDescent="0.15">
      <c r="A296" s="1" t="s">
        <v>438</v>
      </c>
      <c r="B296" s="2" t="s">
        <v>358</v>
      </c>
      <c r="C296" s="2" t="s">
        <v>290</v>
      </c>
      <c r="D296" s="2" t="s">
        <v>431</v>
      </c>
      <c r="E296" s="6">
        <v>1100</v>
      </c>
      <c r="F296" s="18">
        <v>5741.28</v>
      </c>
      <c r="G296" s="18">
        <v>426.69</v>
      </c>
      <c r="H296" s="18">
        <v>0</v>
      </c>
      <c r="I296" s="18">
        <v>0</v>
      </c>
      <c r="J296" s="18">
        <v>34849.480000000003</v>
      </c>
      <c r="K296" s="18">
        <v>0</v>
      </c>
      <c r="L296" s="19">
        <f>SUM(F296:K296)</f>
        <v>41017.450000000004</v>
      </c>
      <c r="M296" s="8"/>
      <c r="N296" s="264"/>
    </row>
    <row r="297" spans="1:14" s="3" customFormat="1" ht="12.4" customHeight="1" x14ac:dyDescent="0.15">
      <c r="A297" s="1" t="s">
        <v>439</v>
      </c>
      <c r="B297" s="2" t="s">
        <v>358</v>
      </c>
      <c r="C297" s="2" t="s">
        <v>291</v>
      </c>
      <c r="D297" s="2" t="s">
        <v>431</v>
      </c>
      <c r="E297" s="6">
        <v>1200</v>
      </c>
      <c r="F297" s="18">
        <v>0</v>
      </c>
      <c r="G297" s="18">
        <v>0</v>
      </c>
      <c r="H297" s="18">
        <v>0</v>
      </c>
      <c r="I297" s="18">
        <v>274.88</v>
      </c>
      <c r="J297" s="18">
        <v>0</v>
      </c>
      <c r="K297" s="18">
        <v>0</v>
      </c>
      <c r="L297" s="19">
        <f>SUM(F297:K297)</f>
        <v>274.88</v>
      </c>
      <c r="M297" s="8"/>
      <c r="N297" s="264"/>
    </row>
    <row r="298" spans="1:14" s="3" customFormat="1" ht="12.4"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4"/>
    </row>
    <row r="299" spans="1:14" s="3" customFormat="1" ht="12.4" customHeight="1" x14ac:dyDescent="0.15">
      <c r="A299" s="1" t="s">
        <v>441</v>
      </c>
      <c r="B299" s="2" t="s">
        <v>358</v>
      </c>
      <c r="C299" s="2" t="s">
        <v>293</v>
      </c>
      <c r="D299" s="2" t="s">
        <v>431</v>
      </c>
      <c r="E299" s="6">
        <v>1400</v>
      </c>
      <c r="F299" s="18">
        <v>0</v>
      </c>
      <c r="G299" s="18">
        <v>0</v>
      </c>
      <c r="H299" s="18">
        <v>0</v>
      </c>
      <c r="I299" s="18">
        <v>0</v>
      </c>
      <c r="J299" s="18">
        <v>0</v>
      </c>
      <c r="K299" s="18">
        <v>0</v>
      </c>
      <c r="L299" s="19">
        <f>SUM(F299:K299)</f>
        <v>0</v>
      </c>
      <c r="M299" s="8"/>
      <c r="N299" s="264"/>
    </row>
    <row r="300" spans="1:14" s="3" customFormat="1" ht="12.4"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4" customHeight="1" x14ac:dyDescent="0.15">
      <c r="A301" s="1" t="s">
        <v>442</v>
      </c>
      <c r="B301" s="2" t="s">
        <v>358</v>
      </c>
      <c r="C301" s="2" t="s">
        <v>294</v>
      </c>
      <c r="D301" s="2" t="s">
        <v>431</v>
      </c>
      <c r="E301" s="6">
        <v>2100</v>
      </c>
      <c r="F301" s="18">
        <v>0</v>
      </c>
      <c r="G301" s="18">
        <v>0</v>
      </c>
      <c r="H301" s="18">
        <v>16411.84</v>
      </c>
      <c r="I301" s="18">
        <v>0</v>
      </c>
      <c r="J301" s="18">
        <v>0</v>
      </c>
      <c r="K301" s="18">
        <v>0</v>
      </c>
      <c r="L301" s="19">
        <f t="shared" ref="L301:L307" si="14">SUM(F301:K301)</f>
        <v>16411.84</v>
      </c>
      <c r="M301" s="8"/>
      <c r="N301" s="264"/>
    </row>
    <row r="302" spans="1:14" s="3" customFormat="1" ht="12.4" customHeight="1" x14ac:dyDescent="0.15">
      <c r="A302" s="1" t="s">
        <v>443</v>
      </c>
      <c r="B302" s="2" t="s">
        <v>358</v>
      </c>
      <c r="C302" s="2" t="s">
        <v>295</v>
      </c>
      <c r="D302" s="2" t="s">
        <v>431</v>
      </c>
      <c r="E302" s="6">
        <v>2200</v>
      </c>
      <c r="F302" s="18">
        <v>0</v>
      </c>
      <c r="G302" s="18">
        <v>0</v>
      </c>
      <c r="H302" s="18">
        <v>0</v>
      </c>
      <c r="I302" s="18">
        <v>0</v>
      </c>
      <c r="J302" s="18">
        <v>0</v>
      </c>
      <c r="K302" s="18">
        <v>0</v>
      </c>
      <c r="L302" s="19">
        <f t="shared" si="14"/>
        <v>0</v>
      </c>
      <c r="M302" s="8"/>
      <c r="N302" s="264"/>
    </row>
    <row r="303" spans="1:14" s="3" customFormat="1" ht="12.4" customHeight="1" x14ac:dyDescent="0.15">
      <c r="A303" s="1" t="s">
        <v>444</v>
      </c>
      <c r="B303" s="2" t="s">
        <v>358</v>
      </c>
      <c r="C303" s="2" t="s">
        <v>296</v>
      </c>
      <c r="D303" s="2" t="s">
        <v>431</v>
      </c>
      <c r="E303" s="6">
        <v>2300</v>
      </c>
      <c r="F303" s="18">
        <v>0</v>
      </c>
      <c r="G303" s="18">
        <v>0</v>
      </c>
      <c r="H303" s="18">
        <v>0</v>
      </c>
      <c r="I303" s="18">
        <v>0</v>
      </c>
      <c r="J303" s="18">
        <v>0</v>
      </c>
      <c r="K303" s="18">
        <v>0</v>
      </c>
      <c r="L303" s="19">
        <f t="shared" si="14"/>
        <v>0</v>
      </c>
      <c r="M303" s="8"/>
      <c r="N303" s="264"/>
    </row>
    <row r="304" spans="1:14" s="3" customFormat="1" ht="12.4"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4"/>
    </row>
    <row r="305" spans="1:14" s="3" customFormat="1" ht="12.4"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4"/>
    </row>
    <row r="306" spans="1:14" s="3" customFormat="1" ht="12.4" customHeight="1" x14ac:dyDescent="0.15">
      <c r="A306" s="1" t="s">
        <v>447</v>
      </c>
      <c r="B306" s="2" t="s">
        <v>358</v>
      </c>
      <c r="C306" s="2" t="s">
        <v>299</v>
      </c>
      <c r="D306" s="2" t="s">
        <v>431</v>
      </c>
      <c r="E306" s="6">
        <v>2600</v>
      </c>
      <c r="F306" s="18">
        <v>0</v>
      </c>
      <c r="G306" s="18">
        <v>0</v>
      </c>
      <c r="H306" s="18">
        <v>4813.01</v>
      </c>
      <c r="I306" s="18">
        <v>5490.75</v>
      </c>
      <c r="J306" s="18">
        <v>5940.92</v>
      </c>
      <c r="K306" s="18">
        <v>0</v>
      </c>
      <c r="L306" s="19">
        <f t="shared" si="14"/>
        <v>16244.68</v>
      </c>
      <c r="M306" s="8"/>
      <c r="N306" s="264"/>
    </row>
    <row r="307" spans="1:14" s="3" customFormat="1" ht="12.4" customHeight="1" x14ac:dyDescent="0.15">
      <c r="A307" s="1" t="s">
        <v>448</v>
      </c>
      <c r="B307" s="2" t="s">
        <v>358</v>
      </c>
      <c r="C307" s="2" t="s">
        <v>300</v>
      </c>
      <c r="D307" s="2" t="s">
        <v>431</v>
      </c>
      <c r="E307" s="6">
        <v>2700</v>
      </c>
      <c r="F307" s="18">
        <v>0</v>
      </c>
      <c r="G307" s="18">
        <v>0</v>
      </c>
      <c r="H307" s="18">
        <v>4898.16</v>
      </c>
      <c r="I307" s="18">
        <v>0</v>
      </c>
      <c r="J307" s="18">
        <v>0</v>
      </c>
      <c r="K307" s="18">
        <v>0</v>
      </c>
      <c r="L307" s="19">
        <f t="shared" si="14"/>
        <v>4898.16</v>
      </c>
      <c r="M307" s="8"/>
      <c r="N307" s="264"/>
    </row>
    <row r="308" spans="1:14" s="3" customFormat="1" ht="12.4" customHeight="1" x14ac:dyDescent="0.15">
      <c r="A308" s="1" t="s">
        <v>449</v>
      </c>
      <c r="B308" s="2" t="s">
        <v>358</v>
      </c>
      <c r="C308" s="2" t="s">
        <v>343</v>
      </c>
      <c r="D308" s="2" t="s">
        <v>431</v>
      </c>
      <c r="E308" s="6">
        <v>2800</v>
      </c>
      <c r="F308" s="18">
        <v>0</v>
      </c>
      <c r="G308" s="18">
        <v>0</v>
      </c>
      <c r="H308" s="18">
        <v>0</v>
      </c>
      <c r="I308" s="18">
        <v>7611</v>
      </c>
      <c r="J308" s="18">
        <v>7920.44</v>
      </c>
      <c r="K308" s="18">
        <v>0</v>
      </c>
      <c r="L308" s="19">
        <f>SUM(F308:K308)</f>
        <v>15531.439999999999</v>
      </c>
      <c r="M308" s="8"/>
      <c r="N308" s="264"/>
    </row>
    <row r="309" spans="1:14" ht="12.4"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4" customHeight="1" thickTop="1" x14ac:dyDescent="0.2">
      <c r="A310" s="38" t="s">
        <v>459</v>
      </c>
      <c r="B310" s="39" t="s">
        <v>358</v>
      </c>
      <c r="C310" s="40">
        <v>14</v>
      </c>
      <c r="D310" s="39" t="s">
        <v>431</v>
      </c>
      <c r="E310" s="40"/>
      <c r="F310" s="42">
        <f t="shared" ref="F310:L310" si="15">SUM(F296:F309)</f>
        <v>5741.28</v>
      </c>
      <c r="G310" s="42">
        <f t="shared" si="15"/>
        <v>426.69</v>
      </c>
      <c r="H310" s="42">
        <f t="shared" si="15"/>
        <v>26123.01</v>
      </c>
      <c r="I310" s="42">
        <f t="shared" si="15"/>
        <v>13376.630000000001</v>
      </c>
      <c r="J310" s="42">
        <f t="shared" si="15"/>
        <v>48710.840000000004</v>
      </c>
      <c r="K310" s="42">
        <f t="shared" si="15"/>
        <v>0</v>
      </c>
      <c r="L310" s="41">
        <f t="shared" si="15"/>
        <v>94378.450000000012</v>
      </c>
      <c r="M310" s="8"/>
      <c r="N310" s="264"/>
    </row>
    <row r="311" spans="1:14" s="3" customFormat="1" ht="12.4" customHeight="1" x14ac:dyDescent="0.2">
      <c r="A311" s="70"/>
      <c r="B311" s="36"/>
      <c r="C311" s="37"/>
      <c r="D311" s="37"/>
      <c r="E311" s="37"/>
      <c r="F311" s="53"/>
      <c r="G311" s="53"/>
      <c r="H311" s="53"/>
      <c r="I311" s="53"/>
      <c r="J311" s="53"/>
      <c r="K311" s="53"/>
      <c r="L311" s="67"/>
      <c r="M311" s="8"/>
      <c r="N311" s="264"/>
    </row>
    <row r="312" spans="1:14" s="3" customFormat="1" ht="12.4"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4"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4"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4" customHeight="1" x14ac:dyDescent="0.15">
      <c r="A315" s="1" t="s">
        <v>438</v>
      </c>
      <c r="B315" s="2" t="s">
        <v>359</v>
      </c>
      <c r="C315" s="2" t="s">
        <v>290</v>
      </c>
      <c r="D315" s="2" t="s">
        <v>431</v>
      </c>
      <c r="E315" s="6">
        <v>1100</v>
      </c>
      <c r="F315" s="18">
        <v>6422</v>
      </c>
      <c r="G315" s="18">
        <v>439.21</v>
      </c>
      <c r="H315" s="18">
        <v>0</v>
      </c>
      <c r="I315" s="18">
        <v>0</v>
      </c>
      <c r="J315" s="18">
        <v>48929.82</v>
      </c>
      <c r="K315" s="18">
        <v>0</v>
      </c>
      <c r="L315" s="19">
        <f>SUM(F315:K315)</f>
        <v>55791.03</v>
      </c>
      <c r="M315" s="8"/>
      <c r="N315" s="264"/>
    </row>
    <row r="316" spans="1:14" s="3" customFormat="1" ht="12.4" customHeight="1" x14ac:dyDescent="0.15">
      <c r="A316" s="1" t="s">
        <v>439</v>
      </c>
      <c r="B316" s="2" t="s">
        <v>359</v>
      </c>
      <c r="C316" s="2" t="s">
        <v>291</v>
      </c>
      <c r="D316" s="2" t="s">
        <v>431</v>
      </c>
      <c r="E316" s="6">
        <v>1200</v>
      </c>
      <c r="F316" s="18">
        <v>0</v>
      </c>
      <c r="G316" s="18">
        <v>0</v>
      </c>
      <c r="H316" s="18">
        <v>0</v>
      </c>
      <c r="I316" s="18">
        <v>0</v>
      </c>
      <c r="J316" s="18">
        <v>15573.5</v>
      </c>
      <c r="K316" s="18">
        <v>0</v>
      </c>
      <c r="L316" s="19">
        <f>SUM(F316:K316)</f>
        <v>15573.5</v>
      </c>
      <c r="M316" s="8"/>
      <c r="N316" s="264"/>
    </row>
    <row r="317" spans="1:14" s="3" customFormat="1" ht="12.4" customHeight="1" x14ac:dyDescent="0.15">
      <c r="A317" s="1" t="s">
        <v>440</v>
      </c>
      <c r="B317" s="2" t="s">
        <v>359</v>
      </c>
      <c r="C317" s="2" t="s">
        <v>292</v>
      </c>
      <c r="D317" s="2" t="s">
        <v>431</v>
      </c>
      <c r="E317" s="6">
        <v>1300</v>
      </c>
      <c r="F317" s="18">
        <v>0</v>
      </c>
      <c r="G317" s="18">
        <v>0</v>
      </c>
      <c r="H317" s="18">
        <v>0</v>
      </c>
      <c r="I317" s="18">
        <v>0</v>
      </c>
      <c r="J317" s="18">
        <v>0</v>
      </c>
      <c r="K317" s="18">
        <v>0</v>
      </c>
      <c r="L317" s="19">
        <f>SUM(F317:K317)</f>
        <v>0</v>
      </c>
      <c r="M317" s="8"/>
      <c r="N317" s="264"/>
    </row>
    <row r="318" spans="1:14" s="3" customFormat="1" ht="12.4" customHeight="1" x14ac:dyDescent="0.15">
      <c r="A318" s="1" t="s">
        <v>441</v>
      </c>
      <c r="B318" s="2" t="s">
        <v>359</v>
      </c>
      <c r="C318" s="2" t="s">
        <v>293</v>
      </c>
      <c r="D318" s="2" t="s">
        <v>431</v>
      </c>
      <c r="E318" s="6">
        <v>1400</v>
      </c>
      <c r="F318" s="18">
        <v>0</v>
      </c>
      <c r="G318" s="18">
        <v>0</v>
      </c>
      <c r="H318" s="18">
        <v>0</v>
      </c>
      <c r="I318" s="18">
        <v>0</v>
      </c>
      <c r="J318" s="18">
        <v>0</v>
      </c>
      <c r="K318" s="18">
        <v>0</v>
      </c>
      <c r="L318" s="19">
        <f>SUM(F318:K318)</f>
        <v>0</v>
      </c>
      <c r="M318" s="8"/>
      <c r="N318" s="264"/>
    </row>
    <row r="319" spans="1:14" s="3" customFormat="1" ht="12.4"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4" customHeight="1" x14ac:dyDescent="0.15">
      <c r="A320" s="1" t="s">
        <v>442</v>
      </c>
      <c r="B320" s="2" t="s">
        <v>359</v>
      </c>
      <c r="C320" s="2" t="s">
        <v>294</v>
      </c>
      <c r="D320" s="2" t="s">
        <v>431</v>
      </c>
      <c r="E320" s="6">
        <v>2100</v>
      </c>
      <c r="F320" s="18">
        <v>0</v>
      </c>
      <c r="G320" s="18">
        <v>0</v>
      </c>
      <c r="H320" s="18">
        <v>64291.360000000001</v>
      </c>
      <c r="I320" s="18">
        <v>0</v>
      </c>
      <c r="J320" s="18">
        <v>0</v>
      </c>
      <c r="K320" s="18">
        <v>0</v>
      </c>
      <c r="L320" s="19">
        <f t="shared" ref="L320:L326" si="16">SUM(F320:K320)</f>
        <v>64291.360000000001</v>
      </c>
      <c r="M320" s="8"/>
      <c r="N320" s="264"/>
    </row>
    <row r="321" spans="1:14" s="3" customFormat="1" ht="12.4" customHeight="1" x14ac:dyDescent="0.15">
      <c r="A321" s="1" t="s">
        <v>443</v>
      </c>
      <c r="B321" s="2" t="s">
        <v>359</v>
      </c>
      <c r="C321" s="2" t="s">
        <v>295</v>
      </c>
      <c r="D321" s="2" t="s">
        <v>431</v>
      </c>
      <c r="E321" s="6">
        <v>2200</v>
      </c>
      <c r="F321" s="18">
        <v>0</v>
      </c>
      <c r="G321" s="18">
        <v>0</v>
      </c>
      <c r="H321" s="18">
        <v>0</v>
      </c>
      <c r="I321" s="18">
        <v>0</v>
      </c>
      <c r="J321" s="18">
        <v>0</v>
      </c>
      <c r="K321" s="18">
        <v>0</v>
      </c>
      <c r="L321" s="19">
        <f t="shared" si="16"/>
        <v>0</v>
      </c>
      <c r="M321" s="8"/>
      <c r="N321" s="264"/>
    </row>
    <row r="322" spans="1:14" s="3" customFormat="1" ht="12.4" customHeight="1" x14ac:dyDescent="0.15">
      <c r="A322" s="1" t="s">
        <v>444</v>
      </c>
      <c r="B322" s="2" t="s">
        <v>359</v>
      </c>
      <c r="C322" s="2" t="s">
        <v>296</v>
      </c>
      <c r="D322" s="2" t="s">
        <v>431</v>
      </c>
      <c r="E322" s="6">
        <v>2300</v>
      </c>
      <c r="F322" s="18">
        <v>0</v>
      </c>
      <c r="G322" s="18">
        <v>0</v>
      </c>
      <c r="H322" s="18">
        <v>0</v>
      </c>
      <c r="I322" s="18">
        <v>0</v>
      </c>
      <c r="J322" s="18">
        <v>0</v>
      </c>
      <c r="K322" s="18">
        <v>0</v>
      </c>
      <c r="L322" s="19">
        <f t="shared" si="16"/>
        <v>0</v>
      </c>
      <c r="M322" s="8"/>
      <c r="N322" s="264"/>
    </row>
    <row r="323" spans="1:14" s="3" customFormat="1" ht="12.4"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4"/>
    </row>
    <row r="324" spans="1:14" s="3" customFormat="1" ht="12.4"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4"/>
    </row>
    <row r="325" spans="1:14" s="3" customFormat="1" ht="12.4" customHeight="1" x14ac:dyDescent="0.15">
      <c r="A325" s="1" t="s">
        <v>447</v>
      </c>
      <c r="B325" s="2" t="s">
        <v>359</v>
      </c>
      <c r="C325" s="2" t="s">
        <v>299</v>
      </c>
      <c r="D325" s="2" t="s">
        <v>431</v>
      </c>
      <c r="E325" s="6">
        <v>2600</v>
      </c>
      <c r="F325" s="18">
        <v>0</v>
      </c>
      <c r="G325" s="18">
        <v>0</v>
      </c>
      <c r="H325" s="18">
        <v>5932.24</v>
      </c>
      <c r="I325" s="18">
        <v>6801.44</v>
      </c>
      <c r="J325" s="18">
        <v>7213.99</v>
      </c>
      <c r="K325" s="18">
        <v>0</v>
      </c>
      <c r="L325" s="19">
        <f t="shared" si="16"/>
        <v>19947.669999999998</v>
      </c>
      <c r="M325" s="8"/>
      <c r="N325" s="264"/>
    </row>
    <row r="326" spans="1:14" s="3" customFormat="1" ht="12.4" customHeight="1" x14ac:dyDescent="0.15">
      <c r="A326" s="1" t="s">
        <v>448</v>
      </c>
      <c r="B326" s="2" t="s">
        <v>359</v>
      </c>
      <c r="C326" s="2" t="s">
        <v>300</v>
      </c>
      <c r="D326" s="2" t="s">
        <v>431</v>
      </c>
      <c r="E326" s="6">
        <v>2700</v>
      </c>
      <c r="F326" s="18">
        <v>0</v>
      </c>
      <c r="G326" s="18">
        <v>0</v>
      </c>
      <c r="H326" s="18">
        <v>14694.34</v>
      </c>
      <c r="I326" s="18">
        <v>0</v>
      </c>
      <c r="J326" s="18">
        <v>0</v>
      </c>
      <c r="K326" s="18">
        <v>0</v>
      </c>
      <c r="L326" s="19">
        <f t="shared" si="16"/>
        <v>14694.34</v>
      </c>
      <c r="M326" s="8"/>
      <c r="N326" s="264"/>
    </row>
    <row r="327" spans="1:14" s="3" customFormat="1" ht="12.4" customHeight="1" x14ac:dyDescent="0.15">
      <c r="A327" s="1" t="s">
        <v>449</v>
      </c>
      <c r="B327" s="2" t="s">
        <v>359</v>
      </c>
      <c r="C327" s="2" t="s">
        <v>343</v>
      </c>
      <c r="D327" s="2" t="s">
        <v>431</v>
      </c>
      <c r="E327" s="6">
        <v>2800</v>
      </c>
      <c r="F327" s="18">
        <v>0</v>
      </c>
      <c r="G327" s="18">
        <v>0</v>
      </c>
      <c r="H327" s="18">
        <v>0</v>
      </c>
      <c r="I327" s="18">
        <v>1251</v>
      </c>
      <c r="J327" s="18">
        <v>7201.49</v>
      </c>
      <c r="K327" s="18">
        <v>0</v>
      </c>
      <c r="L327" s="19">
        <f>SUM(F327:K327)</f>
        <v>8452.49</v>
      </c>
      <c r="M327" s="8"/>
      <c r="N327" s="264"/>
    </row>
    <row r="328" spans="1:14" s="3" customFormat="1" ht="12.4"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4" customHeight="1" thickTop="1" x14ac:dyDescent="0.2">
      <c r="A329" s="38" t="s">
        <v>681</v>
      </c>
      <c r="B329" s="39" t="s">
        <v>359</v>
      </c>
      <c r="C329" s="40">
        <v>14</v>
      </c>
      <c r="D329" s="39" t="s">
        <v>431</v>
      </c>
      <c r="E329" s="40"/>
      <c r="F329" s="42">
        <f t="shared" ref="F329:L329" si="17">SUM(F315:F328)</f>
        <v>6422</v>
      </c>
      <c r="G329" s="42">
        <f t="shared" si="17"/>
        <v>439.21</v>
      </c>
      <c r="H329" s="42">
        <f t="shared" si="17"/>
        <v>84917.94</v>
      </c>
      <c r="I329" s="42">
        <f t="shared" si="17"/>
        <v>8052.44</v>
      </c>
      <c r="J329" s="42">
        <f t="shared" si="17"/>
        <v>78918.8</v>
      </c>
      <c r="K329" s="42">
        <f t="shared" si="17"/>
        <v>0</v>
      </c>
      <c r="L329" s="41">
        <f t="shared" si="17"/>
        <v>178750.38999999998</v>
      </c>
      <c r="M329" s="8"/>
      <c r="N329" s="264"/>
    </row>
    <row r="330" spans="1:14" s="3" customFormat="1" ht="12.4" customHeight="1" x14ac:dyDescent="0.2">
      <c r="A330" s="70"/>
      <c r="B330" s="36"/>
      <c r="C330" s="37"/>
      <c r="D330" s="37"/>
      <c r="E330" s="37"/>
      <c r="F330" s="53"/>
      <c r="G330" s="53"/>
      <c r="H330" s="53"/>
      <c r="I330" s="53"/>
      <c r="J330" s="53"/>
      <c r="K330" s="53"/>
      <c r="L330" s="67"/>
      <c r="M330" s="8"/>
      <c r="N330" s="264"/>
    </row>
    <row r="331" spans="1:14" s="3" customFormat="1" ht="12.4"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4"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4" customHeight="1" x14ac:dyDescent="0.15">
      <c r="A333" s="1" t="s">
        <v>656</v>
      </c>
      <c r="B333" s="6">
        <v>14</v>
      </c>
      <c r="C333" s="2" t="s">
        <v>289</v>
      </c>
      <c r="D333" s="2" t="s">
        <v>431</v>
      </c>
      <c r="E333" s="6">
        <v>1500</v>
      </c>
      <c r="F333" s="18">
        <v>0</v>
      </c>
      <c r="G333" s="18">
        <v>0</v>
      </c>
      <c r="H333" s="18">
        <v>0</v>
      </c>
      <c r="I333" s="18">
        <v>0</v>
      </c>
      <c r="J333" s="18">
        <v>0</v>
      </c>
      <c r="K333" s="18">
        <v>0</v>
      </c>
      <c r="L333" s="19">
        <f t="shared" ref="L333:L338" si="18">SUM(F333:K333)</f>
        <v>0</v>
      </c>
      <c r="M333" s="8"/>
      <c r="N333" s="264"/>
    </row>
    <row r="334" spans="1:14" s="3" customFormat="1" ht="12.4" customHeight="1" x14ac:dyDescent="0.15">
      <c r="A334" s="1" t="s">
        <v>353</v>
      </c>
      <c r="B334" s="6">
        <v>14</v>
      </c>
      <c r="C334" s="2" t="s">
        <v>309</v>
      </c>
      <c r="D334" s="2" t="s">
        <v>431</v>
      </c>
      <c r="E334" s="6">
        <v>1600</v>
      </c>
      <c r="F334" s="18">
        <v>0</v>
      </c>
      <c r="G334" s="18">
        <v>0</v>
      </c>
      <c r="H334" s="18">
        <v>0</v>
      </c>
      <c r="I334" s="18">
        <v>0</v>
      </c>
      <c r="J334" s="18">
        <v>0</v>
      </c>
      <c r="K334" s="18">
        <v>0</v>
      </c>
      <c r="L334" s="19">
        <f t="shared" si="18"/>
        <v>0</v>
      </c>
      <c r="M334" s="8"/>
      <c r="N334" s="264"/>
    </row>
    <row r="335" spans="1:14" s="3" customFormat="1" ht="12.4" customHeight="1" x14ac:dyDescent="0.15">
      <c r="A335" s="1" t="s">
        <v>582</v>
      </c>
      <c r="B335" s="6">
        <v>14</v>
      </c>
      <c r="C335" s="2" t="s">
        <v>315</v>
      </c>
      <c r="D335" s="2" t="s">
        <v>431</v>
      </c>
      <c r="E335" s="6">
        <v>1700</v>
      </c>
      <c r="F335" s="18">
        <v>0</v>
      </c>
      <c r="G335" s="18">
        <v>0</v>
      </c>
      <c r="H335" s="18">
        <v>0</v>
      </c>
      <c r="I335" s="18">
        <v>0</v>
      </c>
      <c r="J335" s="18">
        <v>0</v>
      </c>
      <c r="K335" s="18">
        <v>0</v>
      </c>
      <c r="L335" s="19">
        <f t="shared" si="18"/>
        <v>0</v>
      </c>
      <c r="M335" s="8"/>
      <c r="N335" s="264"/>
    </row>
    <row r="336" spans="1:14" s="3" customFormat="1" ht="12.4" customHeight="1" x14ac:dyDescent="0.15">
      <c r="A336" s="1" t="s">
        <v>583</v>
      </c>
      <c r="B336" s="6">
        <v>14</v>
      </c>
      <c r="C336" s="2" t="s">
        <v>321</v>
      </c>
      <c r="D336" s="2" t="s">
        <v>431</v>
      </c>
      <c r="E336" s="6">
        <v>1800</v>
      </c>
      <c r="F336" s="18">
        <v>0</v>
      </c>
      <c r="G336" s="18">
        <v>0</v>
      </c>
      <c r="H336" s="18">
        <v>0</v>
      </c>
      <c r="I336" s="18">
        <v>0</v>
      </c>
      <c r="J336" s="18">
        <v>0</v>
      </c>
      <c r="K336" s="18">
        <v>0</v>
      </c>
      <c r="L336" s="19">
        <f t="shared" si="18"/>
        <v>0</v>
      </c>
      <c r="M336" s="8"/>
      <c r="N336" s="264"/>
    </row>
    <row r="337" spans="1:43" s="3" customFormat="1" ht="12.4" customHeight="1" thickBot="1" x14ac:dyDescent="0.2">
      <c r="A337" s="1" t="s">
        <v>584</v>
      </c>
      <c r="B337" s="6">
        <v>14</v>
      </c>
      <c r="C337" s="37">
        <v>5</v>
      </c>
      <c r="D337" s="2" t="s">
        <v>431</v>
      </c>
      <c r="E337" s="6">
        <v>4000</v>
      </c>
      <c r="F337" s="18">
        <v>0</v>
      </c>
      <c r="G337" s="18">
        <v>0</v>
      </c>
      <c r="H337" s="18">
        <v>0</v>
      </c>
      <c r="I337" s="18">
        <v>0</v>
      </c>
      <c r="J337" s="18">
        <v>0</v>
      </c>
      <c r="K337" s="18">
        <v>0</v>
      </c>
      <c r="L337" s="19">
        <f t="shared" si="18"/>
        <v>0</v>
      </c>
      <c r="M337" s="8"/>
      <c r="N337" s="264"/>
    </row>
    <row r="338" spans="1:43" s="3" customFormat="1" ht="12.4"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4" customHeight="1" thickTop="1" x14ac:dyDescent="0.15">
      <c r="A339" s="38" t="s">
        <v>468</v>
      </c>
      <c r="B339" s="40">
        <v>14</v>
      </c>
      <c r="C339" s="40">
        <v>7</v>
      </c>
      <c r="D339" s="39" t="s">
        <v>431</v>
      </c>
      <c r="E339" s="40"/>
      <c r="F339" s="41">
        <f t="shared" ref="F339:L339" si="20">F291+F310+F329+F338</f>
        <v>74984.790000000008</v>
      </c>
      <c r="G339" s="41">
        <f t="shared" si="20"/>
        <v>10160.529999999999</v>
      </c>
      <c r="H339" s="41">
        <f t="shared" si="20"/>
        <v>218809.62</v>
      </c>
      <c r="I339" s="41">
        <f t="shared" si="20"/>
        <v>40798.520000000004</v>
      </c>
      <c r="J339" s="41">
        <f t="shared" si="20"/>
        <v>209496.75</v>
      </c>
      <c r="K339" s="41">
        <f t="shared" si="20"/>
        <v>0</v>
      </c>
      <c r="L339" s="41">
        <f t="shared" si="20"/>
        <v>554250.21</v>
      </c>
      <c r="M339" s="8"/>
      <c r="N339" s="264"/>
    </row>
    <row r="340" spans="1:43" s="3" customFormat="1" ht="12.4" customHeight="1" x14ac:dyDescent="0.15">
      <c r="A340" s="29" t="s">
        <v>354</v>
      </c>
      <c r="F340" s="18"/>
      <c r="G340" s="18"/>
      <c r="H340" s="18"/>
      <c r="I340" s="18"/>
      <c r="J340" s="18"/>
      <c r="K340" s="18"/>
      <c r="L340" s="19"/>
      <c r="M340" s="8"/>
      <c r="N340" s="264"/>
    </row>
    <row r="341" spans="1:43" s="3" customFormat="1" ht="12.4"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4"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4"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4"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4"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4"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4"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4"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4"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4"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4"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4"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4" customHeight="1" thickTop="1" x14ac:dyDescent="0.15">
      <c r="A353" s="38" t="s">
        <v>469</v>
      </c>
      <c r="B353" s="40">
        <v>14</v>
      </c>
      <c r="C353" s="40">
        <v>17</v>
      </c>
      <c r="D353" s="39" t="s">
        <v>431</v>
      </c>
      <c r="E353" s="40"/>
      <c r="F353" s="41">
        <f>F339</f>
        <v>74984.790000000008</v>
      </c>
      <c r="G353" s="41">
        <f>G339</f>
        <v>10160.529999999999</v>
      </c>
      <c r="H353" s="41">
        <f>H339</f>
        <v>218809.62</v>
      </c>
      <c r="I353" s="41">
        <f>I339</f>
        <v>40798.520000000004</v>
      </c>
      <c r="J353" s="41">
        <f>J339</f>
        <v>209496.75</v>
      </c>
      <c r="K353" s="47">
        <f>K339+K352</f>
        <v>0</v>
      </c>
      <c r="L353" s="41">
        <f>L339+L352</f>
        <v>554250.21</v>
      </c>
      <c r="M353" s="8"/>
      <c r="N353" s="264"/>
    </row>
    <row r="354" spans="1:22" s="3" customFormat="1" ht="12.4" customHeight="1" x14ac:dyDescent="0.15">
      <c r="A354" s="70"/>
      <c r="B354" s="37"/>
      <c r="C354" s="23"/>
      <c r="D354" s="23"/>
      <c r="E354" s="23"/>
      <c r="F354" s="67"/>
      <c r="G354" s="67"/>
      <c r="H354" s="67"/>
      <c r="I354" s="67"/>
      <c r="J354" s="67"/>
      <c r="K354" s="56"/>
      <c r="L354" s="67"/>
      <c r="M354" s="8"/>
      <c r="N354" s="264"/>
    </row>
    <row r="355" spans="1:22" s="3" customFormat="1" ht="12.4"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4"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4"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4"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4" customHeight="1" x14ac:dyDescent="0.15">
      <c r="A359" s="3" t="s">
        <v>541</v>
      </c>
      <c r="B359" s="2" t="s">
        <v>366</v>
      </c>
      <c r="C359" s="6">
        <v>1</v>
      </c>
      <c r="D359" s="2" t="s">
        <v>431</v>
      </c>
      <c r="E359" s="6"/>
      <c r="F359" s="18">
        <v>24974.59</v>
      </c>
      <c r="G359" s="18">
        <v>5863.76</v>
      </c>
      <c r="H359" s="18">
        <v>1583.85</v>
      </c>
      <c r="I359" s="18">
        <v>26544.7</v>
      </c>
      <c r="J359" s="18">
        <v>0</v>
      </c>
      <c r="K359" s="18">
        <v>294</v>
      </c>
      <c r="L359" s="13">
        <f>SUM(F359:K359)</f>
        <v>59260.899999999994</v>
      </c>
      <c r="M359" s="8"/>
      <c r="N359" s="264"/>
    </row>
    <row r="360" spans="1:22" s="3" customFormat="1" ht="12.4" customHeight="1" x14ac:dyDescent="0.15">
      <c r="A360" s="1" t="s">
        <v>542</v>
      </c>
      <c r="B360" s="2" t="s">
        <v>366</v>
      </c>
      <c r="C360" s="6">
        <v>2</v>
      </c>
      <c r="D360" s="2" t="s">
        <v>431</v>
      </c>
      <c r="E360" s="6"/>
      <c r="F360" s="18">
        <v>27793.13</v>
      </c>
      <c r="G360" s="18">
        <v>5021.2</v>
      </c>
      <c r="H360" s="18">
        <v>2605.52</v>
      </c>
      <c r="I360" s="18">
        <v>20024.509999999998</v>
      </c>
      <c r="J360" s="18">
        <v>3619.87</v>
      </c>
      <c r="K360" s="18">
        <v>273</v>
      </c>
      <c r="L360" s="19">
        <f>SUM(F360:K360)</f>
        <v>59337.23</v>
      </c>
      <c r="M360" s="8"/>
      <c r="N360" s="264"/>
    </row>
    <row r="361" spans="1:22" s="3" customFormat="1" ht="12.4" customHeight="1" x14ac:dyDescent="0.15">
      <c r="A361" s="3" t="s">
        <v>543</v>
      </c>
      <c r="B361" s="2" t="s">
        <v>366</v>
      </c>
      <c r="C361" s="6">
        <v>3</v>
      </c>
      <c r="D361" s="2" t="s">
        <v>431</v>
      </c>
      <c r="E361" s="6"/>
      <c r="F361" s="18">
        <v>27514.46</v>
      </c>
      <c r="G361" s="18">
        <v>4991.3</v>
      </c>
      <c r="H361" s="18">
        <v>6015.22</v>
      </c>
      <c r="I361" s="18">
        <v>20084.080000000002</v>
      </c>
      <c r="J361" s="18">
        <v>3619.87</v>
      </c>
      <c r="K361" s="18">
        <v>273</v>
      </c>
      <c r="L361" s="19">
        <f>SUM(F361:K361)</f>
        <v>62497.93</v>
      </c>
      <c r="M361" s="8"/>
      <c r="N361" s="264"/>
    </row>
    <row r="362" spans="1:22" s="3" customFormat="1" ht="12.4"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4" customHeight="1" thickTop="1" x14ac:dyDescent="0.15">
      <c r="A363" s="46" t="s">
        <v>469</v>
      </c>
      <c r="B363" s="39" t="s">
        <v>366</v>
      </c>
      <c r="C363" s="40">
        <v>5</v>
      </c>
      <c r="D363" s="39" t="s">
        <v>431</v>
      </c>
      <c r="E363" s="40"/>
      <c r="F363" s="47">
        <f t="shared" ref="F363:L363" si="22">SUM(F359:F362)</f>
        <v>80282.179999999993</v>
      </c>
      <c r="G363" s="47">
        <f t="shared" si="22"/>
        <v>15876.259999999998</v>
      </c>
      <c r="H363" s="47">
        <f t="shared" si="22"/>
        <v>10204.59</v>
      </c>
      <c r="I363" s="47">
        <f t="shared" si="22"/>
        <v>66653.290000000008</v>
      </c>
      <c r="J363" s="47">
        <f t="shared" si="22"/>
        <v>7239.74</v>
      </c>
      <c r="K363" s="47">
        <f t="shared" si="22"/>
        <v>840</v>
      </c>
      <c r="L363" s="47">
        <f t="shared" si="22"/>
        <v>181096.06</v>
      </c>
      <c r="M363" s="8"/>
      <c r="N363" s="264"/>
    </row>
    <row r="364" spans="1:22" s="3" customFormat="1" ht="12.4" customHeight="1" x14ac:dyDescent="0.15">
      <c r="A364" s="55"/>
      <c r="B364" s="36"/>
      <c r="C364" s="37"/>
      <c r="D364" s="37"/>
      <c r="E364" s="37"/>
      <c r="F364" s="56"/>
      <c r="G364" s="56"/>
      <c r="H364" s="56"/>
      <c r="I364" s="56"/>
      <c r="J364" s="56"/>
      <c r="K364" s="56"/>
      <c r="L364" s="56"/>
      <c r="M364" s="8"/>
      <c r="N364" s="264"/>
    </row>
    <row r="365" spans="1:22" s="3" customFormat="1" ht="12.4" customHeight="1" x14ac:dyDescent="0.15">
      <c r="A365" s="55" t="s">
        <v>369</v>
      </c>
      <c r="B365" s="36"/>
      <c r="C365" s="37"/>
      <c r="D365" s="37"/>
      <c r="E365" s="37"/>
      <c r="F365" s="56"/>
      <c r="G365" s="56"/>
      <c r="H365" s="56"/>
      <c r="I365" s="56"/>
      <c r="J365" s="56"/>
      <c r="K365" s="56"/>
      <c r="L365" s="56"/>
      <c r="M365" s="8"/>
      <c r="N365" s="264"/>
    </row>
    <row r="366" spans="1:22" s="3" customFormat="1" ht="12.4"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4"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4" customHeight="1" x14ac:dyDescent="0.15">
      <c r="A368" s="58" t="s">
        <v>371</v>
      </c>
      <c r="B368" s="2" t="s">
        <v>366</v>
      </c>
      <c r="C368" s="2" t="s">
        <v>295</v>
      </c>
      <c r="D368" s="2" t="s">
        <v>432</v>
      </c>
      <c r="E368" s="2"/>
      <c r="F368" s="18">
        <v>24346.15</v>
      </c>
      <c r="G368" s="18">
        <v>18523.97</v>
      </c>
      <c r="H368" s="18">
        <v>18608.21</v>
      </c>
      <c r="I368" s="56">
        <f>SUM(F368:H368)</f>
        <v>61478.33</v>
      </c>
      <c r="J368" s="24" t="s">
        <v>288</v>
      </c>
      <c r="K368" s="24" t="s">
        <v>288</v>
      </c>
      <c r="L368" s="24" t="s">
        <v>288</v>
      </c>
      <c r="M368" s="8"/>
      <c r="N368" s="264"/>
    </row>
    <row r="369" spans="1:14" s="3" customFormat="1" ht="12.4" customHeight="1" thickBot="1" x14ac:dyDescent="0.2">
      <c r="A369" s="61" t="s">
        <v>372</v>
      </c>
      <c r="B369" s="62" t="s">
        <v>366</v>
      </c>
      <c r="C369" s="62" t="s">
        <v>296</v>
      </c>
      <c r="D369" s="2" t="s">
        <v>432</v>
      </c>
      <c r="E369" s="62"/>
      <c r="F369" s="63">
        <v>2198.5500000000002</v>
      </c>
      <c r="G369" s="63">
        <v>1500.54</v>
      </c>
      <c r="H369" s="63">
        <v>1475.87</v>
      </c>
      <c r="I369" s="56">
        <f>SUM(F369:H369)</f>
        <v>5174.96</v>
      </c>
      <c r="J369" s="24" t="s">
        <v>288</v>
      </c>
      <c r="K369" s="24" t="s">
        <v>288</v>
      </c>
      <c r="L369" s="24" t="s">
        <v>288</v>
      </c>
      <c r="M369" s="8"/>
      <c r="N369" s="264"/>
    </row>
    <row r="370" spans="1:14" s="3" customFormat="1" ht="12.4" customHeight="1" thickTop="1" x14ac:dyDescent="0.15">
      <c r="A370" s="34" t="s">
        <v>340</v>
      </c>
      <c r="B370" s="2" t="s">
        <v>366</v>
      </c>
      <c r="C370" s="2" t="s">
        <v>297</v>
      </c>
      <c r="D370" s="39" t="s">
        <v>432</v>
      </c>
      <c r="E370" s="2"/>
      <c r="F370" s="47">
        <f>SUM(F368:F369)</f>
        <v>26544.7</v>
      </c>
      <c r="G370" s="47">
        <f>SUM(G368:G369)</f>
        <v>20024.510000000002</v>
      </c>
      <c r="H370" s="47">
        <f>SUM(H368:H369)</f>
        <v>20084.079999999998</v>
      </c>
      <c r="I370" s="47">
        <f>SUM(I368:I369)</f>
        <v>66653.290000000008</v>
      </c>
      <c r="J370" s="24" t="s">
        <v>288</v>
      </c>
      <c r="K370" s="24" t="s">
        <v>288</v>
      </c>
      <c r="L370" s="24" t="s">
        <v>288</v>
      </c>
      <c r="M370" s="8"/>
      <c r="N370" s="264"/>
    </row>
    <row r="371" spans="1:14" s="3" customFormat="1" ht="12.4" customHeight="1" x14ac:dyDescent="0.15">
      <c r="A371" s="34"/>
      <c r="B371" s="2"/>
      <c r="C371" s="2"/>
      <c r="D371" s="2"/>
      <c r="E371" s="2"/>
      <c r="F371" s="64"/>
      <c r="G371" s="64"/>
      <c r="H371" s="64"/>
      <c r="I371" s="56"/>
      <c r="J371" s="56"/>
      <c r="K371" s="56"/>
      <c r="L371" s="56"/>
      <c r="M371" s="8"/>
      <c r="N371" s="264"/>
    </row>
    <row r="372" spans="1:14" s="3" customFormat="1" ht="12.4"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4"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4"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4"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264"/>
    </row>
    <row r="376" spans="1:14" s="3" customFormat="1" ht="12.4"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264"/>
    </row>
    <row r="377" spans="1:14" s="3" customFormat="1" ht="12.4"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264"/>
    </row>
    <row r="378" spans="1:14" s="3" customFormat="1" ht="12.4"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264"/>
    </row>
    <row r="379" spans="1:14" s="3" customFormat="1" ht="12.4"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264"/>
    </row>
    <row r="380" spans="1:14" s="3" customFormat="1" ht="12.4"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264"/>
    </row>
    <row r="381" spans="1:14" s="3" customFormat="1" ht="12.4"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264"/>
    </row>
    <row r="382" spans="1:14" s="3" customFormat="1" ht="12.4" customHeight="1" thickBot="1" x14ac:dyDescent="0.2">
      <c r="A382" s="1" t="s">
        <v>368</v>
      </c>
      <c r="B382" s="2" t="s">
        <v>366</v>
      </c>
      <c r="C382" s="2" t="s">
        <v>348</v>
      </c>
      <c r="D382" s="2" t="s">
        <v>431</v>
      </c>
      <c r="E382" s="6">
        <v>5200</v>
      </c>
      <c r="F382" s="24" t="s">
        <v>288</v>
      </c>
      <c r="G382" s="24" t="s">
        <v>288</v>
      </c>
      <c r="H382" s="24" t="s">
        <v>288</v>
      </c>
      <c r="I382" s="24" t="s">
        <v>288</v>
      </c>
      <c r="J382" s="24" t="s">
        <v>288</v>
      </c>
      <c r="K382" s="18">
        <v>0</v>
      </c>
      <c r="L382" s="13">
        <f t="shared" si="23"/>
        <v>0</v>
      </c>
      <c r="M382" s="8"/>
      <c r="N382" s="264"/>
    </row>
    <row r="383" spans="1:14" s="3" customFormat="1" ht="12.4"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4" customHeight="1" x14ac:dyDescent="0.15">
      <c r="A384" s="29"/>
      <c r="B384" s="2"/>
      <c r="C384" s="2"/>
      <c r="D384" s="2"/>
      <c r="E384" s="2"/>
      <c r="F384" s="66"/>
      <c r="G384" s="66"/>
      <c r="H384" s="66"/>
      <c r="I384" s="67"/>
      <c r="J384" s="56"/>
      <c r="K384" s="56"/>
      <c r="L384" s="56"/>
      <c r="M384" s="8"/>
      <c r="N384" s="264"/>
    </row>
    <row r="385" spans="1:14" s="3" customFormat="1" ht="12.4" customHeight="1" x14ac:dyDescent="0.15">
      <c r="A385" s="26" t="s">
        <v>482</v>
      </c>
      <c r="B385" s="76"/>
      <c r="C385" s="76"/>
      <c r="D385" s="76"/>
      <c r="E385" s="76"/>
      <c r="F385" s="66"/>
      <c r="G385" s="66"/>
      <c r="H385" s="66"/>
      <c r="I385" s="67"/>
      <c r="J385" s="56"/>
      <c r="K385" s="56"/>
      <c r="L385" s="56"/>
      <c r="M385" s="8"/>
      <c r="N385" s="264"/>
    </row>
    <row r="386" spans="1:14" s="3" customFormat="1" ht="12.4"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4"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4" customHeight="1" x14ac:dyDescent="0.15">
      <c r="A388" s="79" t="s">
        <v>550</v>
      </c>
      <c r="B388" s="2" t="s">
        <v>381</v>
      </c>
      <c r="C388" s="6">
        <v>1</v>
      </c>
      <c r="D388" s="2" t="s">
        <v>432</v>
      </c>
      <c r="F388" s="18">
        <v>0</v>
      </c>
      <c r="G388" s="18">
        <v>0</v>
      </c>
      <c r="H388" s="18">
        <v>0</v>
      </c>
      <c r="I388" s="18">
        <v>0</v>
      </c>
      <c r="J388" s="24" t="s">
        <v>288</v>
      </c>
      <c r="K388" s="24" t="s">
        <v>288</v>
      </c>
      <c r="L388" s="56">
        <f t="shared" ref="L388:L393" si="25">SUM(F388:K388)</f>
        <v>0</v>
      </c>
      <c r="M388" s="8"/>
      <c r="N388" s="264"/>
    </row>
    <row r="389" spans="1:14" s="3" customFormat="1" ht="12.4" customHeight="1" x14ac:dyDescent="0.15">
      <c r="A389" s="79" t="s">
        <v>551</v>
      </c>
      <c r="B389" s="2" t="s">
        <v>381</v>
      </c>
      <c r="C389" s="6">
        <v>2</v>
      </c>
      <c r="D389" s="2" t="s">
        <v>432</v>
      </c>
      <c r="E389" s="6"/>
      <c r="F389" s="18">
        <v>0</v>
      </c>
      <c r="G389" s="18">
        <v>0</v>
      </c>
      <c r="H389" s="18">
        <v>0</v>
      </c>
      <c r="I389" s="18">
        <v>0</v>
      </c>
      <c r="J389" s="24" t="s">
        <v>288</v>
      </c>
      <c r="K389" s="24" t="s">
        <v>288</v>
      </c>
      <c r="L389" s="56">
        <f t="shared" si="25"/>
        <v>0</v>
      </c>
      <c r="M389" s="8"/>
      <c r="N389" s="264"/>
    </row>
    <row r="390" spans="1:14" s="3" customFormat="1" ht="12.4" customHeight="1" x14ac:dyDescent="0.15">
      <c r="A390" s="79" t="s">
        <v>552</v>
      </c>
      <c r="B390" s="2" t="s">
        <v>381</v>
      </c>
      <c r="C390" s="6">
        <v>3</v>
      </c>
      <c r="D390" s="2" t="s">
        <v>432</v>
      </c>
      <c r="E390" s="6"/>
      <c r="F390" s="18">
        <v>0</v>
      </c>
      <c r="G390" s="18">
        <v>0</v>
      </c>
      <c r="H390" s="18">
        <v>0</v>
      </c>
      <c r="I390" s="18">
        <v>0</v>
      </c>
      <c r="J390" s="24" t="s">
        <v>288</v>
      </c>
      <c r="K390" s="24" t="s">
        <v>288</v>
      </c>
      <c r="L390" s="56">
        <f t="shared" si="25"/>
        <v>0</v>
      </c>
      <c r="M390" s="8"/>
      <c r="N390" s="264"/>
    </row>
    <row r="391" spans="1:14" s="3" customFormat="1" ht="12.4" customHeight="1" x14ac:dyDescent="0.15">
      <c r="A391" s="79" t="s">
        <v>553</v>
      </c>
      <c r="B391" s="2" t="s">
        <v>381</v>
      </c>
      <c r="C391" s="6">
        <v>4</v>
      </c>
      <c r="D391" s="2" t="s">
        <v>432</v>
      </c>
      <c r="E391" s="6"/>
      <c r="F391" s="18">
        <v>0</v>
      </c>
      <c r="G391" s="18">
        <v>0</v>
      </c>
      <c r="H391" s="18">
        <v>0</v>
      </c>
      <c r="I391" s="18">
        <v>0</v>
      </c>
      <c r="J391" s="24" t="s">
        <v>288</v>
      </c>
      <c r="K391" s="24" t="s">
        <v>288</v>
      </c>
      <c r="L391" s="56">
        <f t="shared" si="25"/>
        <v>0</v>
      </c>
      <c r="M391" s="8"/>
      <c r="N391" s="264"/>
    </row>
    <row r="392" spans="1:14" s="3" customFormat="1" ht="12.4" customHeight="1" x14ac:dyDescent="0.15">
      <c r="A392" s="79" t="s">
        <v>554</v>
      </c>
      <c r="B392" s="2" t="s">
        <v>381</v>
      </c>
      <c r="C392" s="6">
        <v>5</v>
      </c>
      <c r="D392" s="2" t="s">
        <v>432</v>
      </c>
      <c r="E392" s="6"/>
      <c r="F392" s="18">
        <v>0</v>
      </c>
      <c r="G392" s="18">
        <v>0</v>
      </c>
      <c r="H392" s="18">
        <v>0</v>
      </c>
      <c r="I392" s="18">
        <v>0</v>
      </c>
      <c r="J392" s="24" t="s">
        <v>288</v>
      </c>
      <c r="K392" s="24" t="s">
        <v>288</v>
      </c>
      <c r="L392" s="56">
        <f t="shared" si="25"/>
        <v>0</v>
      </c>
      <c r="M392" s="8"/>
      <c r="N392" s="264"/>
    </row>
    <row r="393" spans="1:14" s="3" customFormat="1" ht="12.4" customHeight="1" thickBot="1" x14ac:dyDescent="0.2">
      <c r="A393" s="79" t="s">
        <v>555</v>
      </c>
      <c r="B393" s="2" t="s">
        <v>381</v>
      </c>
      <c r="C393" s="6">
        <v>6</v>
      </c>
      <c r="D393" s="2" t="s">
        <v>432</v>
      </c>
      <c r="E393" s="6"/>
      <c r="F393" s="18">
        <v>0</v>
      </c>
      <c r="G393" s="18">
        <v>0</v>
      </c>
      <c r="H393" s="18">
        <v>0</v>
      </c>
      <c r="I393" s="18">
        <v>0</v>
      </c>
      <c r="J393" s="24" t="s">
        <v>288</v>
      </c>
      <c r="K393" s="24" t="s">
        <v>288</v>
      </c>
      <c r="L393" s="56">
        <f t="shared" si="25"/>
        <v>0</v>
      </c>
      <c r="M393" s="8"/>
      <c r="N393" s="264"/>
    </row>
    <row r="394" spans="1:14" s="3" customFormat="1" ht="12.4"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4"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4" customHeight="1" x14ac:dyDescent="0.15">
      <c r="A396" s="79" t="s">
        <v>556</v>
      </c>
      <c r="B396" s="2" t="s">
        <v>381</v>
      </c>
      <c r="C396" s="6">
        <v>8</v>
      </c>
      <c r="D396" s="2" t="s">
        <v>432</v>
      </c>
      <c r="E396" s="6"/>
      <c r="F396" s="18">
        <v>0</v>
      </c>
      <c r="G396" s="18">
        <v>0</v>
      </c>
      <c r="H396" s="18">
        <v>0</v>
      </c>
      <c r="I396" s="18">
        <v>0</v>
      </c>
      <c r="J396" s="24" t="s">
        <v>288</v>
      </c>
      <c r="K396" s="24" t="s">
        <v>288</v>
      </c>
      <c r="L396" s="56">
        <f t="shared" ref="L396:L401" si="26">SUM(F396:K396)</f>
        <v>0</v>
      </c>
      <c r="M396" s="8"/>
      <c r="N396" s="264"/>
    </row>
    <row r="397" spans="1:14" s="3" customFormat="1" ht="12.4" customHeight="1" x14ac:dyDescent="0.15">
      <c r="A397" s="79" t="s">
        <v>557</v>
      </c>
      <c r="B397" s="2" t="s">
        <v>381</v>
      </c>
      <c r="C397" s="6">
        <v>9</v>
      </c>
      <c r="D397" s="2" t="s">
        <v>432</v>
      </c>
      <c r="E397" s="6"/>
      <c r="F397" s="18">
        <v>0</v>
      </c>
      <c r="G397" s="18">
        <v>150000</v>
      </c>
      <c r="H397" s="18">
        <v>576.27</v>
      </c>
      <c r="I397" s="18">
        <v>0</v>
      </c>
      <c r="J397" s="24" t="s">
        <v>288</v>
      </c>
      <c r="K397" s="24" t="s">
        <v>288</v>
      </c>
      <c r="L397" s="56">
        <f t="shared" si="26"/>
        <v>150576.26999999999</v>
      </c>
      <c r="M397" s="8"/>
      <c r="N397" s="264"/>
    </row>
    <row r="398" spans="1:14" s="3" customFormat="1" ht="12.4" customHeight="1" x14ac:dyDescent="0.15">
      <c r="A398" s="79" t="s">
        <v>515</v>
      </c>
      <c r="B398" s="2" t="s">
        <v>381</v>
      </c>
      <c r="C398" s="6">
        <v>10</v>
      </c>
      <c r="D398" s="2" t="s">
        <v>432</v>
      </c>
      <c r="E398" s="6"/>
      <c r="F398" s="18">
        <v>0</v>
      </c>
      <c r="G398" s="18">
        <v>100000</v>
      </c>
      <c r="H398" s="18">
        <v>564.72</v>
      </c>
      <c r="I398" s="18">
        <v>0</v>
      </c>
      <c r="J398" s="24" t="s">
        <v>288</v>
      </c>
      <c r="K398" s="24" t="s">
        <v>288</v>
      </c>
      <c r="L398" s="56">
        <f t="shared" si="26"/>
        <v>100564.72</v>
      </c>
      <c r="M398" s="8"/>
      <c r="N398" s="264"/>
    </row>
    <row r="399" spans="1:14" s="3" customFormat="1" ht="12.4" customHeight="1" x14ac:dyDescent="0.15">
      <c r="A399" s="79" t="s">
        <v>558</v>
      </c>
      <c r="B399" s="2" t="s">
        <v>381</v>
      </c>
      <c r="C399" s="6">
        <v>11</v>
      </c>
      <c r="D399" s="2" t="s">
        <v>432</v>
      </c>
      <c r="E399" s="6"/>
      <c r="F399" s="18">
        <v>0</v>
      </c>
      <c r="G399" s="18">
        <v>0</v>
      </c>
      <c r="H399" s="18">
        <v>0</v>
      </c>
      <c r="I399" s="18">
        <v>0</v>
      </c>
      <c r="J399" s="24" t="s">
        <v>288</v>
      </c>
      <c r="K399" s="24" t="s">
        <v>288</v>
      </c>
      <c r="L399" s="56">
        <f t="shared" si="26"/>
        <v>0</v>
      </c>
      <c r="M399" s="8"/>
      <c r="N399" s="264"/>
    </row>
    <row r="400" spans="1:14" s="3" customFormat="1" ht="12.4" customHeight="1" x14ac:dyDescent="0.15">
      <c r="A400" s="79" t="s">
        <v>559</v>
      </c>
      <c r="B400" s="2" t="s">
        <v>381</v>
      </c>
      <c r="C400" s="6">
        <v>12</v>
      </c>
      <c r="D400" s="2" t="s">
        <v>432</v>
      </c>
      <c r="E400" s="6"/>
      <c r="F400" s="18">
        <v>0</v>
      </c>
      <c r="G400" s="18">
        <v>0</v>
      </c>
      <c r="H400" s="18">
        <v>41.2</v>
      </c>
      <c r="I400" s="18">
        <v>0</v>
      </c>
      <c r="J400" s="24" t="s">
        <v>288</v>
      </c>
      <c r="K400" s="24" t="s">
        <v>288</v>
      </c>
      <c r="L400" s="56">
        <f t="shared" si="26"/>
        <v>41.2</v>
      </c>
      <c r="M400" s="8"/>
      <c r="N400" s="264"/>
    </row>
    <row r="401" spans="1:21" s="3" customFormat="1" ht="12.4" customHeight="1" thickBot="1" x14ac:dyDescent="0.2">
      <c r="A401" s="79" t="s">
        <v>510</v>
      </c>
      <c r="B401" s="2" t="s">
        <v>381</v>
      </c>
      <c r="C401" s="6">
        <v>13</v>
      </c>
      <c r="D401" s="2" t="s">
        <v>432</v>
      </c>
      <c r="E401" s="6"/>
      <c r="F401" s="18">
        <v>0</v>
      </c>
      <c r="G401" s="18">
        <v>0</v>
      </c>
      <c r="H401" s="18">
        <v>0</v>
      </c>
      <c r="I401" s="18">
        <v>0</v>
      </c>
      <c r="J401" s="24" t="s">
        <v>288</v>
      </c>
      <c r="K401" s="24" t="s">
        <v>288</v>
      </c>
      <c r="L401" s="56">
        <f t="shared" si="26"/>
        <v>0</v>
      </c>
      <c r="M401" s="8"/>
      <c r="N401" s="264"/>
    </row>
    <row r="402" spans="1:21" s="3" customFormat="1" ht="12.4" customHeight="1" thickTop="1" x14ac:dyDescent="0.15">
      <c r="A402" s="160" t="s">
        <v>470</v>
      </c>
      <c r="B402" s="2" t="s">
        <v>381</v>
      </c>
      <c r="C402" s="6">
        <v>14</v>
      </c>
      <c r="D402" s="2" t="s">
        <v>432</v>
      </c>
      <c r="E402" s="40">
        <v>5252</v>
      </c>
      <c r="F402" s="47">
        <f>SUM(F396:F401)</f>
        <v>0</v>
      </c>
      <c r="G402" s="47">
        <f>SUM(G396:G401)</f>
        <v>250000</v>
      </c>
      <c r="H402" s="47">
        <f>SUM(H396:H401)</f>
        <v>1182.19</v>
      </c>
      <c r="I402" s="47">
        <f>SUM(I396:I401)</f>
        <v>0</v>
      </c>
      <c r="J402" s="45" t="s">
        <v>288</v>
      </c>
      <c r="K402" s="45" t="s">
        <v>288</v>
      </c>
      <c r="L402" s="47">
        <f>SUM(L396:L401)</f>
        <v>251182.19</v>
      </c>
      <c r="M402" s="8"/>
      <c r="N402" s="264"/>
    </row>
    <row r="403" spans="1:21" s="3" customFormat="1" ht="12.4"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4" customHeight="1" x14ac:dyDescent="0.15">
      <c r="A404" s="110"/>
      <c r="B404" s="2" t="s">
        <v>381</v>
      </c>
      <c r="C404" s="6">
        <v>15</v>
      </c>
      <c r="D404" s="2" t="s">
        <v>432</v>
      </c>
      <c r="E404" s="6"/>
      <c r="F404" s="18">
        <v>0</v>
      </c>
      <c r="G404" s="18">
        <v>0</v>
      </c>
      <c r="H404" s="18">
        <v>0</v>
      </c>
      <c r="I404" s="18">
        <v>0</v>
      </c>
      <c r="J404" s="24" t="s">
        <v>288</v>
      </c>
      <c r="K404" s="24" t="s">
        <v>288</v>
      </c>
      <c r="L404" s="56">
        <f>SUM(F404:K404)</f>
        <v>0</v>
      </c>
      <c r="M404" s="8"/>
      <c r="N404" s="264"/>
    </row>
    <row r="405" spans="1:21" s="3" customFormat="1" ht="12.4" customHeight="1" x14ac:dyDescent="0.15">
      <c r="A405" s="110"/>
      <c r="B405" s="2" t="s">
        <v>381</v>
      </c>
      <c r="C405" s="6">
        <v>16</v>
      </c>
      <c r="D405" s="2" t="s">
        <v>432</v>
      </c>
      <c r="E405" s="6"/>
      <c r="F405" s="18">
        <v>0</v>
      </c>
      <c r="G405" s="18">
        <v>0</v>
      </c>
      <c r="H405" s="18">
        <v>0</v>
      </c>
      <c r="I405" s="18">
        <v>0</v>
      </c>
      <c r="J405" s="24" t="s">
        <v>288</v>
      </c>
      <c r="K405" s="24" t="s">
        <v>288</v>
      </c>
      <c r="L405" s="56">
        <f>SUM(F405:K405)</f>
        <v>0</v>
      </c>
      <c r="M405" s="8"/>
      <c r="N405" s="264"/>
    </row>
    <row r="406" spans="1:21" s="3" customFormat="1" ht="12.4" customHeight="1" x14ac:dyDescent="0.15">
      <c r="A406" s="110"/>
      <c r="B406" s="2" t="s">
        <v>381</v>
      </c>
      <c r="C406" s="6">
        <v>17</v>
      </c>
      <c r="D406" s="2" t="s">
        <v>432</v>
      </c>
      <c r="E406" s="6"/>
      <c r="F406" s="18">
        <v>0</v>
      </c>
      <c r="G406" s="18">
        <v>0</v>
      </c>
      <c r="H406" s="18">
        <v>0</v>
      </c>
      <c r="I406" s="18">
        <v>0</v>
      </c>
      <c r="J406" s="24" t="s">
        <v>288</v>
      </c>
      <c r="K406" s="24" t="s">
        <v>288</v>
      </c>
      <c r="L406" s="56">
        <f>SUM(F406:K406)</f>
        <v>0</v>
      </c>
      <c r="M406" s="8"/>
      <c r="N406" s="264"/>
    </row>
    <row r="407" spans="1:21" s="3" customFormat="1" ht="12.4" customHeight="1" thickBot="1" x14ac:dyDescent="0.2">
      <c r="A407" s="110"/>
      <c r="B407" s="2" t="s">
        <v>381</v>
      </c>
      <c r="C407" s="6">
        <v>18</v>
      </c>
      <c r="D407" s="2" t="s">
        <v>432</v>
      </c>
      <c r="E407" s="6"/>
      <c r="F407" s="18">
        <v>0</v>
      </c>
      <c r="G407" s="18">
        <v>0</v>
      </c>
      <c r="H407" s="18">
        <v>0</v>
      </c>
      <c r="I407" s="18">
        <v>0</v>
      </c>
      <c r="J407" s="24" t="s">
        <v>288</v>
      </c>
      <c r="K407" s="24" t="s">
        <v>288</v>
      </c>
      <c r="L407" s="56">
        <f>SUM(F407:K407)</f>
        <v>0</v>
      </c>
      <c r="M407" s="8"/>
      <c r="N407" s="264"/>
    </row>
    <row r="408" spans="1:21" s="3" customFormat="1" ht="12.4"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4" customHeight="1" thickTop="1" x14ac:dyDescent="0.15">
      <c r="A409" s="78" t="s">
        <v>421</v>
      </c>
      <c r="B409" s="2" t="s">
        <v>381</v>
      </c>
      <c r="C409" s="6">
        <v>20</v>
      </c>
      <c r="D409" s="6"/>
      <c r="E409" s="40"/>
      <c r="F409" s="47">
        <f>F394+F402+F408</f>
        <v>0</v>
      </c>
      <c r="G409" s="47">
        <f>G394+G402+G408</f>
        <v>250000</v>
      </c>
      <c r="H409" s="47">
        <f>H394+H402+H408</f>
        <v>1182.19</v>
      </c>
      <c r="I409" s="47">
        <f>I394+I402+I408</f>
        <v>0</v>
      </c>
      <c r="J409" s="24" t="s">
        <v>288</v>
      </c>
      <c r="K409" s="24" t="s">
        <v>288</v>
      </c>
      <c r="L409" s="47">
        <f>L394+L402+L408</f>
        <v>251182.19</v>
      </c>
      <c r="M409" s="8"/>
      <c r="N409" s="264"/>
    </row>
    <row r="410" spans="1:21" s="3" customFormat="1" ht="12.4"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4" customHeight="1" x14ac:dyDescent="0.15">
      <c r="A411" s="26" t="s">
        <v>482</v>
      </c>
      <c r="B411" s="76"/>
      <c r="C411" s="76"/>
      <c r="D411" s="76"/>
      <c r="E411" s="76"/>
      <c r="F411" s="66"/>
      <c r="G411" s="16" t="s">
        <v>384</v>
      </c>
      <c r="H411" s="16" t="s">
        <v>385</v>
      </c>
      <c r="I411" s="67"/>
      <c r="J411" s="56"/>
      <c r="K411" s="56"/>
      <c r="L411" s="56"/>
      <c r="M411" s="8"/>
      <c r="N411" s="264"/>
    </row>
    <row r="412" spans="1:21" s="3" customFormat="1" ht="12.4"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4"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4" customHeight="1" thickBot="1" x14ac:dyDescent="0.25">
      <c r="A414" s="79" t="s">
        <v>550</v>
      </c>
      <c r="B414" s="6">
        <v>17</v>
      </c>
      <c r="C414" s="6">
        <v>1</v>
      </c>
      <c r="D414" s="2" t="s">
        <v>432</v>
      </c>
      <c r="E414" s="6"/>
      <c r="F414" s="18">
        <v>0</v>
      </c>
      <c r="G414" s="18">
        <v>0</v>
      </c>
      <c r="H414" s="18">
        <v>0</v>
      </c>
      <c r="I414" s="18">
        <v>0</v>
      </c>
      <c r="J414" s="18">
        <v>0</v>
      </c>
      <c r="K414" s="18">
        <v>0</v>
      </c>
      <c r="L414" s="56">
        <f t="shared" ref="L414:L419" si="27">SUM(F414:K414)</f>
        <v>0</v>
      </c>
      <c r="M414" s="52"/>
      <c r="N414" s="263"/>
      <c r="O414" s="52"/>
      <c r="P414" s="52"/>
      <c r="Q414" s="52"/>
      <c r="R414" s="52"/>
      <c r="S414" s="52"/>
      <c r="T414" s="52"/>
      <c r="U414" s="52"/>
    </row>
    <row r="415" spans="1:21" s="3" customFormat="1" ht="12.4" customHeight="1" x14ac:dyDescent="0.15">
      <c r="A415" s="79" t="s">
        <v>551</v>
      </c>
      <c r="B415" s="6">
        <v>17</v>
      </c>
      <c r="C415" s="6">
        <v>2</v>
      </c>
      <c r="D415" s="2" t="s">
        <v>432</v>
      </c>
      <c r="E415" s="6"/>
      <c r="F415" s="18">
        <v>0</v>
      </c>
      <c r="G415" s="18">
        <v>0</v>
      </c>
      <c r="H415" s="18">
        <v>0</v>
      </c>
      <c r="I415" s="18">
        <v>0</v>
      </c>
      <c r="J415" s="18">
        <v>0</v>
      </c>
      <c r="K415" s="18">
        <v>0</v>
      </c>
      <c r="L415" s="56">
        <f t="shared" si="27"/>
        <v>0</v>
      </c>
      <c r="M415" s="58"/>
      <c r="N415" s="227"/>
      <c r="O415" s="58"/>
      <c r="P415" s="58"/>
      <c r="Q415" s="58"/>
      <c r="R415" s="58"/>
      <c r="S415" s="58"/>
      <c r="T415" s="58"/>
      <c r="U415" s="58"/>
    </row>
    <row r="416" spans="1:21" s="3" customFormat="1" ht="12.4" customHeight="1" x14ac:dyDescent="0.15">
      <c r="A416" s="79" t="s">
        <v>552</v>
      </c>
      <c r="B416" s="6">
        <v>17</v>
      </c>
      <c r="C416" s="6">
        <v>3</v>
      </c>
      <c r="D416" s="2" t="s">
        <v>432</v>
      </c>
      <c r="E416" s="6"/>
      <c r="F416" s="18">
        <v>0</v>
      </c>
      <c r="G416" s="18">
        <v>0</v>
      </c>
      <c r="H416" s="18">
        <v>0</v>
      </c>
      <c r="I416" s="18">
        <v>0</v>
      </c>
      <c r="J416" s="18">
        <v>0</v>
      </c>
      <c r="K416" s="18">
        <v>0</v>
      </c>
      <c r="L416" s="56">
        <f t="shared" si="27"/>
        <v>0</v>
      </c>
      <c r="M416" s="8"/>
      <c r="N416" s="264"/>
    </row>
    <row r="417" spans="1:21" s="3" customFormat="1" ht="12.4" customHeight="1" x14ac:dyDescent="0.15">
      <c r="A417" s="79" t="s">
        <v>553</v>
      </c>
      <c r="B417" s="6">
        <v>17</v>
      </c>
      <c r="C417" s="6">
        <v>4</v>
      </c>
      <c r="D417" s="2" t="s">
        <v>432</v>
      </c>
      <c r="E417" s="6"/>
      <c r="F417" s="18">
        <v>0</v>
      </c>
      <c r="G417" s="18">
        <v>0</v>
      </c>
      <c r="H417" s="18">
        <v>0</v>
      </c>
      <c r="I417" s="18">
        <v>0</v>
      </c>
      <c r="J417" s="18">
        <v>0</v>
      </c>
      <c r="K417" s="18">
        <v>0</v>
      </c>
      <c r="L417" s="56">
        <f t="shared" si="27"/>
        <v>0</v>
      </c>
      <c r="M417" s="8"/>
      <c r="N417" s="264"/>
    </row>
    <row r="418" spans="1:21" s="3" customFormat="1" ht="12.4" customHeight="1" x14ac:dyDescent="0.15">
      <c r="A418" s="79" t="s">
        <v>554</v>
      </c>
      <c r="B418" s="6">
        <v>17</v>
      </c>
      <c r="C418" s="6">
        <v>5</v>
      </c>
      <c r="D418" s="2" t="s">
        <v>432</v>
      </c>
      <c r="E418" s="6"/>
      <c r="F418" s="18">
        <v>0</v>
      </c>
      <c r="G418" s="18">
        <v>0</v>
      </c>
      <c r="H418" s="18">
        <v>0</v>
      </c>
      <c r="I418" s="18">
        <v>0</v>
      </c>
      <c r="J418" s="18">
        <v>0</v>
      </c>
      <c r="K418" s="18">
        <v>0</v>
      </c>
      <c r="L418" s="56">
        <f t="shared" si="27"/>
        <v>0</v>
      </c>
      <c r="M418" s="8"/>
      <c r="N418" s="264"/>
    </row>
    <row r="419" spans="1:21" s="3" customFormat="1" ht="12.4" customHeight="1" thickBot="1" x14ac:dyDescent="0.2">
      <c r="A419" s="79" t="s">
        <v>555</v>
      </c>
      <c r="B419" s="6">
        <v>17</v>
      </c>
      <c r="C419" s="6">
        <v>6</v>
      </c>
      <c r="D419" s="2" t="s">
        <v>432</v>
      </c>
      <c r="E419" s="6"/>
      <c r="F419" s="18">
        <v>0</v>
      </c>
      <c r="G419" s="18">
        <v>0</v>
      </c>
      <c r="H419" s="18">
        <v>0</v>
      </c>
      <c r="I419" s="18">
        <v>0</v>
      </c>
      <c r="J419" s="18">
        <v>0</v>
      </c>
      <c r="K419" s="18">
        <v>0</v>
      </c>
      <c r="L419" s="56">
        <f t="shared" si="27"/>
        <v>0</v>
      </c>
      <c r="M419" s="8"/>
      <c r="N419" s="264"/>
    </row>
    <row r="420" spans="1:21" s="3" customFormat="1" ht="12.4"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4"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4" customHeight="1" x14ac:dyDescent="0.15">
      <c r="A422" s="79" t="s">
        <v>556</v>
      </c>
      <c r="B422" s="6">
        <v>17</v>
      </c>
      <c r="C422" s="6">
        <v>8</v>
      </c>
      <c r="D422" s="2" t="s">
        <v>432</v>
      </c>
      <c r="E422" s="6"/>
      <c r="F422" s="18">
        <v>0</v>
      </c>
      <c r="G422" s="18">
        <v>0</v>
      </c>
      <c r="H422" s="18">
        <v>0</v>
      </c>
      <c r="I422" s="18">
        <v>0</v>
      </c>
      <c r="J422" s="18">
        <v>0</v>
      </c>
      <c r="K422" s="18">
        <v>0</v>
      </c>
      <c r="L422" s="56">
        <f t="shared" ref="L422:L427" si="29">SUM(F422:K422)</f>
        <v>0</v>
      </c>
      <c r="M422" s="8"/>
      <c r="N422" s="264"/>
    </row>
    <row r="423" spans="1:21" s="3" customFormat="1" ht="12.4" customHeight="1" x14ac:dyDescent="0.15">
      <c r="A423" s="79" t="s">
        <v>557</v>
      </c>
      <c r="B423" s="6">
        <v>17</v>
      </c>
      <c r="C423" s="6">
        <v>9</v>
      </c>
      <c r="D423" s="2" t="s">
        <v>432</v>
      </c>
      <c r="E423" s="6"/>
      <c r="F423" s="18">
        <v>0</v>
      </c>
      <c r="G423" s="18">
        <v>0</v>
      </c>
      <c r="H423" s="18">
        <v>82450</v>
      </c>
      <c r="I423" s="18">
        <v>0</v>
      </c>
      <c r="J423" s="18">
        <v>0</v>
      </c>
      <c r="K423" s="18">
        <v>0</v>
      </c>
      <c r="L423" s="56">
        <f t="shared" si="29"/>
        <v>82450</v>
      </c>
      <c r="M423" s="8"/>
      <c r="N423" s="264"/>
    </row>
    <row r="424" spans="1:21" s="3" customFormat="1" ht="12.4" customHeight="1" x14ac:dyDescent="0.15">
      <c r="A424" s="79" t="s">
        <v>515</v>
      </c>
      <c r="B424" s="6">
        <v>17</v>
      </c>
      <c r="C424" s="6">
        <v>10</v>
      </c>
      <c r="D424" s="2" t="s">
        <v>432</v>
      </c>
      <c r="E424" s="6"/>
      <c r="F424" s="18">
        <v>0</v>
      </c>
      <c r="G424" s="18">
        <v>0</v>
      </c>
      <c r="H424" s="18">
        <v>0</v>
      </c>
      <c r="I424" s="18">
        <v>0</v>
      </c>
      <c r="J424" s="18">
        <v>0</v>
      </c>
      <c r="K424" s="18">
        <v>0</v>
      </c>
      <c r="L424" s="56">
        <f t="shared" si="29"/>
        <v>0</v>
      </c>
      <c r="M424" s="8"/>
      <c r="N424" s="264"/>
    </row>
    <row r="425" spans="1:21" s="3" customFormat="1" ht="12.4" customHeight="1" x14ac:dyDescent="0.15">
      <c r="A425" s="79" t="s">
        <v>558</v>
      </c>
      <c r="B425" s="6">
        <v>17</v>
      </c>
      <c r="C425" s="6">
        <v>11</v>
      </c>
      <c r="D425" s="2" t="s">
        <v>432</v>
      </c>
      <c r="E425" s="6"/>
      <c r="F425" s="18">
        <v>0</v>
      </c>
      <c r="G425" s="18">
        <v>0</v>
      </c>
      <c r="H425" s="18">
        <v>0</v>
      </c>
      <c r="I425" s="18">
        <v>0</v>
      </c>
      <c r="J425" s="18">
        <v>0</v>
      </c>
      <c r="K425" s="18">
        <v>0</v>
      </c>
      <c r="L425" s="56">
        <f t="shared" si="29"/>
        <v>0</v>
      </c>
      <c r="M425" s="8"/>
      <c r="N425" s="264"/>
    </row>
    <row r="426" spans="1:21" s="3" customFormat="1" ht="12.4" customHeight="1" x14ac:dyDescent="0.15">
      <c r="A426" s="79" t="s">
        <v>559</v>
      </c>
      <c r="B426" s="6">
        <v>17</v>
      </c>
      <c r="C426" s="6">
        <v>12</v>
      </c>
      <c r="D426" s="2" t="s">
        <v>432</v>
      </c>
      <c r="E426" s="6"/>
      <c r="F426" s="18">
        <v>0</v>
      </c>
      <c r="G426" s="18">
        <v>0</v>
      </c>
      <c r="H426" s="18">
        <v>0</v>
      </c>
      <c r="I426" s="18">
        <v>0</v>
      </c>
      <c r="J426" s="18">
        <v>0</v>
      </c>
      <c r="K426" s="18">
        <v>0</v>
      </c>
      <c r="L426" s="56">
        <f t="shared" si="29"/>
        <v>0</v>
      </c>
      <c r="M426" s="8"/>
      <c r="N426" s="264"/>
    </row>
    <row r="427" spans="1:21" s="3" customFormat="1" ht="12.4" customHeight="1" thickBot="1" x14ac:dyDescent="0.2">
      <c r="A427" s="79" t="s">
        <v>510</v>
      </c>
      <c r="B427" s="6">
        <v>17</v>
      </c>
      <c r="C427" s="6">
        <v>13</v>
      </c>
      <c r="D427" s="2" t="s">
        <v>432</v>
      </c>
      <c r="E427" s="6"/>
      <c r="F427" s="18">
        <v>0</v>
      </c>
      <c r="G427" s="18">
        <v>0</v>
      </c>
      <c r="H427" s="18">
        <v>0</v>
      </c>
      <c r="I427" s="18">
        <v>0</v>
      </c>
      <c r="J427" s="18">
        <v>0</v>
      </c>
      <c r="K427" s="18">
        <v>0</v>
      </c>
      <c r="L427" s="56">
        <f t="shared" si="29"/>
        <v>0</v>
      </c>
      <c r="M427" s="8"/>
      <c r="N427" s="264"/>
    </row>
    <row r="428" spans="1:21" s="11" customFormat="1" ht="12.4" customHeight="1" thickTop="1" x14ac:dyDescent="0.15">
      <c r="A428" s="160" t="s">
        <v>470</v>
      </c>
      <c r="B428" s="6">
        <v>17</v>
      </c>
      <c r="C428" s="6">
        <v>14</v>
      </c>
      <c r="D428" s="2" t="s">
        <v>432</v>
      </c>
      <c r="E428" s="40">
        <v>5252</v>
      </c>
      <c r="F428" s="47">
        <f t="shared" ref="F428:L428" si="30">SUM(F422:F427)</f>
        <v>0</v>
      </c>
      <c r="G428" s="47">
        <f t="shared" si="30"/>
        <v>0</v>
      </c>
      <c r="H428" s="47">
        <f t="shared" si="30"/>
        <v>82450</v>
      </c>
      <c r="I428" s="47">
        <f t="shared" si="30"/>
        <v>0</v>
      </c>
      <c r="J428" s="47">
        <f t="shared" si="30"/>
        <v>0</v>
      </c>
      <c r="K428" s="47">
        <f t="shared" si="30"/>
        <v>0</v>
      </c>
      <c r="L428" s="47">
        <f t="shared" si="30"/>
        <v>82450</v>
      </c>
      <c r="M428" s="68"/>
      <c r="N428" s="227"/>
      <c r="O428" s="58"/>
      <c r="P428" s="58"/>
      <c r="Q428" s="58"/>
      <c r="R428" s="58"/>
      <c r="S428" s="58"/>
      <c r="T428" s="58"/>
      <c r="U428" s="58"/>
    </row>
    <row r="429" spans="1:21" s="58" customFormat="1" ht="12.4"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4" customHeight="1" x14ac:dyDescent="0.15">
      <c r="A430" s="110"/>
      <c r="B430" s="6">
        <v>17</v>
      </c>
      <c r="C430" s="6">
        <v>15</v>
      </c>
      <c r="D430" s="2" t="s">
        <v>432</v>
      </c>
      <c r="E430" s="6"/>
      <c r="F430" s="18">
        <v>0</v>
      </c>
      <c r="G430" s="18">
        <v>0</v>
      </c>
      <c r="H430" s="18">
        <v>0</v>
      </c>
      <c r="I430" s="18">
        <v>0</v>
      </c>
      <c r="J430" s="18">
        <v>0</v>
      </c>
      <c r="K430" s="18">
        <v>0</v>
      </c>
      <c r="L430" s="56">
        <f>SUM(F430:K430)</f>
        <v>0</v>
      </c>
      <c r="M430" s="68"/>
      <c r="N430" s="227"/>
    </row>
    <row r="431" spans="1:21" ht="12.4" customHeight="1" x14ac:dyDescent="0.2">
      <c r="A431" s="110"/>
      <c r="B431" s="6">
        <v>17</v>
      </c>
      <c r="C431" s="6">
        <v>16</v>
      </c>
      <c r="D431" s="2" t="s">
        <v>432</v>
      </c>
      <c r="E431" s="6"/>
      <c r="F431" s="18">
        <v>0</v>
      </c>
      <c r="G431" s="18">
        <v>0</v>
      </c>
      <c r="H431" s="18">
        <v>0</v>
      </c>
      <c r="I431" s="18">
        <v>0</v>
      </c>
      <c r="J431" s="18">
        <v>0</v>
      </c>
      <c r="K431" s="18">
        <v>0</v>
      </c>
      <c r="L431" s="56">
        <f>SUM(F431:K431)</f>
        <v>0</v>
      </c>
      <c r="N431" s="262"/>
    </row>
    <row r="432" spans="1:21" s="3" customFormat="1" ht="12.4" customHeight="1" x14ac:dyDescent="0.15">
      <c r="A432" s="110"/>
      <c r="B432" s="6">
        <v>17</v>
      </c>
      <c r="C432" s="6">
        <v>17</v>
      </c>
      <c r="D432" s="2" t="s">
        <v>432</v>
      </c>
      <c r="E432" s="6"/>
      <c r="F432" s="18">
        <v>0</v>
      </c>
      <c r="G432" s="18">
        <v>0</v>
      </c>
      <c r="H432" s="18">
        <v>0</v>
      </c>
      <c r="I432" s="18">
        <v>0</v>
      </c>
      <c r="J432" s="18">
        <v>0</v>
      </c>
      <c r="K432" s="18">
        <v>0</v>
      </c>
      <c r="L432" s="56">
        <f>SUM(F432:K432)</f>
        <v>0</v>
      </c>
      <c r="M432" s="8"/>
      <c r="N432" s="264"/>
    </row>
    <row r="433" spans="1:14" s="3" customFormat="1" ht="12.4" customHeight="1" thickBot="1" x14ac:dyDescent="0.2">
      <c r="A433" s="110"/>
      <c r="B433" s="6">
        <v>17</v>
      </c>
      <c r="C433" s="6">
        <v>18</v>
      </c>
      <c r="D433" s="2" t="s">
        <v>432</v>
      </c>
      <c r="E433" s="6"/>
      <c r="F433" s="18">
        <v>0</v>
      </c>
      <c r="G433" s="18">
        <v>0</v>
      </c>
      <c r="H433" s="18">
        <v>0</v>
      </c>
      <c r="I433" s="18">
        <v>0</v>
      </c>
      <c r="J433" s="18">
        <v>0</v>
      </c>
      <c r="K433" s="18">
        <v>0</v>
      </c>
      <c r="L433" s="56">
        <f>SUM(F433:K433)</f>
        <v>0</v>
      </c>
      <c r="M433" s="8"/>
      <c r="N433" s="264"/>
    </row>
    <row r="434" spans="1:14" s="3" customFormat="1" ht="12.4"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4" customHeight="1" thickTop="1" x14ac:dyDescent="0.15">
      <c r="A435" s="78" t="s">
        <v>422</v>
      </c>
      <c r="B435" s="6">
        <v>17</v>
      </c>
      <c r="C435" s="6">
        <v>20</v>
      </c>
      <c r="D435" s="2" t="s">
        <v>432</v>
      </c>
      <c r="E435" s="40"/>
      <c r="F435" s="47">
        <f t="shared" ref="F435:L435" si="32">F420+F428+F434</f>
        <v>0</v>
      </c>
      <c r="G435" s="47">
        <f t="shared" si="32"/>
        <v>0</v>
      </c>
      <c r="H435" s="47">
        <f t="shared" si="32"/>
        <v>82450</v>
      </c>
      <c r="I435" s="47">
        <f t="shared" si="32"/>
        <v>0</v>
      </c>
      <c r="J435" s="47">
        <f t="shared" si="32"/>
        <v>0</v>
      </c>
      <c r="K435" s="47">
        <f t="shared" si="32"/>
        <v>0</v>
      </c>
      <c r="L435" s="47">
        <f t="shared" si="32"/>
        <v>82450</v>
      </c>
      <c r="M435" s="8"/>
      <c r="N435" s="264"/>
    </row>
    <row r="436" spans="1:14" s="3" customFormat="1" ht="12.4" customHeight="1" x14ac:dyDescent="0.15">
      <c r="A436" s="78"/>
      <c r="B436" s="6"/>
      <c r="C436" s="6"/>
      <c r="D436" s="6"/>
      <c r="E436" s="6"/>
      <c r="F436" s="56"/>
      <c r="G436" s="56"/>
      <c r="H436" s="56"/>
      <c r="I436" s="56"/>
      <c r="J436" s="56"/>
      <c r="K436" s="56"/>
      <c r="L436" s="56"/>
      <c r="M436" s="8"/>
      <c r="N436" s="264"/>
    </row>
    <row r="437" spans="1:14" s="3" customFormat="1" ht="12.4" customHeight="1" x14ac:dyDescent="0.15">
      <c r="A437" s="34" t="s">
        <v>0</v>
      </c>
      <c r="K437" s="56"/>
      <c r="L437" s="13"/>
      <c r="M437" s="8"/>
      <c r="N437" s="264"/>
    </row>
    <row r="438" spans="1:14" s="3" customFormat="1" ht="12.4" customHeight="1" x14ac:dyDescent="0.15">
      <c r="A438" s="34" t="s">
        <v>1</v>
      </c>
      <c r="F438" s="23" t="s">
        <v>2</v>
      </c>
      <c r="G438" s="23" t="s">
        <v>3</v>
      </c>
      <c r="H438" s="23" t="s">
        <v>4</v>
      </c>
      <c r="I438" s="23" t="s">
        <v>5</v>
      </c>
      <c r="M438" s="8"/>
      <c r="N438" s="264"/>
    </row>
    <row r="439" spans="1:14" s="3" customFormat="1" ht="12.4"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4" customHeight="1" x14ac:dyDescent="0.15">
      <c r="A440" s="3" t="s">
        <v>561</v>
      </c>
      <c r="B440" s="23">
        <v>18</v>
      </c>
      <c r="C440" s="6">
        <v>1</v>
      </c>
      <c r="D440" s="2" t="s">
        <v>432</v>
      </c>
      <c r="E440" s="6">
        <v>100</v>
      </c>
      <c r="F440" s="18">
        <v>344576.21</v>
      </c>
      <c r="G440" s="18">
        <v>0</v>
      </c>
      <c r="H440" s="18">
        <v>0</v>
      </c>
      <c r="I440" s="56">
        <f t="shared" ref="I440:I446" si="33">SUM(F440:H440)</f>
        <v>344576.21</v>
      </c>
      <c r="J440" s="24" t="s">
        <v>288</v>
      </c>
      <c r="K440" s="24" t="s">
        <v>288</v>
      </c>
      <c r="L440" s="24" t="s">
        <v>288</v>
      </c>
      <c r="M440" s="8"/>
      <c r="N440" s="264"/>
    </row>
    <row r="441" spans="1:14" s="3" customFormat="1" ht="12.4" customHeight="1" x14ac:dyDescent="0.15">
      <c r="A441" s="69" t="s">
        <v>562</v>
      </c>
      <c r="B441" s="23">
        <v>18</v>
      </c>
      <c r="C441" s="6">
        <v>2</v>
      </c>
      <c r="D441" s="2" t="s">
        <v>432</v>
      </c>
      <c r="E441" s="6">
        <v>110</v>
      </c>
      <c r="F441" s="18">
        <v>0</v>
      </c>
      <c r="G441" s="18">
        <v>0</v>
      </c>
      <c r="H441" s="18">
        <v>0</v>
      </c>
      <c r="I441" s="56">
        <f t="shared" si="33"/>
        <v>0</v>
      </c>
      <c r="J441" s="24" t="s">
        <v>288</v>
      </c>
      <c r="K441" s="24" t="s">
        <v>288</v>
      </c>
      <c r="L441" s="24" t="s">
        <v>288</v>
      </c>
      <c r="M441" s="8"/>
      <c r="N441" s="264"/>
    </row>
    <row r="442" spans="1:14" s="3" customFormat="1" ht="12.4" customHeight="1" x14ac:dyDescent="0.15">
      <c r="A442" s="69" t="s">
        <v>603</v>
      </c>
      <c r="B442" s="23">
        <v>18</v>
      </c>
      <c r="C442" s="6">
        <v>3</v>
      </c>
      <c r="D442" s="2" t="s">
        <v>432</v>
      </c>
      <c r="E442" s="6">
        <v>130</v>
      </c>
      <c r="F442" s="18">
        <v>0</v>
      </c>
      <c r="G442" s="18">
        <v>0</v>
      </c>
      <c r="H442" s="18">
        <v>0</v>
      </c>
      <c r="I442" s="56">
        <f t="shared" si="33"/>
        <v>0</v>
      </c>
      <c r="J442" s="24" t="s">
        <v>288</v>
      </c>
      <c r="K442" s="24" t="s">
        <v>288</v>
      </c>
      <c r="L442" s="24" t="s">
        <v>288</v>
      </c>
      <c r="M442" s="8"/>
      <c r="N442" s="264"/>
    </row>
    <row r="443" spans="1:14" s="3" customFormat="1" ht="12.4" customHeight="1" x14ac:dyDescent="0.15">
      <c r="A443" s="69" t="s">
        <v>604</v>
      </c>
      <c r="B443" s="23">
        <v>18</v>
      </c>
      <c r="C443" s="6">
        <v>4</v>
      </c>
      <c r="D443" s="2" t="s">
        <v>432</v>
      </c>
      <c r="E443" s="6">
        <v>140</v>
      </c>
      <c r="F443" s="18">
        <v>0</v>
      </c>
      <c r="G443" s="18">
        <v>0</v>
      </c>
      <c r="H443" s="18">
        <v>0</v>
      </c>
      <c r="I443" s="56">
        <f t="shared" si="33"/>
        <v>0</v>
      </c>
      <c r="J443" s="24" t="s">
        <v>288</v>
      </c>
      <c r="K443" s="24" t="s">
        <v>288</v>
      </c>
      <c r="L443" s="24" t="s">
        <v>288</v>
      </c>
      <c r="M443" s="8"/>
      <c r="N443" s="264"/>
    </row>
    <row r="444" spans="1:14" s="3" customFormat="1" ht="12.4" customHeight="1" x14ac:dyDescent="0.15">
      <c r="A444" s="69" t="s">
        <v>565</v>
      </c>
      <c r="B444" s="23">
        <v>18</v>
      </c>
      <c r="C444" s="6">
        <v>5</v>
      </c>
      <c r="D444" s="2" t="s">
        <v>432</v>
      </c>
      <c r="E444" s="6">
        <v>150</v>
      </c>
      <c r="F444" s="18">
        <v>0</v>
      </c>
      <c r="G444" s="18">
        <v>0</v>
      </c>
      <c r="H444" s="18">
        <v>0</v>
      </c>
      <c r="I444" s="56">
        <f t="shared" si="33"/>
        <v>0</v>
      </c>
      <c r="J444" s="24" t="s">
        <v>288</v>
      </c>
      <c r="K444" s="24" t="s">
        <v>288</v>
      </c>
      <c r="L444" s="24" t="s">
        <v>288</v>
      </c>
      <c r="M444" s="8"/>
      <c r="N444" s="264"/>
    </row>
    <row r="445" spans="1:14" s="3" customFormat="1" ht="12.4" customHeight="1" x14ac:dyDescent="0.15">
      <c r="A445" s="69" t="s">
        <v>605</v>
      </c>
      <c r="B445" s="23">
        <v>18</v>
      </c>
      <c r="C445" s="6">
        <v>6</v>
      </c>
      <c r="D445" s="2" t="s">
        <v>432</v>
      </c>
      <c r="E445" s="6">
        <v>180</v>
      </c>
      <c r="F445" s="18">
        <v>0</v>
      </c>
      <c r="G445" s="18">
        <v>0</v>
      </c>
      <c r="H445" s="18">
        <v>0</v>
      </c>
      <c r="I445" s="56">
        <f t="shared" si="33"/>
        <v>0</v>
      </c>
      <c r="J445" s="24" t="s">
        <v>288</v>
      </c>
      <c r="K445" s="24" t="s">
        <v>288</v>
      </c>
      <c r="L445" s="24" t="s">
        <v>288</v>
      </c>
      <c r="M445" s="8"/>
      <c r="N445" s="264"/>
    </row>
    <row r="446" spans="1:14" s="3" customFormat="1" ht="12.4" customHeight="1" x14ac:dyDescent="0.15">
      <c r="A446" s="69" t="s">
        <v>606</v>
      </c>
      <c r="B446" s="23">
        <v>18</v>
      </c>
      <c r="C446" s="6">
        <v>7</v>
      </c>
      <c r="D446" s="2" t="s">
        <v>432</v>
      </c>
      <c r="E446" s="6">
        <v>190</v>
      </c>
      <c r="F446" s="18">
        <v>0</v>
      </c>
      <c r="G446" s="18">
        <v>0</v>
      </c>
      <c r="H446" s="18">
        <v>0</v>
      </c>
      <c r="I446" s="56">
        <f t="shared" si="33"/>
        <v>0</v>
      </c>
      <c r="J446" s="24" t="s">
        <v>288</v>
      </c>
      <c r="K446" s="24" t="s">
        <v>288</v>
      </c>
      <c r="L446" s="24" t="s">
        <v>288</v>
      </c>
      <c r="M446" s="8"/>
      <c r="N446" s="264"/>
    </row>
    <row r="447" spans="1:14" s="3" customFormat="1" ht="12.4" customHeight="1" thickBot="1" x14ac:dyDescent="0.2">
      <c r="A447" s="70" t="s">
        <v>404</v>
      </c>
      <c r="B447" s="23">
        <v>18</v>
      </c>
      <c r="C447" s="37">
        <v>8</v>
      </c>
      <c r="D447" s="2" t="s">
        <v>432</v>
      </c>
      <c r="E447" s="37"/>
      <c r="F447" s="13">
        <f>SUM(F440:F446)</f>
        <v>344576.21</v>
      </c>
      <c r="G447" s="13">
        <f>SUM(G440:G446)</f>
        <v>0</v>
      </c>
      <c r="H447" s="13">
        <f>SUM(H440:H446)</f>
        <v>0</v>
      </c>
      <c r="I447" s="13">
        <f>SUM(I440:I446)</f>
        <v>344576.21</v>
      </c>
      <c r="J447" s="24" t="s">
        <v>288</v>
      </c>
      <c r="K447" s="24" t="s">
        <v>288</v>
      </c>
      <c r="L447" s="24" t="s">
        <v>288</v>
      </c>
      <c r="M447" s="8"/>
      <c r="N447" s="264"/>
    </row>
    <row r="448" spans="1:14" s="3" customFormat="1" ht="12.4"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4" customHeight="1" x14ac:dyDescent="0.15">
      <c r="A449" s="69" t="s">
        <v>569</v>
      </c>
      <c r="B449" s="23">
        <v>18</v>
      </c>
      <c r="C449" s="6">
        <v>9</v>
      </c>
      <c r="D449" s="2" t="s">
        <v>432</v>
      </c>
      <c r="E449" s="6">
        <v>400</v>
      </c>
      <c r="F449" s="18">
        <v>0</v>
      </c>
      <c r="G449" s="18">
        <v>0</v>
      </c>
      <c r="H449" s="18">
        <v>0</v>
      </c>
      <c r="I449" s="56">
        <f>SUM(F449:H449)</f>
        <v>0</v>
      </c>
      <c r="J449" s="24" t="s">
        <v>288</v>
      </c>
      <c r="K449" s="24" t="s">
        <v>288</v>
      </c>
      <c r="L449" s="24" t="s">
        <v>288</v>
      </c>
      <c r="M449" s="8"/>
      <c r="N449" s="264"/>
    </row>
    <row r="450" spans="1:86" s="3" customFormat="1" ht="12.4" customHeight="1" x14ac:dyDescent="0.15">
      <c r="A450" s="69" t="s">
        <v>607</v>
      </c>
      <c r="B450" s="23">
        <v>18</v>
      </c>
      <c r="C450" s="6">
        <v>10</v>
      </c>
      <c r="D450" s="2" t="s">
        <v>432</v>
      </c>
      <c r="E450" s="6">
        <v>410</v>
      </c>
      <c r="F450" s="18">
        <v>0</v>
      </c>
      <c r="G450" s="18">
        <v>0</v>
      </c>
      <c r="H450" s="18">
        <v>0</v>
      </c>
      <c r="I450" s="56">
        <f>SUM(F450:H450)</f>
        <v>0</v>
      </c>
      <c r="J450" s="24" t="s">
        <v>288</v>
      </c>
      <c r="K450" s="24" t="s">
        <v>288</v>
      </c>
      <c r="L450" s="24" t="s">
        <v>288</v>
      </c>
      <c r="M450" s="8"/>
      <c r="N450" s="264"/>
    </row>
    <row r="451" spans="1:86" s="3" customFormat="1" ht="12.4" customHeight="1" x14ac:dyDescent="0.15">
      <c r="A451" s="69" t="s">
        <v>570</v>
      </c>
      <c r="B451" s="23">
        <v>18</v>
      </c>
      <c r="C451" s="6">
        <v>11</v>
      </c>
      <c r="D451" s="2" t="s">
        <v>432</v>
      </c>
      <c r="E451" s="6">
        <v>420</v>
      </c>
      <c r="F451" s="18">
        <v>0</v>
      </c>
      <c r="G451" s="18">
        <v>0</v>
      </c>
      <c r="H451" s="18">
        <v>0</v>
      </c>
      <c r="I451" s="56">
        <f>SUM(F451:H451)</f>
        <v>0</v>
      </c>
      <c r="J451" s="24" t="s">
        <v>288</v>
      </c>
      <c r="K451" s="24" t="s">
        <v>288</v>
      </c>
      <c r="L451" s="24" t="s">
        <v>288</v>
      </c>
      <c r="M451" s="8"/>
      <c r="N451" s="264"/>
    </row>
    <row r="452" spans="1:86" s="3" customFormat="1" ht="12.4" customHeight="1" x14ac:dyDescent="0.15">
      <c r="A452" s="69" t="s">
        <v>608</v>
      </c>
      <c r="B452" s="23">
        <v>18</v>
      </c>
      <c r="C452" s="6">
        <v>12</v>
      </c>
      <c r="D452" s="2" t="s">
        <v>432</v>
      </c>
      <c r="E452" s="6">
        <v>490</v>
      </c>
      <c r="F452" s="18">
        <v>0</v>
      </c>
      <c r="G452" s="18">
        <v>0</v>
      </c>
      <c r="H452" s="18">
        <v>0</v>
      </c>
      <c r="I452" s="56">
        <f>SUM(F452:H452)</f>
        <v>0</v>
      </c>
      <c r="J452" s="24" t="s">
        <v>288</v>
      </c>
      <c r="K452" s="24" t="s">
        <v>288</v>
      </c>
      <c r="L452" s="24" t="s">
        <v>288</v>
      </c>
      <c r="M452" s="8"/>
      <c r="N452" s="264"/>
    </row>
    <row r="453" spans="1:86" s="3" customFormat="1" ht="12.4"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4"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4" customHeight="1" x14ac:dyDescent="0.15">
      <c r="A455" s="1" t="s">
        <v>858</v>
      </c>
      <c r="B455" s="23">
        <v>18</v>
      </c>
      <c r="C455" s="6">
        <v>14</v>
      </c>
      <c r="D455" s="2" t="s">
        <v>432</v>
      </c>
      <c r="E455" s="6">
        <v>753</v>
      </c>
      <c r="F455" s="18">
        <v>0</v>
      </c>
      <c r="G455" s="18">
        <v>0</v>
      </c>
      <c r="H455" s="18">
        <v>0</v>
      </c>
      <c r="I455" s="56">
        <f t="shared" ref="I455:I460" si="34">SUM(F455:H455)</f>
        <v>0</v>
      </c>
      <c r="J455" s="24" t="s">
        <v>288</v>
      </c>
      <c r="K455" s="24" t="s">
        <v>288</v>
      </c>
      <c r="L455" s="24" t="s">
        <v>288</v>
      </c>
      <c r="M455" s="8"/>
      <c r="N455" s="264"/>
    </row>
    <row r="456" spans="1:86" s="3" customFormat="1" ht="12.4" customHeight="1" x14ac:dyDescent="0.15">
      <c r="A456" s="1" t="s">
        <v>851</v>
      </c>
      <c r="B456" s="23">
        <v>18</v>
      </c>
      <c r="C456" s="6">
        <v>15</v>
      </c>
      <c r="D456" s="2"/>
      <c r="E456" s="6">
        <v>753</v>
      </c>
      <c r="F456" s="18">
        <v>0</v>
      </c>
      <c r="G456" s="18">
        <v>0</v>
      </c>
      <c r="H456" s="18">
        <v>0</v>
      </c>
      <c r="I456" s="56">
        <f t="shared" si="34"/>
        <v>0</v>
      </c>
      <c r="J456" s="24"/>
      <c r="K456" s="24"/>
      <c r="L456" s="24"/>
      <c r="M456" s="8"/>
      <c r="N456" s="264"/>
    </row>
    <row r="457" spans="1:86" s="3" customFormat="1" ht="12.4" customHeight="1" x14ac:dyDescent="0.15">
      <c r="A457" s="1" t="s">
        <v>609</v>
      </c>
      <c r="B457" s="23">
        <v>18</v>
      </c>
      <c r="C457" s="6">
        <v>16</v>
      </c>
      <c r="D457" s="2" t="s">
        <v>432</v>
      </c>
      <c r="E457" s="6">
        <v>754</v>
      </c>
      <c r="F457" s="18">
        <v>0</v>
      </c>
      <c r="G457" s="18">
        <v>0</v>
      </c>
      <c r="H457" s="18">
        <v>0</v>
      </c>
      <c r="I457" s="56">
        <f t="shared" si="34"/>
        <v>0</v>
      </c>
      <c r="J457" s="24" t="s">
        <v>288</v>
      </c>
      <c r="K457" s="24" t="s">
        <v>288</v>
      </c>
      <c r="L457" s="24" t="s">
        <v>288</v>
      </c>
      <c r="M457" s="68"/>
      <c r="N457" s="227"/>
      <c r="O457" s="58"/>
      <c r="P457" s="58"/>
    </row>
    <row r="458" spans="1:86" s="12" customFormat="1" ht="12.4" customHeight="1" thickBot="1" x14ac:dyDescent="0.25">
      <c r="A458" s="1" t="s">
        <v>854</v>
      </c>
      <c r="B458" s="23">
        <v>18</v>
      </c>
      <c r="C458" s="6">
        <v>17</v>
      </c>
      <c r="D458" s="2" t="s">
        <v>432</v>
      </c>
      <c r="E458" s="6">
        <v>756</v>
      </c>
      <c r="F458" s="18">
        <v>344576.21</v>
      </c>
      <c r="G458" s="18">
        <v>0</v>
      </c>
      <c r="H458" s="18">
        <v>0</v>
      </c>
      <c r="I458" s="56">
        <f t="shared" si="34"/>
        <v>344576.21</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4" customHeight="1" thickBot="1" x14ac:dyDescent="0.25">
      <c r="A459" s="1" t="s">
        <v>855</v>
      </c>
      <c r="B459" s="23">
        <v>18</v>
      </c>
      <c r="C459" s="6">
        <v>18</v>
      </c>
      <c r="D459" s="2"/>
      <c r="E459" s="6">
        <v>756</v>
      </c>
      <c r="F459" s="18">
        <v>0</v>
      </c>
      <c r="G459" s="18">
        <v>0</v>
      </c>
      <c r="H459" s="18">
        <v>0</v>
      </c>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4" customHeight="1" thickBot="1" x14ac:dyDescent="0.25">
      <c r="A460" s="1" t="s">
        <v>579</v>
      </c>
      <c r="B460" s="23">
        <v>18</v>
      </c>
      <c r="C460" s="6">
        <v>19</v>
      </c>
      <c r="D460" s="2" t="s">
        <v>432</v>
      </c>
      <c r="E460" s="6">
        <v>760</v>
      </c>
      <c r="F460" s="18">
        <v>0</v>
      </c>
      <c r="G460" s="18">
        <v>0</v>
      </c>
      <c r="H460" s="18">
        <v>0</v>
      </c>
      <c r="I460" s="56">
        <f t="shared" si="34"/>
        <v>0</v>
      </c>
      <c r="J460" s="24" t="s">
        <v>288</v>
      </c>
      <c r="K460" s="24" t="s">
        <v>288</v>
      </c>
      <c r="L460" s="24" t="s">
        <v>288</v>
      </c>
      <c r="N460" s="263"/>
    </row>
    <row r="461" spans="1:86" s="52" customFormat="1" ht="12.4" customHeight="1" thickTop="1" thickBot="1" x14ac:dyDescent="0.25">
      <c r="A461" s="50" t="s">
        <v>407</v>
      </c>
      <c r="B461" s="81">
        <v>18</v>
      </c>
      <c r="C461" s="51">
        <v>20</v>
      </c>
      <c r="D461" s="48" t="s">
        <v>432</v>
      </c>
      <c r="E461" s="51"/>
      <c r="F461" s="83">
        <f>SUM(F455:F460)</f>
        <v>344576.21</v>
      </c>
      <c r="G461" s="83">
        <f>SUM(G455:G460)</f>
        <v>0</v>
      </c>
      <c r="H461" s="83">
        <f>SUM(H455:H460)</f>
        <v>0</v>
      </c>
      <c r="I461" s="83">
        <f>SUM(I455:I460)</f>
        <v>344576.21</v>
      </c>
      <c r="J461" s="24" t="s">
        <v>288</v>
      </c>
      <c r="K461" s="24" t="s">
        <v>288</v>
      </c>
      <c r="L461" s="24" t="s">
        <v>288</v>
      </c>
      <c r="N461" s="263"/>
    </row>
    <row r="462" spans="1:86" s="52" customFormat="1" ht="12.4" customHeight="1" thickTop="1" x14ac:dyDescent="0.2">
      <c r="A462" s="91" t="s">
        <v>424</v>
      </c>
      <c r="B462" s="44">
        <v>18</v>
      </c>
      <c r="C462" s="82">
        <v>21</v>
      </c>
      <c r="D462" s="157" t="s">
        <v>432</v>
      </c>
      <c r="E462" s="82"/>
      <c r="F462" s="42">
        <f>F453+F461</f>
        <v>344576.21</v>
      </c>
      <c r="G462" s="42">
        <f>G453+G461</f>
        <v>0</v>
      </c>
      <c r="H462" s="42">
        <f>H453+H461</f>
        <v>0</v>
      </c>
      <c r="I462" s="42">
        <f>I453+I461</f>
        <v>344576.21</v>
      </c>
      <c r="J462" s="24" t="s">
        <v>288</v>
      </c>
      <c r="K462" s="24" t="s">
        <v>288</v>
      </c>
      <c r="L462" s="24" t="s">
        <v>288</v>
      </c>
      <c r="N462" s="263"/>
    </row>
    <row r="463" spans="1:86" s="52" customFormat="1" ht="12.4" customHeight="1" x14ac:dyDescent="0.2">
      <c r="A463" s="92"/>
      <c r="B463" s="75"/>
      <c r="C463" s="80"/>
      <c r="D463" s="80"/>
      <c r="E463" s="80"/>
      <c r="F463" s="53"/>
      <c r="G463" s="53"/>
      <c r="H463" s="53"/>
      <c r="I463" s="53"/>
      <c r="J463" s="53"/>
      <c r="K463" s="53"/>
      <c r="L463" s="53"/>
      <c r="N463" s="263"/>
    </row>
    <row r="464" spans="1:86" s="52" customFormat="1" ht="12.4"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4"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4" customHeight="1" x14ac:dyDescent="0.2">
      <c r="A466" s="189" t="s">
        <v>1625</v>
      </c>
      <c r="B466" s="105">
        <v>19</v>
      </c>
      <c r="C466" s="111">
        <v>1</v>
      </c>
      <c r="D466" s="2" t="s">
        <v>432</v>
      </c>
      <c r="E466" s="111"/>
      <c r="F466" s="18">
        <v>885453</v>
      </c>
      <c r="G466" s="18">
        <v>0</v>
      </c>
      <c r="H466" s="18">
        <v>0</v>
      </c>
      <c r="I466" s="18">
        <v>0</v>
      </c>
      <c r="J466" s="18">
        <v>175844.02</v>
      </c>
      <c r="K466" s="24" t="s">
        <v>288</v>
      </c>
      <c r="L466" s="24" t="s">
        <v>288</v>
      </c>
      <c r="N466" s="263"/>
    </row>
    <row r="467" spans="1:14" s="52" customFormat="1" ht="12.4"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4"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4" customHeight="1" x14ac:dyDescent="0.2">
      <c r="A469" s="93" t="s">
        <v>610</v>
      </c>
      <c r="B469" s="75">
        <v>19</v>
      </c>
      <c r="C469" s="80">
        <v>2</v>
      </c>
      <c r="D469" s="2" t="s">
        <v>432</v>
      </c>
      <c r="E469" s="80"/>
      <c r="F469" s="18">
        <v>11889528.35</v>
      </c>
      <c r="G469" s="18">
        <v>176257.81</v>
      </c>
      <c r="H469" s="18">
        <v>237537.52</v>
      </c>
      <c r="I469" s="18">
        <v>0</v>
      </c>
      <c r="J469" s="18">
        <v>251182.19</v>
      </c>
      <c r="K469" s="24" t="s">
        <v>288</v>
      </c>
      <c r="L469" s="24" t="s">
        <v>288</v>
      </c>
      <c r="N469" s="263"/>
    </row>
    <row r="470" spans="1:14" s="52" customFormat="1" ht="12.4" customHeight="1" x14ac:dyDescent="0.2">
      <c r="A470" s="93" t="s">
        <v>611</v>
      </c>
      <c r="B470" s="75">
        <v>19</v>
      </c>
      <c r="C470" s="80">
        <v>3</v>
      </c>
      <c r="D470" s="2" t="s">
        <v>432</v>
      </c>
      <c r="E470" s="80"/>
      <c r="F470" s="18">
        <v>0</v>
      </c>
      <c r="G470" s="18">
        <v>0</v>
      </c>
      <c r="H470" s="18">
        <v>0</v>
      </c>
      <c r="I470" s="18">
        <v>0</v>
      </c>
      <c r="J470" s="18">
        <v>0</v>
      </c>
      <c r="K470" s="24" t="s">
        <v>288</v>
      </c>
      <c r="L470" s="24" t="s">
        <v>288</v>
      </c>
      <c r="N470" s="263"/>
    </row>
    <row r="471" spans="1:14" s="52" customFormat="1" ht="12.4" customHeight="1" x14ac:dyDescent="0.2">
      <c r="A471" s="92" t="s">
        <v>425</v>
      </c>
      <c r="B471" s="75">
        <v>19</v>
      </c>
      <c r="C471" s="80">
        <v>4</v>
      </c>
      <c r="D471" s="2" t="s">
        <v>432</v>
      </c>
      <c r="E471" s="80"/>
      <c r="F471" s="53">
        <f>SUM(F469:F470)</f>
        <v>11889528.35</v>
      </c>
      <c r="G471" s="53">
        <f>SUM(G469:G470)</f>
        <v>176257.81</v>
      </c>
      <c r="H471" s="53">
        <f>SUM(H469:H470)</f>
        <v>237537.52</v>
      </c>
      <c r="I471" s="53">
        <f>SUM(I469:I470)</f>
        <v>0</v>
      </c>
      <c r="J471" s="53">
        <f>SUM(J469:J470)</f>
        <v>251182.19</v>
      </c>
      <c r="K471" s="24" t="s">
        <v>288</v>
      </c>
      <c r="L471" s="24" t="s">
        <v>288</v>
      </c>
      <c r="N471" s="263"/>
    </row>
    <row r="472" spans="1:14" s="52" customFormat="1" ht="12.4"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4" customHeight="1" x14ac:dyDescent="0.2">
      <c r="A473" s="93" t="s">
        <v>612</v>
      </c>
      <c r="B473" s="75">
        <v>19</v>
      </c>
      <c r="C473" s="80">
        <v>5</v>
      </c>
      <c r="D473" s="2" t="s">
        <v>432</v>
      </c>
      <c r="E473" s="80"/>
      <c r="F473" s="18">
        <v>11490033.43</v>
      </c>
      <c r="G473" s="18">
        <v>181096.06</v>
      </c>
      <c r="H473" s="18">
        <v>554250.21</v>
      </c>
      <c r="I473" s="18">
        <v>0</v>
      </c>
      <c r="J473" s="18">
        <v>82450</v>
      </c>
      <c r="K473" s="24" t="s">
        <v>288</v>
      </c>
      <c r="L473" s="24" t="s">
        <v>288</v>
      </c>
      <c r="N473" s="263"/>
    </row>
    <row r="474" spans="1:14" s="52" customFormat="1" ht="12.4" customHeight="1" x14ac:dyDescent="0.2">
      <c r="A474" s="93" t="s">
        <v>613</v>
      </c>
      <c r="B474" s="75">
        <v>19</v>
      </c>
      <c r="C474" s="80">
        <v>6</v>
      </c>
      <c r="D474" s="2" t="s">
        <v>432</v>
      </c>
      <c r="E474" s="80"/>
      <c r="F474" s="18">
        <v>0</v>
      </c>
      <c r="G474" s="18">
        <v>0</v>
      </c>
      <c r="H474" s="18">
        <v>0</v>
      </c>
      <c r="I474" s="18">
        <v>0</v>
      </c>
      <c r="J474" s="18">
        <v>0</v>
      </c>
      <c r="K474" s="24" t="s">
        <v>288</v>
      </c>
      <c r="L474" s="24" t="s">
        <v>288</v>
      </c>
      <c r="N474" s="263"/>
    </row>
    <row r="475" spans="1:14" s="52" customFormat="1" ht="12.4" customHeight="1" x14ac:dyDescent="0.2">
      <c r="A475" s="92" t="s">
        <v>426</v>
      </c>
      <c r="B475" s="75">
        <v>19</v>
      </c>
      <c r="C475" s="80">
        <v>7</v>
      </c>
      <c r="D475" s="2" t="s">
        <v>432</v>
      </c>
      <c r="E475" s="80"/>
      <c r="F475" s="53">
        <f>SUM(F473:F474)</f>
        <v>11490033.43</v>
      </c>
      <c r="G475" s="53">
        <f>SUM(G473:G474)</f>
        <v>181096.06</v>
      </c>
      <c r="H475" s="53">
        <f>SUM(H473:H474)</f>
        <v>554250.21</v>
      </c>
      <c r="I475" s="53">
        <f>SUM(I473:I474)</f>
        <v>0</v>
      </c>
      <c r="J475" s="53">
        <f>SUM(J473:J474)</f>
        <v>82450</v>
      </c>
      <c r="K475" s="24" t="s">
        <v>288</v>
      </c>
      <c r="L475" s="24" t="s">
        <v>288</v>
      </c>
      <c r="N475" s="263"/>
    </row>
    <row r="476" spans="1:14" s="52" customFormat="1" ht="12.4"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4" customHeight="1" x14ac:dyDescent="0.2">
      <c r="A477" s="190" t="s">
        <v>1626</v>
      </c>
      <c r="B477" s="75">
        <v>19</v>
      </c>
      <c r="C477" s="115">
        <v>8</v>
      </c>
      <c r="D477" s="2" t="s">
        <v>432</v>
      </c>
      <c r="E477" s="115"/>
      <c r="F477" s="53">
        <f>(F466+F471)- F475</f>
        <v>1284947.92</v>
      </c>
      <c r="G477" s="53">
        <f>(G466+G471)- G475</f>
        <v>-4838.25</v>
      </c>
      <c r="H477" s="53">
        <f>(H466+H471)- H475</f>
        <v>-316712.68999999994</v>
      </c>
      <c r="I477" s="53">
        <f>(I466+I471)- I475</f>
        <v>0</v>
      </c>
      <c r="J477" s="53">
        <f>(J466+J471)- J475</f>
        <v>344576.20999999996</v>
      </c>
      <c r="K477" s="24" t="s">
        <v>288</v>
      </c>
      <c r="L477" s="24" t="s">
        <v>288</v>
      </c>
      <c r="N477" s="263"/>
    </row>
    <row r="478" spans="1:14" s="52" customFormat="1" ht="12.4" customHeight="1" x14ac:dyDescent="0.2">
      <c r="A478" s="95"/>
      <c r="B478" s="95"/>
      <c r="C478" s="95"/>
      <c r="D478" s="95"/>
      <c r="E478" s="95"/>
      <c r="F478" s="95"/>
      <c r="G478" s="95"/>
      <c r="H478" s="95"/>
      <c r="I478" s="95"/>
      <c r="J478" s="95"/>
      <c r="K478" s="95"/>
      <c r="L478" s="95"/>
      <c r="N478" s="263"/>
    </row>
    <row r="479" spans="1:14" s="52" customFormat="1" ht="12.4" customHeight="1" x14ac:dyDescent="0.2">
      <c r="A479" s="95" t="s">
        <v>657</v>
      </c>
      <c r="B479" s="95"/>
      <c r="C479" s="95"/>
      <c r="D479" s="95"/>
      <c r="E479" s="95"/>
      <c r="F479" s="95"/>
      <c r="G479" s="95"/>
      <c r="H479" s="95"/>
      <c r="I479" s="95"/>
      <c r="J479" s="95"/>
      <c r="K479" s="95"/>
      <c r="L479" s="95"/>
      <c r="N479" s="263"/>
    </row>
    <row r="480" spans="1:14" s="52" customFormat="1" ht="12.4" customHeight="1" x14ac:dyDescent="0.2">
      <c r="A480" s="95" t="s">
        <v>695</v>
      </c>
      <c r="B480" s="112"/>
      <c r="C480" s="112"/>
      <c r="D480" s="112"/>
      <c r="E480" s="112"/>
      <c r="F480" s="112"/>
      <c r="G480" s="112"/>
      <c r="H480" s="112"/>
      <c r="I480" s="112" t="s">
        <v>17</v>
      </c>
      <c r="J480" s="112"/>
      <c r="K480" s="95"/>
      <c r="L480" s="95"/>
      <c r="N480" s="263"/>
    </row>
    <row r="481" spans="1:14" s="52" customFormat="1" ht="12.4" customHeight="1" x14ac:dyDescent="0.2">
      <c r="A481" s="18"/>
      <c r="B481" s="112"/>
      <c r="C481" s="112"/>
      <c r="D481" s="112"/>
      <c r="E481" s="112"/>
      <c r="F481" s="112"/>
      <c r="G481" s="112"/>
      <c r="H481" s="112"/>
      <c r="I481" s="112" t="s">
        <v>401</v>
      </c>
      <c r="J481" s="112"/>
      <c r="K481" s="95"/>
      <c r="L481" s="95"/>
      <c r="N481" s="263"/>
    </row>
    <row r="482" spans="1:14" s="52" customFormat="1" ht="12.4" customHeight="1" x14ac:dyDescent="0.2">
      <c r="A482" s="175"/>
      <c r="B482" s="112"/>
      <c r="C482" s="112"/>
      <c r="D482" s="112"/>
      <c r="E482" s="112"/>
      <c r="F482" s="112"/>
      <c r="G482" s="112"/>
      <c r="H482" s="112"/>
      <c r="I482" s="112" t="s">
        <v>650</v>
      </c>
      <c r="J482" s="112"/>
      <c r="K482" s="95"/>
      <c r="L482" s="95"/>
      <c r="N482" s="263"/>
    </row>
    <row r="483" spans="1:14" s="52" customFormat="1" ht="12.4" customHeight="1" x14ac:dyDescent="0.2">
      <c r="A483" s="95" t="s">
        <v>696</v>
      </c>
      <c r="B483" s="112"/>
      <c r="C483" s="112"/>
      <c r="D483" s="112"/>
      <c r="E483" s="112"/>
      <c r="F483" s="112"/>
      <c r="G483" s="112"/>
      <c r="H483" s="112"/>
      <c r="I483" s="112" t="s">
        <v>473</v>
      </c>
      <c r="J483" s="112"/>
      <c r="K483" s="95"/>
      <c r="L483" s="95"/>
      <c r="N483" s="263"/>
    </row>
    <row r="484" spans="1:14" s="52" customFormat="1" ht="12.4" customHeight="1" x14ac:dyDescent="0.2">
      <c r="A484" s="174"/>
      <c r="B484" s="112"/>
      <c r="C484" s="112"/>
      <c r="D484" s="112"/>
      <c r="E484" s="112"/>
      <c r="F484" s="112"/>
      <c r="G484" s="112"/>
      <c r="H484" s="112"/>
      <c r="I484" s="112" t="s">
        <v>18</v>
      </c>
      <c r="J484" s="112"/>
      <c r="K484" s="95"/>
      <c r="L484" s="95"/>
      <c r="N484" s="263"/>
    </row>
    <row r="485" spans="1:14" s="52" customFormat="1" ht="12.4" customHeight="1" x14ac:dyDescent="0.2">
      <c r="A485" s="174"/>
      <c r="B485" s="112"/>
      <c r="C485" s="112"/>
      <c r="D485" s="112"/>
      <c r="E485" s="112"/>
      <c r="F485" s="112"/>
      <c r="G485" s="112"/>
      <c r="H485" s="112"/>
      <c r="I485" s="112" t="s">
        <v>474</v>
      </c>
      <c r="J485" s="112"/>
      <c r="K485" s="95"/>
      <c r="L485" s="95"/>
      <c r="N485" s="263"/>
    </row>
    <row r="486" spans="1:14" s="52" customFormat="1" ht="12.4" customHeight="1" x14ac:dyDescent="0.2">
      <c r="A486" s="174"/>
      <c r="B486" s="112"/>
      <c r="C486" s="112"/>
      <c r="D486" s="112"/>
      <c r="E486" s="112"/>
      <c r="F486" s="112"/>
      <c r="G486" s="112"/>
      <c r="H486" s="112"/>
      <c r="I486" s="112" t="s">
        <v>475</v>
      </c>
      <c r="J486" s="112"/>
      <c r="K486" s="95"/>
      <c r="L486" s="95"/>
      <c r="N486" s="263"/>
    </row>
    <row r="487" spans="1:14" s="52" customFormat="1" ht="12.4" customHeight="1" x14ac:dyDescent="0.2">
      <c r="A487" s="22"/>
      <c r="B487" s="112"/>
      <c r="C487" s="112"/>
      <c r="D487" s="112"/>
      <c r="E487" s="112"/>
      <c r="F487" s="112"/>
      <c r="G487" s="112"/>
      <c r="H487" s="112"/>
      <c r="I487" s="112"/>
      <c r="J487" s="112"/>
      <c r="K487" s="95"/>
      <c r="L487" s="95"/>
      <c r="N487" s="263"/>
    </row>
    <row r="488" spans="1:14" s="52" customFormat="1" ht="12.4" customHeight="1" x14ac:dyDescent="0.2">
      <c r="A488" s="96" t="s">
        <v>19</v>
      </c>
      <c r="B488" s="105"/>
      <c r="C488" s="115"/>
      <c r="D488" s="115"/>
      <c r="E488" s="115"/>
      <c r="F488" s="116"/>
      <c r="G488" s="116"/>
      <c r="H488" s="116"/>
      <c r="I488" s="116"/>
      <c r="J488" s="116"/>
      <c r="K488" s="116"/>
      <c r="L488" s="116"/>
      <c r="N488" s="263"/>
    </row>
    <row r="489" spans="1:14" s="52" customFormat="1" ht="12.4"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4"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4" customHeight="1" x14ac:dyDescent="0.2">
      <c r="A491" s="22" t="s">
        <v>614</v>
      </c>
      <c r="B491" s="75">
        <v>20</v>
      </c>
      <c r="C491" s="115">
        <v>1</v>
      </c>
      <c r="D491" s="2" t="s">
        <v>432</v>
      </c>
      <c r="E491" s="115"/>
      <c r="F491" s="154">
        <v>20</v>
      </c>
      <c r="G491" s="18">
        <v>0</v>
      </c>
      <c r="H491" s="18">
        <v>0</v>
      </c>
      <c r="I491" s="18">
        <v>0</v>
      </c>
      <c r="J491" s="18">
        <v>0</v>
      </c>
      <c r="K491" s="24" t="s">
        <v>288</v>
      </c>
      <c r="L491" s="24" t="s">
        <v>288</v>
      </c>
      <c r="N491" s="263"/>
    </row>
    <row r="492" spans="1:14" s="52" customFormat="1" ht="12.4" customHeight="1" x14ac:dyDescent="0.2">
      <c r="A492" s="22" t="s">
        <v>615</v>
      </c>
      <c r="B492" s="75">
        <v>20</v>
      </c>
      <c r="C492" s="115">
        <v>2</v>
      </c>
      <c r="D492" s="2" t="s">
        <v>432</v>
      </c>
      <c r="E492" s="115"/>
      <c r="F492" s="155" t="s">
        <v>1672</v>
      </c>
      <c r="G492" s="18">
        <v>0</v>
      </c>
      <c r="H492" s="18">
        <v>0</v>
      </c>
      <c r="I492" s="18">
        <v>0</v>
      </c>
      <c r="J492" s="18">
        <v>0</v>
      </c>
      <c r="K492" s="24" t="s">
        <v>288</v>
      </c>
      <c r="L492" s="24" t="s">
        <v>288</v>
      </c>
      <c r="N492" s="263"/>
    </row>
    <row r="493" spans="1:14" s="52" customFormat="1" ht="12.4" customHeight="1" x14ac:dyDescent="0.2">
      <c r="A493" s="22" t="s">
        <v>616</v>
      </c>
      <c r="B493" s="75">
        <v>20</v>
      </c>
      <c r="C493" s="115">
        <v>3</v>
      </c>
      <c r="D493" s="2" t="s">
        <v>432</v>
      </c>
      <c r="E493" s="115"/>
      <c r="F493" s="155" t="s">
        <v>1673</v>
      </c>
      <c r="G493" s="18">
        <v>0</v>
      </c>
      <c r="H493" s="18">
        <v>0</v>
      </c>
      <c r="I493" s="18">
        <v>0</v>
      </c>
      <c r="J493" s="18">
        <v>0</v>
      </c>
      <c r="K493" s="24" t="s">
        <v>288</v>
      </c>
      <c r="L493" s="24" t="s">
        <v>288</v>
      </c>
      <c r="N493" s="263"/>
    </row>
    <row r="494" spans="1:14" s="52" customFormat="1" ht="12.4" customHeight="1" x14ac:dyDescent="0.2">
      <c r="A494" s="22" t="s">
        <v>617</v>
      </c>
      <c r="B494" s="75">
        <v>20</v>
      </c>
      <c r="C494" s="115">
        <v>4</v>
      </c>
      <c r="D494" s="2" t="s">
        <v>432</v>
      </c>
      <c r="E494" s="115"/>
      <c r="F494" s="18">
        <v>7640000</v>
      </c>
      <c r="G494" s="18">
        <v>0</v>
      </c>
      <c r="H494" s="18">
        <v>0</v>
      </c>
      <c r="I494" s="18">
        <v>0</v>
      </c>
      <c r="J494" s="18">
        <v>0</v>
      </c>
      <c r="K494" s="24" t="s">
        <v>288</v>
      </c>
      <c r="L494" s="24" t="s">
        <v>288</v>
      </c>
      <c r="N494" s="263"/>
    </row>
    <row r="495" spans="1:14" s="52" customFormat="1" ht="12.4" customHeight="1" x14ac:dyDescent="0.2">
      <c r="A495" s="22" t="s">
        <v>618</v>
      </c>
      <c r="B495" s="75">
        <v>20</v>
      </c>
      <c r="C495" s="115">
        <v>5</v>
      </c>
      <c r="D495" s="2" t="s">
        <v>432</v>
      </c>
      <c r="E495" s="115"/>
      <c r="F495" s="18">
        <v>3.4</v>
      </c>
      <c r="G495" s="18">
        <v>0</v>
      </c>
      <c r="H495" s="18">
        <v>0</v>
      </c>
      <c r="I495" s="18">
        <v>0</v>
      </c>
      <c r="J495" s="18">
        <v>0</v>
      </c>
      <c r="K495" s="24" t="s">
        <v>288</v>
      </c>
      <c r="L495" s="24" t="s">
        <v>288</v>
      </c>
      <c r="N495" s="263"/>
    </row>
    <row r="496" spans="1:14" s="52" customFormat="1" ht="12.4" customHeight="1" x14ac:dyDescent="0.2">
      <c r="A496" s="22" t="s">
        <v>619</v>
      </c>
      <c r="B496" s="75">
        <v>20</v>
      </c>
      <c r="C496" s="115">
        <v>6</v>
      </c>
      <c r="D496" s="2" t="s">
        <v>432</v>
      </c>
      <c r="E496" s="115"/>
      <c r="F496" s="18">
        <v>6755000</v>
      </c>
      <c r="G496" s="18">
        <v>0</v>
      </c>
      <c r="H496" s="18">
        <v>0</v>
      </c>
      <c r="I496" s="18">
        <v>0</v>
      </c>
      <c r="J496" s="18">
        <v>0</v>
      </c>
      <c r="K496" s="53">
        <f>SUM(F496:J496)</f>
        <v>6755000</v>
      </c>
      <c r="L496" s="24" t="s">
        <v>288</v>
      </c>
      <c r="N496" s="263"/>
    </row>
    <row r="497" spans="1:14" s="52" customFormat="1" ht="12.4" customHeight="1" x14ac:dyDescent="0.2">
      <c r="A497" s="22" t="s">
        <v>620</v>
      </c>
      <c r="B497" s="75">
        <v>20</v>
      </c>
      <c r="C497" s="115">
        <v>7</v>
      </c>
      <c r="D497" s="2" t="s">
        <v>432</v>
      </c>
      <c r="E497" s="115"/>
      <c r="F497" s="18">
        <v>0</v>
      </c>
      <c r="G497" s="18">
        <v>0</v>
      </c>
      <c r="H497" s="18">
        <v>0</v>
      </c>
      <c r="I497" s="18">
        <v>0</v>
      </c>
      <c r="J497" s="18">
        <v>0</v>
      </c>
      <c r="K497" s="53">
        <f t="shared" ref="K497:K504" si="35">SUM(F497:J497)</f>
        <v>0</v>
      </c>
      <c r="L497" s="24" t="s">
        <v>288</v>
      </c>
      <c r="N497" s="263"/>
    </row>
    <row r="498" spans="1:14" s="52" customFormat="1" ht="12.4" customHeight="1" x14ac:dyDescent="0.2">
      <c r="A498" s="22" t="s">
        <v>621</v>
      </c>
      <c r="B498" s="75">
        <v>20</v>
      </c>
      <c r="C498" s="115">
        <v>8</v>
      </c>
      <c r="D498" s="2" t="s">
        <v>432</v>
      </c>
      <c r="E498" s="115"/>
      <c r="F498" s="18">
        <v>325000</v>
      </c>
      <c r="G498" s="18">
        <v>0</v>
      </c>
      <c r="H498" s="18">
        <v>0</v>
      </c>
      <c r="I498" s="18">
        <v>0</v>
      </c>
      <c r="J498" s="18">
        <v>0</v>
      </c>
      <c r="K498" s="53">
        <f t="shared" si="35"/>
        <v>325000</v>
      </c>
      <c r="L498" s="24" t="s">
        <v>288</v>
      </c>
      <c r="N498" s="263"/>
    </row>
    <row r="499" spans="1:14" s="52" customFormat="1" ht="12.4" customHeight="1" x14ac:dyDescent="0.2">
      <c r="A499" s="200" t="s">
        <v>622</v>
      </c>
      <c r="B499" s="201">
        <v>20</v>
      </c>
      <c r="C499" s="202">
        <v>9</v>
      </c>
      <c r="D499" s="203" t="s">
        <v>432</v>
      </c>
      <c r="E499" s="202"/>
      <c r="F499" s="204">
        <v>6430000</v>
      </c>
      <c r="G499" s="18">
        <v>0</v>
      </c>
      <c r="H499" s="18">
        <v>0</v>
      </c>
      <c r="I499" s="18">
        <v>0</v>
      </c>
      <c r="J499" s="18">
        <v>0</v>
      </c>
      <c r="K499" s="205">
        <f t="shared" si="35"/>
        <v>6430000</v>
      </c>
      <c r="L499" s="206" t="s">
        <v>288</v>
      </c>
      <c r="N499" s="263"/>
    </row>
    <row r="500" spans="1:14" s="52" customFormat="1" ht="12.4" customHeight="1" thickBot="1" x14ac:dyDescent="0.25">
      <c r="A500" s="22" t="s">
        <v>623</v>
      </c>
      <c r="B500" s="75">
        <v>20</v>
      </c>
      <c r="C500" s="115">
        <v>10</v>
      </c>
      <c r="D500" s="2" t="s">
        <v>432</v>
      </c>
      <c r="E500" s="115"/>
      <c r="F500" s="18">
        <v>1696407.5</v>
      </c>
      <c r="G500" s="18">
        <v>0</v>
      </c>
      <c r="H500" s="18">
        <v>0</v>
      </c>
      <c r="I500" s="18">
        <v>0</v>
      </c>
      <c r="J500" s="18">
        <v>0</v>
      </c>
      <c r="K500" s="53">
        <f t="shared" si="35"/>
        <v>1696407.5</v>
      </c>
      <c r="L500" s="24" t="s">
        <v>288</v>
      </c>
      <c r="N500" s="263"/>
    </row>
    <row r="501" spans="1:14" s="52" customFormat="1" ht="12.4" customHeight="1" thickTop="1" x14ac:dyDescent="0.2">
      <c r="A501" s="139" t="s">
        <v>624</v>
      </c>
      <c r="B501" s="44">
        <v>20</v>
      </c>
      <c r="C501" s="195">
        <v>11</v>
      </c>
      <c r="D501" s="39" t="s">
        <v>432</v>
      </c>
      <c r="E501" s="195"/>
      <c r="F501" s="42">
        <f>SUM(F499:F500)</f>
        <v>8126407.5</v>
      </c>
      <c r="G501" s="42">
        <f>SUM(G499:G500)</f>
        <v>0</v>
      </c>
      <c r="H501" s="42">
        <f>SUM(H499:H500)</f>
        <v>0</v>
      </c>
      <c r="I501" s="42">
        <f>SUM(I499:I500)</f>
        <v>0</v>
      </c>
      <c r="J501" s="42">
        <f>SUM(J499:J500)</f>
        <v>0</v>
      </c>
      <c r="K501" s="42">
        <f t="shared" si="35"/>
        <v>8126407.5</v>
      </c>
      <c r="L501" s="45" t="s">
        <v>288</v>
      </c>
      <c r="N501" s="263"/>
    </row>
    <row r="502" spans="1:14" s="52" customFormat="1" ht="12.4" customHeight="1" x14ac:dyDescent="0.2">
      <c r="A502" s="200" t="s">
        <v>651</v>
      </c>
      <c r="B502" s="201">
        <v>20</v>
      </c>
      <c r="C502" s="202">
        <v>12</v>
      </c>
      <c r="D502" s="203" t="s">
        <v>432</v>
      </c>
      <c r="E502" s="202"/>
      <c r="F502" s="204">
        <v>340000</v>
      </c>
      <c r="G502" s="18">
        <v>0</v>
      </c>
      <c r="H502" s="18">
        <v>0</v>
      </c>
      <c r="I502" s="18">
        <v>0</v>
      </c>
      <c r="J502" s="18">
        <v>0</v>
      </c>
      <c r="K502" s="205">
        <f t="shared" si="35"/>
        <v>340000</v>
      </c>
      <c r="L502" s="206" t="s">
        <v>288</v>
      </c>
      <c r="N502" s="263"/>
    </row>
    <row r="503" spans="1:14" s="52" customFormat="1" ht="12.4" customHeight="1" thickBot="1" x14ac:dyDescent="0.25">
      <c r="A503" s="22" t="s">
        <v>625</v>
      </c>
      <c r="B503" s="75">
        <v>20</v>
      </c>
      <c r="C503" s="115">
        <v>13</v>
      </c>
      <c r="D503" s="2" t="s">
        <v>432</v>
      </c>
      <c r="E503" s="115"/>
      <c r="F503" s="18">
        <v>261310</v>
      </c>
      <c r="G503" s="18">
        <v>0</v>
      </c>
      <c r="H503" s="18">
        <v>0</v>
      </c>
      <c r="I503" s="18">
        <v>0</v>
      </c>
      <c r="J503" s="18">
        <v>0</v>
      </c>
      <c r="K503" s="53">
        <f t="shared" si="35"/>
        <v>261310</v>
      </c>
      <c r="L503" s="24" t="s">
        <v>288</v>
      </c>
      <c r="N503" s="263"/>
    </row>
    <row r="504" spans="1:14" s="52" customFormat="1" ht="12.4" customHeight="1" thickTop="1" x14ac:dyDescent="0.2">
      <c r="A504" s="139" t="s">
        <v>626</v>
      </c>
      <c r="B504" s="44">
        <v>20</v>
      </c>
      <c r="C504" s="195">
        <v>14</v>
      </c>
      <c r="D504" s="39" t="s">
        <v>432</v>
      </c>
      <c r="E504" s="195"/>
      <c r="F504" s="42">
        <f>SUM(F502:F503)</f>
        <v>601310</v>
      </c>
      <c r="G504" s="42">
        <f>SUM(G502:G503)</f>
        <v>0</v>
      </c>
      <c r="H504" s="42">
        <f>SUM(H502:H503)</f>
        <v>0</v>
      </c>
      <c r="I504" s="42">
        <f>SUM(I502:I503)</f>
        <v>0</v>
      </c>
      <c r="J504" s="42">
        <f>SUM(J502:J503)</f>
        <v>0</v>
      </c>
      <c r="K504" s="42">
        <f t="shared" si="35"/>
        <v>601310</v>
      </c>
      <c r="L504" s="45" t="s">
        <v>288</v>
      </c>
      <c r="N504" s="263"/>
    </row>
    <row r="505" spans="1:14" s="52" customFormat="1" ht="12.4" customHeight="1" x14ac:dyDescent="0.2">
      <c r="A505" s="96"/>
      <c r="B505" s="105"/>
      <c r="C505" s="115"/>
      <c r="D505" s="115"/>
      <c r="E505" s="115"/>
      <c r="F505" s="103"/>
      <c r="G505" s="103"/>
      <c r="H505" s="106"/>
      <c r="I505" s="106"/>
      <c r="J505" s="106"/>
      <c r="K505" s="106"/>
      <c r="L505" s="106"/>
      <c r="N505" s="263"/>
    </row>
    <row r="506" spans="1:14" s="52" customFormat="1" ht="12.4" customHeight="1" x14ac:dyDescent="0.2">
      <c r="C506" s="115"/>
      <c r="D506" s="115"/>
      <c r="E506" s="115"/>
      <c r="F506" s="103"/>
      <c r="G506" s="103"/>
      <c r="H506" s="106"/>
      <c r="I506" s="106"/>
      <c r="J506" s="106"/>
      <c r="K506" s="106"/>
      <c r="L506" s="106"/>
      <c r="N506" s="263"/>
    </row>
    <row r="507" spans="1:14" s="52" customFormat="1" ht="12.4" customHeight="1" x14ac:dyDescent="0.2">
      <c r="B507" s="105"/>
      <c r="F507" s="52" t="s">
        <v>41</v>
      </c>
      <c r="G507" s="103" t="s">
        <v>42</v>
      </c>
      <c r="H507" s="103" t="s">
        <v>43</v>
      </c>
      <c r="I507" s="106" t="s">
        <v>44</v>
      </c>
      <c r="J507" s="24" t="s">
        <v>288</v>
      </c>
      <c r="K507" s="24" t="s">
        <v>288</v>
      </c>
      <c r="L507" s="24" t="s">
        <v>288</v>
      </c>
      <c r="N507" s="263"/>
    </row>
    <row r="508" spans="1:14" s="52" customFormat="1" ht="12.4"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4" customHeight="1" x14ac:dyDescent="0.2">
      <c r="A509" s="96" t="s">
        <v>45</v>
      </c>
      <c r="B509" s="22"/>
      <c r="C509" s="22"/>
      <c r="D509" s="22"/>
      <c r="E509" s="22"/>
      <c r="F509" s="22"/>
      <c r="G509" s="22"/>
      <c r="H509" s="22"/>
      <c r="I509" s="22"/>
      <c r="J509" s="53"/>
      <c r="K509" s="53"/>
      <c r="L509" s="53"/>
      <c r="N509" s="263"/>
    </row>
    <row r="510" spans="1:14" s="52" customFormat="1" ht="12.4" customHeight="1" x14ac:dyDescent="0.2">
      <c r="A510" s="350" t="s">
        <v>1627</v>
      </c>
      <c r="B510" s="22"/>
      <c r="C510" s="22"/>
      <c r="D510" s="22"/>
      <c r="E510" s="22"/>
      <c r="F510" s="122" t="s">
        <v>46</v>
      </c>
      <c r="G510" s="122"/>
      <c r="H510" s="123" t="s">
        <v>47</v>
      </c>
      <c r="I510" s="123"/>
      <c r="J510" s="53"/>
      <c r="K510" s="53"/>
      <c r="L510" s="53"/>
      <c r="N510" s="263"/>
    </row>
    <row r="511" spans="1:14" s="52" customFormat="1" ht="12.4" customHeight="1" x14ac:dyDescent="0.2">
      <c r="A511" s="96"/>
      <c r="B511" s="22"/>
      <c r="C511" s="22"/>
      <c r="D511" s="22"/>
      <c r="E511" s="22"/>
      <c r="F511" s="113" t="s">
        <v>48</v>
      </c>
      <c r="G511" s="113" t="s">
        <v>49</v>
      </c>
      <c r="H511" s="114" t="s">
        <v>48</v>
      </c>
      <c r="I511" s="114" t="s">
        <v>49</v>
      </c>
      <c r="J511" s="53"/>
      <c r="K511" s="53"/>
      <c r="L511" s="53"/>
      <c r="N511" s="263"/>
    </row>
    <row r="512" spans="1:14" s="52" customFormat="1" ht="12.4" customHeight="1" x14ac:dyDescent="0.2">
      <c r="A512" s="22" t="s">
        <v>627</v>
      </c>
      <c r="B512" s="75">
        <v>20</v>
      </c>
      <c r="C512" s="115">
        <v>16</v>
      </c>
      <c r="D512" s="2" t="s">
        <v>432</v>
      </c>
      <c r="E512" s="115">
        <v>210</v>
      </c>
      <c r="F512" s="18">
        <v>0</v>
      </c>
      <c r="G512" s="24" t="s">
        <v>288</v>
      </c>
      <c r="H512" s="18">
        <v>0</v>
      </c>
      <c r="I512" s="24" t="s">
        <v>288</v>
      </c>
      <c r="J512" s="24" t="s">
        <v>288</v>
      </c>
      <c r="K512" s="24" t="s">
        <v>288</v>
      </c>
      <c r="L512" s="24" t="s">
        <v>288</v>
      </c>
      <c r="N512" s="263"/>
    </row>
    <row r="513" spans="1:14" s="52" customFormat="1" ht="12.4" customHeight="1" x14ac:dyDescent="0.2">
      <c r="A513" s="22" t="s">
        <v>628</v>
      </c>
      <c r="B513" s="75">
        <v>20</v>
      </c>
      <c r="C513" s="115">
        <v>17</v>
      </c>
      <c r="D513" s="2" t="s">
        <v>432</v>
      </c>
      <c r="E513" s="115">
        <v>220</v>
      </c>
      <c r="F513" s="18">
        <v>0</v>
      </c>
      <c r="G513" s="24" t="s">
        <v>288</v>
      </c>
      <c r="H513" s="18">
        <v>0</v>
      </c>
      <c r="I513" s="24" t="s">
        <v>288</v>
      </c>
      <c r="J513" s="24" t="s">
        <v>288</v>
      </c>
      <c r="K513" s="24" t="s">
        <v>288</v>
      </c>
      <c r="L513" s="24" t="s">
        <v>288</v>
      </c>
      <c r="N513" s="263"/>
    </row>
    <row r="514" spans="1:14" s="52" customFormat="1" ht="12.4" customHeight="1" x14ac:dyDescent="0.2">
      <c r="A514" s="22" t="s">
        <v>629</v>
      </c>
      <c r="B514" s="75">
        <v>20</v>
      </c>
      <c r="C514" s="115">
        <v>18</v>
      </c>
      <c r="D514" s="2" t="s">
        <v>432</v>
      </c>
      <c r="E514" s="115">
        <v>230</v>
      </c>
      <c r="F514" s="18">
        <v>0</v>
      </c>
      <c r="G514" s="24" t="s">
        <v>288</v>
      </c>
      <c r="H514" s="18">
        <v>0</v>
      </c>
      <c r="I514" s="24" t="s">
        <v>288</v>
      </c>
      <c r="J514" s="24" t="s">
        <v>288</v>
      </c>
      <c r="K514" s="24" t="s">
        <v>288</v>
      </c>
      <c r="L514" s="24" t="s">
        <v>288</v>
      </c>
      <c r="N514" s="263"/>
    </row>
    <row r="515" spans="1:14" s="52" customFormat="1" ht="12.4" customHeight="1" x14ac:dyDescent="0.2">
      <c r="A515" s="22" t="s">
        <v>630</v>
      </c>
      <c r="B515" s="75">
        <v>20</v>
      </c>
      <c r="C515" s="115">
        <v>19</v>
      </c>
      <c r="D515" s="2" t="s">
        <v>432</v>
      </c>
      <c r="E515" s="115">
        <v>240</v>
      </c>
      <c r="F515" s="18">
        <v>0</v>
      </c>
      <c r="G515" s="24" t="s">
        <v>288</v>
      </c>
      <c r="H515" s="18">
        <v>0</v>
      </c>
      <c r="I515" s="24" t="s">
        <v>288</v>
      </c>
      <c r="J515" s="24" t="s">
        <v>288</v>
      </c>
      <c r="K515" s="24" t="s">
        <v>288</v>
      </c>
      <c r="L515" s="24" t="s">
        <v>288</v>
      </c>
      <c r="N515" s="263"/>
    </row>
    <row r="516" spans="1:14" s="52" customFormat="1" ht="12.4" customHeight="1" x14ac:dyDescent="0.2">
      <c r="A516" s="22" t="s">
        <v>631</v>
      </c>
      <c r="B516" s="75">
        <v>20</v>
      </c>
      <c r="C516" s="115">
        <v>20</v>
      </c>
      <c r="D516" s="2" t="s">
        <v>432</v>
      </c>
      <c r="E516" s="115">
        <v>250</v>
      </c>
      <c r="F516" s="18">
        <v>0</v>
      </c>
      <c r="G516" s="24" t="s">
        <v>288</v>
      </c>
      <c r="H516" s="18">
        <v>0</v>
      </c>
      <c r="I516" s="24" t="s">
        <v>288</v>
      </c>
      <c r="J516" s="24" t="s">
        <v>288</v>
      </c>
      <c r="K516" s="24" t="s">
        <v>288</v>
      </c>
      <c r="L516" s="24" t="s">
        <v>288</v>
      </c>
      <c r="N516" s="263"/>
    </row>
    <row r="517" spans="1:14" s="52" customFormat="1" ht="12.4"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4"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4"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4"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4"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4" customHeight="1" x14ac:dyDescent="0.2">
      <c r="A522" s="22" t="s">
        <v>633</v>
      </c>
      <c r="B522" s="105">
        <v>21</v>
      </c>
      <c r="C522" s="115">
        <v>1</v>
      </c>
      <c r="D522" s="2" t="s">
        <v>432</v>
      </c>
      <c r="E522" s="115"/>
      <c r="F522" s="18">
        <v>360741.99</v>
      </c>
      <c r="G522" s="18">
        <v>126888.54</v>
      </c>
      <c r="H522" s="18">
        <v>60769.75</v>
      </c>
      <c r="I522" s="18">
        <v>13288.87</v>
      </c>
      <c r="J522" s="18">
        <v>7911.82</v>
      </c>
      <c r="K522" s="18">
        <v>5059.3900000000003</v>
      </c>
      <c r="L522" s="88">
        <f>SUM(F522:K522)</f>
        <v>574660.36</v>
      </c>
      <c r="N522" s="263"/>
    </row>
    <row r="523" spans="1:14" s="52" customFormat="1" ht="12.4" customHeight="1" x14ac:dyDescent="0.2">
      <c r="A523" s="22" t="s">
        <v>634</v>
      </c>
      <c r="B523" s="105">
        <v>21</v>
      </c>
      <c r="C523" s="115">
        <v>2</v>
      </c>
      <c r="D523" s="2" t="s">
        <v>432</v>
      </c>
      <c r="E523" s="115"/>
      <c r="F523" s="18">
        <v>257960.76</v>
      </c>
      <c r="G523" s="18">
        <v>109204.95</v>
      </c>
      <c r="H523" s="18">
        <v>12496.76</v>
      </c>
      <c r="I523" s="18">
        <v>6476.28</v>
      </c>
      <c r="J523" s="18">
        <v>593.98</v>
      </c>
      <c r="K523" s="18">
        <v>0</v>
      </c>
      <c r="L523" s="88">
        <f>SUM(F523:K523)</f>
        <v>386732.73000000004</v>
      </c>
      <c r="N523" s="263"/>
    </row>
    <row r="524" spans="1:14" s="52" customFormat="1" ht="12.4" customHeight="1" thickBot="1" x14ac:dyDescent="0.25">
      <c r="A524" s="22" t="s">
        <v>635</v>
      </c>
      <c r="B524" s="105">
        <v>21</v>
      </c>
      <c r="C524" s="115">
        <v>3</v>
      </c>
      <c r="D524" s="2" t="s">
        <v>432</v>
      </c>
      <c r="E524" s="115"/>
      <c r="F524" s="18">
        <v>155739.39000000001</v>
      </c>
      <c r="G524" s="18">
        <v>54926.38</v>
      </c>
      <c r="H524" s="18">
        <v>197900.61</v>
      </c>
      <c r="I524" s="18">
        <v>1995.94</v>
      </c>
      <c r="J524" s="18">
        <v>17053.38</v>
      </c>
      <c r="K524" s="18">
        <v>0</v>
      </c>
      <c r="L524" s="88">
        <f>SUM(F524:K524)</f>
        <v>427615.7</v>
      </c>
      <c r="N524" s="263"/>
    </row>
    <row r="525" spans="1:14" s="52" customFormat="1" ht="12.4" customHeight="1" thickTop="1" x14ac:dyDescent="0.2">
      <c r="A525" s="139" t="s">
        <v>63</v>
      </c>
      <c r="B525" s="107">
        <v>21</v>
      </c>
      <c r="C525" s="195">
        <v>4</v>
      </c>
      <c r="D525" s="196" t="s">
        <v>432</v>
      </c>
      <c r="E525" s="195"/>
      <c r="F525" s="108">
        <f>SUM(F522:F524)</f>
        <v>774442.14</v>
      </c>
      <c r="G525" s="108">
        <f t="shared" ref="G525:L525" si="36">SUM(G522:G524)</f>
        <v>291019.87</v>
      </c>
      <c r="H525" s="108">
        <f t="shared" si="36"/>
        <v>271167.12</v>
      </c>
      <c r="I525" s="108">
        <f t="shared" si="36"/>
        <v>21761.09</v>
      </c>
      <c r="J525" s="108">
        <f t="shared" si="36"/>
        <v>25559.18</v>
      </c>
      <c r="K525" s="108">
        <f t="shared" si="36"/>
        <v>5059.3900000000003</v>
      </c>
      <c r="L525" s="89">
        <f t="shared" si="36"/>
        <v>1389008.79</v>
      </c>
      <c r="N525" s="263"/>
    </row>
    <row r="526" spans="1:14" s="3" customFormat="1" ht="12.4"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4" customHeight="1" x14ac:dyDescent="0.15">
      <c r="A527" s="22" t="s">
        <v>633</v>
      </c>
      <c r="B527" s="105">
        <v>21</v>
      </c>
      <c r="C527" s="115">
        <v>5</v>
      </c>
      <c r="D527" s="2" t="s">
        <v>432</v>
      </c>
      <c r="E527" s="115"/>
      <c r="F527" s="18">
        <v>445969.61</v>
      </c>
      <c r="G527" s="18">
        <v>231977.4</v>
      </c>
      <c r="H527" s="18">
        <v>293319.65999999997</v>
      </c>
      <c r="I527" s="18">
        <v>3075.89</v>
      </c>
      <c r="J527" s="18">
        <v>0</v>
      </c>
      <c r="K527" s="18">
        <v>0</v>
      </c>
      <c r="L527" s="88">
        <f>SUM(F527:K527)</f>
        <v>974342.55999999994</v>
      </c>
      <c r="M527" s="8"/>
      <c r="N527" s="264"/>
    </row>
    <row r="528" spans="1:14" s="3" customFormat="1" ht="12.4" customHeight="1" x14ac:dyDescent="0.15">
      <c r="A528" s="22" t="s">
        <v>634</v>
      </c>
      <c r="B528" s="105">
        <v>21</v>
      </c>
      <c r="C528" s="115">
        <v>6</v>
      </c>
      <c r="D528" s="2" t="s">
        <v>432</v>
      </c>
      <c r="E528" s="115"/>
      <c r="F528" s="18">
        <v>131907.82999999999</v>
      </c>
      <c r="G528" s="18">
        <v>37948.04</v>
      </c>
      <c r="H528" s="18">
        <v>87008.56</v>
      </c>
      <c r="I528" s="18">
        <v>1156.76</v>
      </c>
      <c r="J528" s="18">
        <v>0</v>
      </c>
      <c r="K528" s="18">
        <v>0</v>
      </c>
      <c r="L528" s="88">
        <f>SUM(F528:K528)</f>
        <v>258021.19</v>
      </c>
      <c r="M528" s="8"/>
      <c r="N528" s="264"/>
    </row>
    <row r="529" spans="1:14" s="3" customFormat="1" ht="12.4" customHeight="1" thickBot="1" x14ac:dyDescent="0.2">
      <c r="A529" s="22" t="s">
        <v>635</v>
      </c>
      <c r="B529" s="118">
        <v>21</v>
      </c>
      <c r="C529" s="118">
        <v>7</v>
      </c>
      <c r="D529" s="2" t="s">
        <v>432</v>
      </c>
      <c r="E529" s="118"/>
      <c r="F529" s="18">
        <v>47667.34</v>
      </c>
      <c r="G529" s="18">
        <v>19148.73</v>
      </c>
      <c r="H529" s="18">
        <v>106307.39</v>
      </c>
      <c r="I529" s="18">
        <v>0</v>
      </c>
      <c r="J529" s="18">
        <v>0</v>
      </c>
      <c r="K529" s="18">
        <v>0</v>
      </c>
      <c r="L529" s="88">
        <f>SUM(F529:K529)</f>
        <v>173123.46</v>
      </c>
      <c r="M529" s="8"/>
      <c r="N529" s="264"/>
    </row>
    <row r="530" spans="1:14" s="3" customFormat="1" ht="12.4" customHeight="1" thickTop="1" x14ac:dyDescent="0.15">
      <c r="A530" s="139" t="s">
        <v>65</v>
      </c>
      <c r="B530" s="107">
        <v>21</v>
      </c>
      <c r="C530" s="107">
        <v>8</v>
      </c>
      <c r="D530" s="158" t="s">
        <v>432</v>
      </c>
      <c r="E530" s="107"/>
      <c r="F530" s="89">
        <f>SUM(F527:F529)</f>
        <v>625544.77999999991</v>
      </c>
      <c r="G530" s="89">
        <f t="shared" ref="G530:L530" si="37">SUM(G527:G529)</f>
        <v>289074.17</v>
      </c>
      <c r="H530" s="89">
        <f t="shared" si="37"/>
        <v>486635.61</v>
      </c>
      <c r="I530" s="89">
        <f t="shared" si="37"/>
        <v>4232.6499999999996</v>
      </c>
      <c r="J530" s="89">
        <f t="shared" si="37"/>
        <v>0</v>
      </c>
      <c r="K530" s="89">
        <f t="shared" si="37"/>
        <v>0</v>
      </c>
      <c r="L530" s="89">
        <f t="shared" si="37"/>
        <v>1405487.21</v>
      </c>
      <c r="M530" s="8"/>
      <c r="N530" s="264"/>
    </row>
    <row r="531" spans="1:14" s="3" customFormat="1" ht="12.4"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4" customHeight="1" x14ac:dyDescent="0.15">
      <c r="A532" s="22" t="s">
        <v>633</v>
      </c>
      <c r="B532" s="105">
        <v>21</v>
      </c>
      <c r="C532" s="105">
        <v>9</v>
      </c>
      <c r="D532" s="2" t="s">
        <v>432</v>
      </c>
      <c r="E532" s="105"/>
      <c r="F532" s="18">
        <v>42499.73</v>
      </c>
      <c r="G532" s="18">
        <v>19241.89</v>
      </c>
      <c r="H532" s="18">
        <v>705.5</v>
      </c>
      <c r="I532" s="18">
        <v>162.9</v>
      </c>
      <c r="J532" s="18">
        <v>0</v>
      </c>
      <c r="K532" s="18">
        <v>50</v>
      </c>
      <c r="L532" s="88">
        <f>SUM(F532:K532)</f>
        <v>62660.020000000004</v>
      </c>
      <c r="M532" s="8"/>
      <c r="N532" s="264"/>
    </row>
    <row r="533" spans="1:14" s="3" customFormat="1" ht="12.4" customHeight="1" x14ac:dyDescent="0.15">
      <c r="A533" s="22" t="s">
        <v>634</v>
      </c>
      <c r="B533" s="105">
        <v>21</v>
      </c>
      <c r="C533" s="105">
        <v>10</v>
      </c>
      <c r="D533" s="2" t="s">
        <v>432</v>
      </c>
      <c r="E533" s="105"/>
      <c r="F533" s="18">
        <v>42499.73</v>
      </c>
      <c r="G533" s="18">
        <v>19241.89</v>
      </c>
      <c r="H533" s="18">
        <v>705.5</v>
      </c>
      <c r="I533" s="18">
        <v>162.9</v>
      </c>
      <c r="J533" s="18">
        <v>0</v>
      </c>
      <c r="K533" s="18">
        <v>50</v>
      </c>
      <c r="L533" s="88">
        <f>SUM(F533:K533)</f>
        <v>62660.020000000004</v>
      </c>
      <c r="M533" s="8"/>
      <c r="N533" s="264"/>
    </row>
    <row r="534" spans="1:14" s="3" customFormat="1" ht="12.4" customHeight="1" thickBot="1" x14ac:dyDescent="0.2">
      <c r="A534" s="22" t="s">
        <v>635</v>
      </c>
      <c r="B534" s="105">
        <v>21</v>
      </c>
      <c r="C534" s="105">
        <v>11</v>
      </c>
      <c r="D534" s="2" t="s">
        <v>432</v>
      </c>
      <c r="E534" s="105"/>
      <c r="F534" s="18">
        <v>42499.75</v>
      </c>
      <c r="G534" s="18">
        <v>19241.91</v>
      </c>
      <c r="H534" s="18">
        <v>705.49</v>
      </c>
      <c r="I534" s="18">
        <v>162.9</v>
      </c>
      <c r="J534" s="18">
        <v>0</v>
      </c>
      <c r="K534" s="18">
        <v>50</v>
      </c>
      <c r="L534" s="88">
        <f>SUM(F534:K534)</f>
        <v>62660.05</v>
      </c>
      <c r="M534" s="8"/>
      <c r="N534" s="264"/>
    </row>
    <row r="535" spans="1:14" s="3" customFormat="1" ht="12.4" customHeight="1" thickTop="1" x14ac:dyDescent="0.15">
      <c r="A535" s="139" t="s">
        <v>67</v>
      </c>
      <c r="B535" s="107">
        <v>21</v>
      </c>
      <c r="C535" s="107">
        <v>12</v>
      </c>
      <c r="D535" s="158" t="s">
        <v>432</v>
      </c>
      <c r="E535" s="107"/>
      <c r="F535" s="89">
        <f>SUM(F532:F534)</f>
        <v>127499.21</v>
      </c>
      <c r="G535" s="89">
        <f t="shared" ref="G535:L535" si="38">SUM(G532:G534)</f>
        <v>57725.69</v>
      </c>
      <c r="H535" s="89">
        <f t="shared" si="38"/>
        <v>2116.4899999999998</v>
      </c>
      <c r="I535" s="89">
        <f t="shared" si="38"/>
        <v>488.70000000000005</v>
      </c>
      <c r="J535" s="89">
        <f t="shared" si="38"/>
        <v>0</v>
      </c>
      <c r="K535" s="89">
        <f t="shared" si="38"/>
        <v>150</v>
      </c>
      <c r="L535" s="89">
        <f t="shared" si="38"/>
        <v>187980.09000000003</v>
      </c>
      <c r="M535" s="8"/>
      <c r="N535" s="264"/>
    </row>
    <row r="536" spans="1:14" s="3" customFormat="1" ht="12.4"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4" customHeight="1" x14ac:dyDescent="0.15">
      <c r="A537" s="22" t="s">
        <v>633</v>
      </c>
      <c r="B537" s="105">
        <v>21</v>
      </c>
      <c r="C537" s="105">
        <v>13</v>
      </c>
      <c r="D537" s="2" t="s">
        <v>432</v>
      </c>
      <c r="E537" s="105"/>
      <c r="F537" s="18">
        <v>0</v>
      </c>
      <c r="G537" s="18">
        <v>0</v>
      </c>
      <c r="H537" s="18">
        <v>3147.9</v>
      </c>
      <c r="I537" s="18">
        <v>0</v>
      </c>
      <c r="J537" s="18">
        <v>0</v>
      </c>
      <c r="K537" s="18">
        <v>0</v>
      </c>
      <c r="L537" s="88">
        <f>SUM(F537:K537)</f>
        <v>3147.9</v>
      </c>
      <c r="M537" s="8"/>
      <c r="N537" s="264"/>
    </row>
    <row r="538" spans="1:14" s="3" customFormat="1" ht="12.4" customHeight="1" x14ac:dyDescent="0.15">
      <c r="A538" s="22" t="s">
        <v>634</v>
      </c>
      <c r="B538" s="105">
        <v>21</v>
      </c>
      <c r="C538" s="105">
        <v>14</v>
      </c>
      <c r="D538" s="2" t="s">
        <v>432</v>
      </c>
      <c r="E538" s="105"/>
      <c r="F538" s="18">
        <v>0</v>
      </c>
      <c r="G538" s="18">
        <v>0</v>
      </c>
      <c r="H538" s="18">
        <v>3147.9</v>
      </c>
      <c r="I538" s="18">
        <v>0</v>
      </c>
      <c r="J538" s="18">
        <v>0</v>
      </c>
      <c r="K538" s="18">
        <v>0</v>
      </c>
      <c r="L538" s="88">
        <f>SUM(F538:K538)</f>
        <v>3147.9</v>
      </c>
      <c r="M538" s="8"/>
      <c r="N538" s="264"/>
    </row>
    <row r="539" spans="1:14" s="3" customFormat="1" ht="12.4" customHeight="1" thickBot="1" x14ac:dyDescent="0.2">
      <c r="A539" s="22" t="s">
        <v>635</v>
      </c>
      <c r="B539" s="105">
        <v>21</v>
      </c>
      <c r="C539" s="105">
        <v>15</v>
      </c>
      <c r="D539" s="2" t="s">
        <v>432</v>
      </c>
      <c r="E539" s="105"/>
      <c r="F539" s="18">
        <v>0</v>
      </c>
      <c r="G539" s="18">
        <v>0</v>
      </c>
      <c r="H539" s="18">
        <v>3147.92</v>
      </c>
      <c r="I539" s="18">
        <v>0</v>
      </c>
      <c r="J539" s="18">
        <v>0</v>
      </c>
      <c r="K539" s="18">
        <v>0</v>
      </c>
      <c r="L539" s="88">
        <f>SUM(F539:K539)</f>
        <v>3147.92</v>
      </c>
      <c r="M539" s="8"/>
      <c r="N539" s="264"/>
    </row>
    <row r="540" spans="1:14" s="3" customFormat="1" ht="12.4" customHeight="1" thickTop="1" x14ac:dyDescent="0.15">
      <c r="A540" s="139" t="s">
        <v>69</v>
      </c>
      <c r="B540" s="107">
        <v>21</v>
      </c>
      <c r="C540" s="107">
        <v>16</v>
      </c>
      <c r="D540" s="158" t="s">
        <v>432</v>
      </c>
      <c r="E540" s="107"/>
      <c r="F540" s="89">
        <f>SUM(F537:F539)</f>
        <v>0</v>
      </c>
      <c r="G540" s="89">
        <f t="shared" ref="G540:L540" si="39">SUM(G537:G539)</f>
        <v>0</v>
      </c>
      <c r="H540" s="89">
        <f t="shared" si="39"/>
        <v>9443.7200000000012</v>
      </c>
      <c r="I540" s="89">
        <f t="shared" si="39"/>
        <v>0</v>
      </c>
      <c r="J540" s="89">
        <f t="shared" si="39"/>
        <v>0</v>
      </c>
      <c r="K540" s="89">
        <f t="shared" si="39"/>
        <v>0</v>
      </c>
      <c r="L540" s="89">
        <f t="shared" si="39"/>
        <v>9443.7200000000012</v>
      </c>
      <c r="M540" s="8"/>
      <c r="N540" s="264"/>
    </row>
    <row r="541" spans="1:14" s="3" customFormat="1" ht="12.4"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4" customHeight="1" x14ac:dyDescent="0.15">
      <c r="A542" s="22" t="s">
        <v>633</v>
      </c>
      <c r="B542" s="105">
        <v>21</v>
      </c>
      <c r="C542" s="105">
        <v>17</v>
      </c>
      <c r="D542" s="2" t="s">
        <v>432</v>
      </c>
      <c r="E542" s="105"/>
      <c r="F542" s="18">
        <v>0</v>
      </c>
      <c r="G542" s="18">
        <v>0</v>
      </c>
      <c r="H542" s="18">
        <v>49997.64</v>
      </c>
      <c r="I542" s="18">
        <v>0</v>
      </c>
      <c r="J542" s="18">
        <v>0</v>
      </c>
      <c r="K542" s="18">
        <v>0</v>
      </c>
      <c r="L542" s="88">
        <f>SUM(F542:K542)</f>
        <v>49997.64</v>
      </c>
      <c r="M542" s="8"/>
      <c r="N542" s="264"/>
    </row>
    <row r="543" spans="1:14" s="3" customFormat="1" ht="12.4" customHeight="1" x14ac:dyDescent="0.15">
      <c r="A543" s="22" t="s">
        <v>634</v>
      </c>
      <c r="B543" s="105">
        <v>21</v>
      </c>
      <c r="C543" s="105">
        <v>18</v>
      </c>
      <c r="D543" s="2" t="s">
        <v>432</v>
      </c>
      <c r="E543" s="105"/>
      <c r="F543" s="18">
        <v>0</v>
      </c>
      <c r="G543" s="18">
        <v>0</v>
      </c>
      <c r="H543" s="18">
        <v>13528.82</v>
      </c>
      <c r="I543" s="18">
        <v>0</v>
      </c>
      <c r="J543" s="18">
        <v>0</v>
      </c>
      <c r="K543" s="18">
        <v>0</v>
      </c>
      <c r="L543" s="88">
        <f>SUM(F543:K543)</f>
        <v>13528.82</v>
      </c>
      <c r="M543" s="8"/>
      <c r="N543" s="264"/>
    </row>
    <row r="544" spans="1:14" s="3" customFormat="1" ht="12.4" customHeight="1" thickBot="1" x14ac:dyDescent="0.2">
      <c r="A544" s="22" t="s">
        <v>635</v>
      </c>
      <c r="B544" s="105">
        <v>21</v>
      </c>
      <c r="C544" s="105">
        <v>19</v>
      </c>
      <c r="D544" s="2" t="s">
        <v>432</v>
      </c>
      <c r="E544" s="105"/>
      <c r="F544" s="18">
        <v>0</v>
      </c>
      <c r="G544" s="18">
        <v>0</v>
      </c>
      <c r="H544" s="18">
        <v>79887.600000000006</v>
      </c>
      <c r="I544" s="18">
        <v>0</v>
      </c>
      <c r="J544" s="18">
        <v>0</v>
      </c>
      <c r="K544" s="18">
        <v>0</v>
      </c>
      <c r="L544" s="88">
        <f>SUM(F544:K544)</f>
        <v>79887.600000000006</v>
      </c>
      <c r="M544" s="8"/>
      <c r="N544" s="264"/>
    </row>
    <row r="545" spans="1:14" s="3" customFormat="1" ht="12.4" customHeight="1" thickTop="1" thickBot="1" x14ac:dyDescent="0.2">
      <c r="A545" s="130" t="s">
        <v>71</v>
      </c>
      <c r="B545" s="191">
        <v>21</v>
      </c>
      <c r="C545" s="191">
        <v>20</v>
      </c>
      <c r="D545" s="192" t="s">
        <v>432</v>
      </c>
      <c r="E545" s="191"/>
      <c r="F545" s="193">
        <f>SUM(F542:F544)</f>
        <v>0</v>
      </c>
      <c r="G545" s="193">
        <f t="shared" ref="G545:L545" si="40">SUM(G542:G544)</f>
        <v>0</v>
      </c>
      <c r="H545" s="193">
        <f t="shared" si="40"/>
        <v>143414.06</v>
      </c>
      <c r="I545" s="193">
        <f t="shared" si="40"/>
        <v>0</v>
      </c>
      <c r="J545" s="193">
        <f t="shared" si="40"/>
        <v>0</v>
      </c>
      <c r="K545" s="193">
        <f t="shared" si="40"/>
        <v>0</v>
      </c>
      <c r="L545" s="193">
        <f t="shared" si="40"/>
        <v>143414.06</v>
      </c>
      <c r="M545" s="8"/>
      <c r="N545" s="264"/>
    </row>
    <row r="546" spans="1:14" s="3" customFormat="1" ht="12.4" customHeight="1" thickTop="1" x14ac:dyDescent="0.15">
      <c r="A546" s="98" t="s">
        <v>72</v>
      </c>
      <c r="B546" s="107">
        <v>21</v>
      </c>
      <c r="C546" s="107">
        <v>21</v>
      </c>
      <c r="D546" s="158" t="s">
        <v>432</v>
      </c>
      <c r="E546" s="107"/>
      <c r="F546" s="89">
        <f>F525+F530+F535+F540+F545</f>
        <v>1527486.13</v>
      </c>
      <c r="G546" s="89">
        <f t="shared" ref="G546:L546" si="41">G525+G530+G535+G540+G545</f>
        <v>637819.73</v>
      </c>
      <c r="H546" s="89">
        <f t="shared" si="41"/>
        <v>912777</v>
      </c>
      <c r="I546" s="89">
        <f t="shared" si="41"/>
        <v>26482.44</v>
      </c>
      <c r="J546" s="89">
        <f t="shared" si="41"/>
        <v>25559.18</v>
      </c>
      <c r="K546" s="89">
        <f t="shared" si="41"/>
        <v>5209.3900000000003</v>
      </c>
      <c r="L546" s="89">
        <f t="shared" si="41"/>
        <v>3135333.87</v>
      </c>
      <c r="M546" s="8"/>
      <c r="N546" s="264"/>
    </row>
    <row r="547" spans="1:14" s="3" customFormat="1" ht="12.4" customHeight="1" x14ac:dyDescent="0.15">
      <c r="A547" s="99"/>
      <c r="B547" s="105"/>
      <c r="C547" s="105"/>
      <c r="D547" s="105"/>
      <c r="E547" s="105"/>
      <c r="F547" s="87"/>
      <c r="G547" s="87"/>
      <c r="H547" s="87"/>
      <c r="I547" s="87"/>
      <c r="J547" s="87"/>
      <c r="K547" s="87"/>
      <c r="L547" s="87"/>
      <c r="M547" s="8"/>
      <c r="N547" s="264"/>
    </row>
    <row r="548" spans="1:14" s="3" customFormat="1" ht="12.4"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4"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4" customHeight="1" x14ac:dyDescent="0.15">
      <c r="A550" s="22" t="s">
        <v>633</v>
      </c>
      <c r="B550" s="75">
        <v>21</v>
      </c>
      <c r="C550" s="75">
        <v>22</v>
      </c>
      <c r="D550" s="2" t="s">
        <v>432</v>
      </c>
      <c r="E550" s="75"/>
      <c r="F550" s="87">
        <f>L522</f>
        <v>574660.36</v>
      </c>
      <c r="G550" s="87">
        <f>L527</f>
        <v>974342.55999999994</v>
      </c>
      <c r="H550" s="87">
        <f>L532</f>
        <v>62660.020000000004</v>
      </c>
      <c r="I550" s="87">
        <f>L537</f>
        <v>3147.9</v>
      </c>
      <c r="J550" s="87">
        <f>L542</f>
        <v>49997.64</v>
      </c>
      <c r="K550" s="87">
        <f>SUM(F550:J550)</f>
        <v>1664808.4799999997</v>
      </c>
      <c r="L550" s="24" t="s">
        <v>288</v>
      </c>
      <c r="M550" s="8"/>
      <c r="N550" s="264"/>
    </row>
    <row r="551" spans="1:14" s="3" customFormat="1" ht="12.4" customHeight="1" x14ac:dyDescent="0.15">
      <c r="A551" s="22" t="s">
        <v>634</v>
      </c>
      <c r="B551" s="75">
        <v>21</v>
      </c>
      <c r="C551" s="75">
        <v>23</v>
      </c>
      <c r="D551" s="2" t="s">
        <v>432</v>
      </c>
      <c r="E551" s="75"/>
      <c r="F551" s="87">
        <f>L523</f>
        <v>386732.73000000004</v>
      </c>
      <c r="G551" s="87">
        <f>L528</f>
        <v>258021.19</v>
      </c>
      <c r="H551" s="87">
        <f>L533</f>
        <v>62660.020000000004</v>
      </c>
      <c r="I551" s="87">
        <f>L538</f>
        <v>3147.9</v>
      </c>
      <c r="J551" s="87">
        <f>L543</f>
        <v>13528.82</v>
      </c>
      <c r="K551" s="87">
        <f>SUM(F551:J551)</f>
        <v>724090.66</v>
      </c>
      <c r="L551" s="24" t="s">
        <v>288</v>
      </c>
      <c r="M551" s="8"/>
      <c r="N551" s="264"/>
    </row>
    <row r="552" spans="1:14" s="3" customFormat="1" ht="12.4" customHeight="1" thickBot="1" x14ac:dyDescent="0.2">
      <c r="A552" s="22" t="s">
        <v>635</v>
      </c>
      <c r="B552" s="75">
        <v>21</v>
      </c>
      <c r="C552" s="75">
        <v>24</v>
      </c>
      <c r="D552" s="2" t="s">
        <v>432</v>
      </c>
      <c r="E552" s="75"/>
      <c r="F552" s="87">
        <f>L524</f>
        <v>427615.7</v>
      </c>
      <c r="G552" s="87">
        <f>L529</f>
        <v>173123.46</v>
      </c>
      <c r="H552" s="87">
        <f>L534</f>
        <v>62660.05</v>
      </c>
      <c r="I552" s="87">
        <f>L539</f>
        <v>3147.92</v>
      </c>
      <c r="J552" s="87">
        <f>L544</f>
        <v>79887.600000000006</v>
      </c>
      <c r="K552" s="87">
        <f>SUM(F552:J552)</f>
        <v>746434.7300000001</v>
      </c>
      <c r="L552" s="24" t="s">
        <v>288</v>
      </c>
      <c r="M552" s="8"/>
      <c r="N552" s="264"/>
    </row>
    <row r="553" spans="1:14" s="3" customFormat="1" ht="12.4" customHeight="1" thickTop="1" x14ac:dyDescent="0.15">
      <c r="A553" s="172" t="s">
        <v>340</v>
      </c>
      <c r="B553" s="44">
        <v>21</v>
      </c>
      <c r="C553" s="44">
        <v>25</v>
      </c>
      <c r="D553" s="39" t="s">
        <v>432</v>
      </c>
      <c r="E553" s="44"/>
      <c r="F553" s="89">
        <f t="shared" ref="F553:K553" si="42">SUM(F550:F552)</f>
        <v>1389008.79</v>
      </c>
      <c r="G553" s="89">
        <f t="shared" si="42"/>
        <v>1405487.21</v>
      </c>
      <c r="H553" s="89">
        <f t="shared" si="42"/>
        <v>187980.09000000003</v>
      </c>
      <c r="I553" s="89">
        <f t="shared" si="42"/>
        <v>9443.7200000000012</v>
      </c>
      <c r="J553" s="89">
        <f t="shared" si="42"/>
        <v>143414.06</v>
      </c>
      <c r="K553" s="89">
        <f t="shared" si="42"/>
        <v>3135333.8699999996</v>
      </c>
      <c r="L553" s="24"/>
      <c r="M553" s="8"/>
      <c r="N553" s="264"/>
    </row>
    <row r="554" spans="1:14" s="3" customFormat="1" ht="12.4" customHeight="1" x14ac:dyDescent="0.15">
      <c r="A554" s="96" t="s">
        <v>580</v>
      </c>
      <c r="B554" s="105"/>
      <c r="C554" s="105"/>
      <c r="D554" s="105"/>
      <c r="E554" s="105"/>
      <c r="F554" s="87"/>
      <c r="G554" s="87"/>
      <c r="H554" s="87"/>
      <c r="I554" s="87"/>
      <c r="J554" s="87"/>
      <c r="K554" s="87"/>
      <c r="L554" s="87"/>
      <c r="M554" s="8"/>
      <c r="N554" s="264"/>
    </row>
    <row r="555" spans="1:14" s="3" customFormat="1" ht="12.4"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4"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4"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4" customHeight="1" x14ac:dyDescent="0.15">
      <c r="A558" s="22" t="s">
        <v>633</v>
      </c>
      <c r="B558" s="105">
        <v>22</v>
      </c>
      <c r="C558" s="115">
        <v>1</v>
      </c>
      <c r="D558" s="2" t="s">
        <v>432</v>
      </c>
      <c r="E558" s="115"/>
      <c r="F558" s="18">
        <v>0</v>
      </c>
      <c r="G558" s="18">
        <v>0</v>
      </c>
      <c r="H558" s="18">
        <v>0</v>
      </c>
      <c r="I558" s="18">
        <v>0</v>
      </c>
      <c r="J558" s="18">
        <v>0</v>
      </c>
      <c r="K558" s="18">
        <v>0</v>
      </c>
      <c r="L558" s="88">
        <f>SUM(F558:K558)</f>
        <v>0</v>
      </c>
      <c r="M558" s="8"/>
      <c r="N558" s="264"/>
    </row>
    <row r="559" spans="1:14" s="3" customFormat="1" ht="12.4" customHeight="1" x14ac:dyDescent="0.15">
      <c r="A559" s="22" t="s">
        <v>634</v>
      </c>
      <c r="B559" s="105">
        <v>22</v>
      </c>
      <c r="C559" s="115">
        <v>2</v>
      </c>
      <c r="D559" s="2" t="s">
        <v>432</v>
      </c>
      <c r="E559" s="115"/>
      <c r="F559" s="18">
        <v>0</v>
      </c>
      <c r="G559" s="18">
        <v>0</v>
      </c>
      <c r="H559" s="18">
        <v>0</v>
      </c>
      <c r="I559" s="18">
        <v>0</v>
      </c>
      <c r="J559" s="18">
        <v>0</v>
      </c>
      <c r="K559" s="18">
        <v>0</v>
      </c>
      <c r="L559" s="88">
        <f>SUM(F559:K559)</f>
        <v>0</v>
      </c>
      <c r="M559" s="8"/>
      <c r="N559" s="264"/>
    </row>
    <row r="560" spans="1:14" s="3" customFormat="1" ht="12.4" customHeight="1" thickBot="1" x14ac:dyDescent="0.2">
      <c r="A560" s="22" t="s">
        <v>635</v>
      </c>
      <c r="B560" s="105">
        <v>22</v>
      </c>
      <c r="C560" s="115">
        <v>3</v>
      </c>
      <c r="D560" s="2" t="s">
        <v>432</v>
      </c>
      <c r="E560" s="115"/>
      <c r="F560" s="18">
        <v>0</v>
      </c>
      <c r="G560" s="18">
        <v>0</v>
      </c>
      <c r="H560" s="18">
        <v>0</v>
      </c>
      <c r="I560" s="18">
        <v>0</v>
      </c>
      <c r="J560" s="18">
        <v>0</v>
      </c>
      <c r="K560" s="18">
        <v>0</v>
      </c>
      <c r="L560" s="88">
        <f>SUM(F560:K560)</f>
        <v>0</v>
      </c>
      <c r="M560" s="8"/>
      <c r="N560" s="264"/>
    </row>
    <row r="561" spans="1:14" s="3" customFormat="1" ht="12.4"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4"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4" customHeight="1" x14ac:dyDescent="0.15">
      <c r="A563" s="22" t="s">
        <v>633</v>
      </c>
      <c r="B563" s="105">
        <v>22</v>
      </c>
      <c r="C563" s="115">
        <v>5</v>
      </c>
      <c r="D563" s="2" t="s">
        <v>432</v>
      </c>
      <c r="E563" s="115"/>
      <c r="F563" s="18">
        <v>0</v>
      </c>
      <c r="G563" s="18">
        <v>0</v>
      </c>
      <c r="H563" s="18">
        <v>0</v>
      </c>
      <c r="I563" s="18">
        <v>0</v>
      </c>
      <c r="J563" s="18">
        <v>0</v>
      </c>
      <c r="K563" s="18">
        <v>0</v>
      </c>
      <c r="L563" s="88">
        <f>SUM(F563:K563)</f>
        <v>0</v>
      </c>
      <c r="M563" s="8"/>
      <c r="N563" s="264"/>
    </row>
    <row r="564" spans="1:14" s="3" customFormat="1" ht="12.4" customHeight="1" x14ac:dyDescent="0.15">
      <c r="A564" s="22" t="s">
        <v>634</v>
      </c>
      <c r="B564" s="105">
        <v>22</v>
      </c>
      <c r="C564" s="115">
        <v>6</v>
      </c>
      <c r="D564" s="2" t="s">
        <v>432</v>
      </c>
      <c r="E564" s="115"/>
      <c r="F564" s="18">
        <v>0</v>
      </c>
      <c r="G564" s="18">
        <v>0</v>
      </c>
      <c r="H564" s="18">
        <v>0</v>
      </c>
      <c r="I564" s="18">
        <v>0</v>
      </c>
      <c r="J564" s="18">
        <v>0</v>
      </c>
      <c r="K564" s="18">
        <v>0</v>
      </c>
      <c r="L564" s="88">
        <f>SUM(F564:K564)</f>
        <v>0</v>
      </c>
      <c r="M564" s="8"/>
      <c r="N564" s="264"/>
    </row>
    <row r="565" spans="1:14" s="3" customFormat="1" ht="12.4" customHeight="1" thickBot="1" x14ac:dyDescent="0.2">
      <c r="A565" s="22" t="s">
        <v>635</v>
      </c>
      <c r="B565" s="105">
        <v>22</v>
      </c>
      <c r="C565" s="118">
        <v>7</v>
      </c>
      <c r="D565" s="2" t="s">
        <v>432</v>
      </c>
      <c r="E565" s="118"/>
      <c r="F565" s="18">
        <v>0</v>
      </c>
      <c r="G565" s="18">
        <v>0</v>
      </c>
      <c r="H565" s="18">
        <v>0</v>
      </c>
      <c r="I565" s="18">
        <v>0</v>
      </c>
      <c r="J565" s="18">
        <v>0</v>
      </c>
      <c r="K565" s="18">
        <v>0</v>
      </c>
      <c r="L565" s="88">
        <f>SUM(F565:K565)</f>
        <v>0</v>
      </c>
      <c r="M565" s="8"/>
      <c r="N565" s="264"/>
    </row>
    <row r="566" spans="1:14" s="3" customFormat="1" ht="12.4"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4"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4" customHeight="1" x14ac:dyDescent="0.15">
      <c r="A568" s="22" t="s">
        <v>633</v>
      </c>
      <c r="B568" s="105">
        <v>22</v>
      </c>
      <c r="C568" s="105">
        <v>9</v>
      </c>
      <c r="D568" s="2" t="s">
        <v>432</v>
      </c>
      <c r="E568" s="105"/>
      <c r="F568" s="18">
        <v>0</v>
      </c>
      <c r="G568" s="18">
        <v>0</v>
      </c>
      <c r="H568" s="18">
        <v>0</v>
      </c>
      <c r="I568" s="18">
        <v>0</v>
      </c>
      <c r="J568" s="18">
        <v>0</v>
      </c>
      <c r="K568" s="18">
        <v>0</v>
      </c>
      <c r="L568" s="88">
        <f>SUM(F568:K568)</f>
        <v>0</v>
      </c>
      <c r="M568" s="8"/>
      <c r="N568" s="264"/>
    </row>
    <row r="569" spans="1:14" s="3" customFormat="1" ht="12.4" customHeight="1" x14ac:dyDescent="0.15">
      <c r="A569" s="22" t="s">
        <v>634</v>
      </c>
      <c r="B569" s="105">
        <v>22</v>
      </c>
      <c r="C569" s="105">
        <v>10</v>
      </c>
      <c r="D569" s="2" t="s">
        <v>432</v>
      </c>
      <c r="E569" s="105"/>
      <c r="F569" s="18">
        <v>0</v>
      </c>
      <c r="G569" s="18">
        <v>0</v>
      </c>
      <c r="H569" s="18">
        <v>0</v>
      </c>
      <c r="I569" s="18">
        <v>0</v>
      </c>
      <c r="J569" s="18">
        <v>0</v>
      </c>
      <c r="K569" s="18">
        <v>0</v>
      </c>
      <c r="L569" s="88">
        <f>SUM(F569:K569)</f>
        <v>0</v>
      </c>
      <c r="M569" s="8"/>
      <c r="N569" s="264"/>
    </row>
    <row r="570" spans="1:14" s="3" customFormat="1" ht="12.4" customHeight="1" thickBot="1" x14ac:dyDescent="0.2">
      <c r="A570" s="22" t="s">
        <v>635</v>
      </c>
      <c r="B570" s="105">
        <v>22</v>
      </c>
      <c r="C570" s="105">
        <v>11</v>
      </c>
      <c r="D570" s="2" t="s">
        <v>432</v>
      </c>
      <c r="E570" s="105"/>
      <c r="F570" s="18">
        <v>0</v>
      </c>
      <c r="G570" s="18">
        <v>0</v>
      </c>
      <c r="H570" s="18">
        <v>0</v>
      </c>
      <c r="I570" s="18">
        <v>0</v>
      </c>
      <c r="J570" s="18">
        <v>0</v>
      </c>
      <c r="K570" s="18">
        <v>0</v>
      </c>
      <c r="L570" s="88">
        <f>SUM(F570:K570)</f>
        <v>0</v>
      </c>
      <c r="M570" s="8"/>
      <c r="N570" s="264"/>
    </row>
    <row r="571" spans="1:14" s="3" customFormat="1" ht="12.4"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4"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4" customHeight="1" x14ac:dyDescent="0.15">
      <c r="A573" s="97"/>
      <c r="B573" s="75"/>
      <c r="C573" s="75"/>
      <c r="D573" s="75"/>
      <c r="E573" s="75"/>
      <c r="F573" s="87"/>
      <c r="G573" s="87"/>
      <c r="H573" s="87"/>
      <c r="I573" s="87"/>
      <c r="J573" s="87"/>
      <c r="K573" s="87"/>
      <c r="L573" s="87"/>
      <c r="M573" s="8"/>
      <c r="N573" s="264"/>
    </row>
    <row r="574" spans="1:14" s="3" customFormat="1" ht="12.4" customHeight="1" x14ac:dyDescent="0.15">
      <c r="A574" s="97" t="s">
        <v>771</v>
      </c>
      <c r="B574" s="75"/>
      <c r="C574" s="75"/>
      <c r="D574" s="75"/>
      <c r="E574" s="75"/>
      <c r="F574" s="87"/>
      <c r="G574" s="87"/>
      <c r="H574" s="87"/>
      <c r="I574" s="87"/>
      <c r="J574" s="87"/>
      <c r="K574" s="87"/>
      <c r="L574" s="87"/>
      <c r="M574" s="8"/>
      <c r="N574" s="264"/>
    </row>
    <row r="575" spans="1:14" s="3" customFormat="1" ht="12.4"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4" customHeight="1" x14ac:dyDescent="0.15">
      <c r="A576" s="99" t="s">
        <v>669</v>
      </c>
      <c r="B576" s="75">
        <v>22</v>
      </c>
      <c r="C576" s="75">
        <v>14</v>
      </c>
      <c r="D576" s="2" t="s">
        <v>432</v>
      </c>
      <c r="E576" s="75">
        <v>561</v>
      </c>
      <c r="F576" s="18">
        <v>0</v>
      </c>
      <c r="G576" s="18">
        <v>0</v>
      </c>
      <c r="H576" s="18">
        <v>130941.15</v>
      </c>
      <c r="I576" s="87">
        <f>SUM(F576:H576)</f>
        <v>130941.15</v>
      </c>
      <c r="J576" s="24" t="s">
        <v>288</v>
      </c>
      <c r="K576" s="24" t="s">
        <v>288</v>
      </c>
      <c r="L576" s="24" t="s">
        <v>288</v>
      </c>
      <c r="M576" s="8"/>
      <c r="N576" s="264"/>
    </row>
    <row r="577" spans="1:14" s="3" customFormat="1" ht="12.4" customHeight="1" x14ac:dyDescent="0.15">
      <c r="A577" s="99" t="s">
        <v>670</v>
      </c>
      <c r="B577" s="75">
        <v>22</v>
      </c>
      <c r="C577" s="75">
        <v>15</v>
      </c>
      <c r="D577" s="2" t="s">
        <v>432</v>
      </c>
      <c r="E577" s="75">
        <v>562</v>
      </c>
      <c r="F577" s="18">
        <v>0</v>
      </c>
      <c r="G577" s="18">
        <v>0</v>
      </c>
      <c r="H577" s="18">
        <v>0</v>
      </c>
      <c r="I577" s="87">
        <f t="shared" ref="I577:I588" si="47">SUM(F577:H577)</f>
        <v>0</v>
      </c>
      <c r="J577" s="24" t="s">
        <v>288</v>
      </c>
      <c r="K577" s="24" t="s">
        <v>288</v>
      </c>
      <c r="L577" s="24" t="s">
        <v>288</v>
      </c>
      <c r="M577" s="8"/>
      <c r="N577" s="264"/>
    </row>
    <row r="578" spans="1:14" s="3" customFormat="1" ht="12.4" customHeight="1" x14ac:dyDescent="0.15">
      <c r="A578" s="99" t="s">
        <v>740</v>
      </c>
      <c r="B578" s="75">
        <v>22</v>
      </c>
      <c r="C578" s="75">
        <v>16</v>
      </c>
      <c r="D578" s="2" t="s">
        <v>432</v>
      </c>
      <c r="E578" s="75">
        <v>563</v>
      </c>
      <c r="F578" s="24" t="s">
        <v>288</v>
      </c>
      <c r="G578" s="24" t="s">
        <v>288</v>
      </c>
      <c r="H578" s="18">
        <v>0</v>
      </c>
      <c r="I578" s="87">
        <f t="shared" si="47"/>
        <v>0</v>
      </c>
      <c r="J578" s="24" t="s">
        <v>288</v>
      </c>
      <c r="K578" s="24" t="s">
        <v>288</v>
      </c>
      <c r="L578" s="24" t="s">
        <v>288</v>
      </c>
      <c r="M578" s="8"/>
      <c r="N578" s="264"/>
    </row>
    <row r="579" spans="1:14" s="3" customFormat="1" ht="12.4" customHeight="1" x14ac:dyDescent="0.15">
      <c r="A579" s="99" t="s">
        <v>674</v>
      </c>
      <c r="B579" s="75">
        <v>22</v>
      </c>
      <c r="C579" s="75">
        <v>17</v>
      </c>
      <c r="D579" s="2" t="s">
        <v>432</v>
      </c>
      <c r="E579" s="75">
        <v>564</v>
      </c>
      <c r="F579" s="18">
        <v>0</v>
      </c>
      <c r="G579" s="18">
        <v>0</v>
      </c>
      <c r="H579" s="18">
        <v>0</v>
      </c>
      <c r="I579" s="87">
        <f t="shared" si="47"/>
        <v>0</v>
      </c>
      <c r="J579" s="24" t="s">
        <v>288</v>
      </c>
      <c r="K579" s="24" t="s">
        <v>288</v>
      </c>
      <c r="L579" s="24" t="s">
        <v>288</v>
      </c>
      <c r="M579" s="8"/>
      <c r="N579" s="264"/>
    </row>
    <row r="580" spans="1:14" s="3" customFormat="1" ht="12.4" customHeight="1" x14ac:dyDescent="0.15">
      <c r="A580" s="99" t="s">
        <v>671</v>
      </c>
      <c r="B580" s="75">
        <v>22</v>
      </c>
      <c r="C580" s="75">
        <v>18</v>
      </c>
      <c r="D580" s="2" t="s">
        <v>432</v>
      </c>
      <c r="E580" s="75">
        <v>561</v>
      </c>
      <c r="F580" s="18">
        <v>0</v>
      </c>
      <c r="G580" s="18">
        <v>0</v>
      </c>
      <c r="H580" s="18">
        <v>0</v>
      </c>
      <c r="I580" s="87">
        <f t="shared" si="47"/>
        <v>0</v>
      </c>
      <c r="J580" s="24" t="s">
        <v>288</v>
      </c>
      <c r="K580" s="24" t="s">
        <v>288</v>
      </c>
      <c r="L580" s="24" t="s">
        <v>288</v>
      </c>
      <c r="M580" s="8"/>
      <c r="N580" s="264"/>
    </row>
    <row r="581" spans="1:14" s="3" customFormat="1" ht="12.4" customHeight="1" x14ac:dyDescent="0.15">
      <c r="A581" s="99" t="s">
        <v>672</v>
      </c>
      <c r="B581" s="75">
        <v>22</v>
      </c>
      <c r="C581" s="75">
        <v>19</v>
      </c>
      <c r="D581" s="2" t="s">
        <v>432</v>
      </c>
      <c r="E581" s="75">
        <v>562</v>
      </c>
      <c r="F581" s="18">
        <v>0</v>
      </c>
      <c r="G581" s="18">
        <v>0</v>
      </c>
      <c r="H581" s="18">
        <v>0</v>
      </c>
      <c r="I581" s="87">
        <f t="shared" si="47"/>
        <v>0</v>
      </c>
      <c r="J581" s="24" t="s">
        <v>288</v>
      </c>
      <c r="K581" s="24" t="s">
        <v>288</v>
      </c>
      <c r="L581" s="24" t="s">
        <v>288</v>
      </c>
      <c r="M581" s="8"/>
      <c r="N581" s="264"/>
    </row>
    <row r="582" spans="1:14" s="3" customFormat="1" ht="12.4" customHeight="1" x14ac:dyDescent="0.15">
      <c r="A582" s="146" t="s">
        <v>741</v>
      </c>
      <c r="B582" s="75">
        <v>22</v>
      </c>
      <c r="C582" s="75">
        <v>20</v>
      </c>
      <c r="D582" s="2" t="s">
        <v>432</v>
      </c>
      <c r="E582" s="75">
        <v>563</v>
      </c>
      <c r="F582" s="24" t="s">
        <v>288</v>
      </c>
      <c r="G582" s="24" t="s">
        <v>288</v>
      </c>
      <c r="H582" s="18">
        <v>0</v>
      </c>
      <c r="I582" s="87">
        <f t="shared" si="47"/>
        <v>0</v>
      </c>
      <c r="J582" s="24" t="s">
        <v>288</v>
      </c>
      <c r="K582" s="24" t="s">
        <v>288</v>
      </c>
      <c r="L582" s="24" t="s">
        <v>288</v>
      </c>
      <c r="M582" s="8"/>
      <c r="N582" s="264"/>
    </row>
    <row r="583" spans="1:14" s="3" customFormat="1" ht="12.4" customHeight="1" x14ac:dyDescent="0.15">
      <c r="A583" s="146" t="s">
        <v>673</v>
      </c>
      <c r="B583" s="75">
        <v>22</v>
      </c>
      <c r="C583" s="75">
        <v>21</v>
      </c>
      <c r="D583" s="2" t="s">
        <v>432</v>
      </c>
      <c r="E583" s="75">
        <v>564</v>
      </c>
      <c r="F583" s="18">
        <v>47000</v>
      </c>
      <c r="G583" s="18">
        <v>0</v>
      </c>
      <c r="H583" s="18">
        <v>56038.93</v>
      </c>
      <c r="I583" s="87">
        <f t="shared" si="47"/>
        <v>103038.93</v>
      </c>
      <c r="J583" s="24" t="s">
        <v>288</v>
      </c>
      <c r="K583" s="24" t="s">
        <v>288</v>
      </c>
      <c r="L583" s="24" t="s">
        <v>288</v>
      </c>
      <c r="M583" s="8"/>
      <c r="N583" s="264"/>
    </row>
    <row r="584" spans="1:14" s="3" customFormat="1" ht="12.4" customHeight="1" x14ac:dyDescent="0.15">
      <c r="A584" s="146" t="s">
        <v>636</v>
      </c>
      <c r="B584" s="75">
        <v>22</v>
      </c>
      <c r="C584" s="75">
        <v>22</v>
      </c>
      <c r="D584" s="2" t="s">
        <v>432</v>
      </c>
      <c r="E584" s="75">
        <v>569</v>
      </c>
      <c r="F584" s="18">
        <v>0</v>
      </c>
      <c r="G584" s="18">
        <v>0</v>
      </c>
      <c r="H584" s="18">
        <v>0</v>
      </c>
      <c r="I584" s="87">
        <f t="shared" si="47"/>
        <v>0</v>
      </c>
      <c r="J584" s="24" t="s">
        <v>288</v>
      </c>
      <c r="K584" s="24" t="s">
        <v>288</v>
      </c>
      <c r="L584" s="24" t="s">
        <v>288</v>
      </c>
      <c r="M584" s="8"/>
      <c r="N584" s="264"/>
    </row>
    <row r="585" spans="1:14" s="3" customFormat="1" ht="12.4" customHeight="1" x14ac:dyDescent="0.15">
      <c r="A585" s="22" t="s">
        <v>675</v>
      </c>
      <c r="B585" s="75">
        <v>22</v>
      </c>
      <c r="C585" s="75">
        <v>23</v>
      </c>
      <c r="D585" s="2" t="s">
        <v>432</v>
      </c>
      <c r="E585" s="75">
        <v>561</v>
      </c>
      <c r="F585" s="18">
        <v>0</v>
      </c>
      <c r="G585" s="18">
        <v>0</v>
      </c>
      <c r="H585" s="18">
        <v>6214.64</v>
      </c>
      <c r="I585" s="87">
        <f t="shared" si="47"/>
        <v>6214.64</v>
      </c>
      <c r="J585" s="24" t="s">
        <v>288</v>
      </c>
      <c r="K585" s="24" t="s">
        <v>288</v>
      </c>
      <c r="L585" s="24" t="s">
        <v>288</v>
      </c>
      <c r="M585" s="8"/>
      <c r="N585" s="264"/>
    </row>
    <row r="586" spans="1:14" s="3" customFormat="1" ht="12.4" customHeight="1" x14ac:dyDescent="0.15">
      <c r="A586" s="22" t="s">
        <v>676</v>
      </c>
      <c r="B586" s="75">
        <v>22</v>
      </c>
      <c r="C586" s="75">
        <v>24</v>
      </c>
      <c r="D586" s="2" t="s">
        <v>432</v>
      </c>
      <c r="E586" s="75">
        <v>562</v>
      </c>
      <c r="F586" s="18">
        <v>0</v>
      </c>
      <c r="G586" s="18">
        <v>0</v>
      </c>
      <c r="H586" s="18">
        <v>0</v>
      </c>
      <c r="I586" s="87">
        <f t="shared" si="47"/>
        <v>0</v>
      </c>
      <c r="J586" s="24" t="s">
        <v>288</v>
      </c>
      <c r="K586" s="24" t="s">
        <v>288</v>
      </c>
      <c r="L586" s="24" t="s">
        <v>288</v>
      </c>
      <c r="M586" s="8"/>
      <c r="N586" s="264"/>
    </row>
    <row r="587" spans="1:14" s="3" customFormat="1" ht="12.4" customHeight="1" x14ac:dyDescent="0.15">
      <c r="A587" s="22" t="s">
        <v>742</v>
      </c>
      <c r="B587" s="75">
        <v>22</v>
      </c>
      <c r="C587" s="75">
        <v>25</v>
      </c>
      <c r="D587" s="2" t="s">
        <v>432</v>
      </c>
      <c r="E587" s="75">
        <v>563</v>
      </c>
      <c r="F587" s="24" t="s">
        <v>288</v>
      </c>
      <c r="G587" s="24" t="s">
        <v>288</v>
      </c>
      <c r="H587" s="18">
        <v>0</v>
      </c>
      <c r="I587" s="87">
        <f t="shared" si="47"/>
        <v>0</v>
      </c>
      <c r="J587" s="24" t="s">
        <v>288</v>
      </c>
      <c r="K587" s="24" t="s">
        <v>288</v>
      </c>
      <c r="L587" s="24" t="s">
        <v>288</v>
      </c>
      <c r="M587" s="8"/>
      <c r="N587" s="264"/>
    </row>
    <row r="588" spans="1:14" s="3" customFormat="1" ht="12.4" customHeight="1" x14ac:dyDescent="0.15">
      <c r="A588" s="22" t="s">
        <v>677</v>
      </c>
      <c r="B588" s="75">
        <v>22</v>
      </c>
      <c r="C588" s="75">
        <v>26</v>
      </c>
      <c r="D588" s="2" t="s">
        <v>432</v>
      </c>
      <c r="E588" s="75">
        <v>564</v>
      </c>
      <c r="F588" s="18">
        <v>0</v>
      </c>
      <c r="G588" s="18">
        <v>0</v>
      </c>
      <c r="H588" s="18">
        <v>0</v>
      </c>
      <c r="I588" s="87">
        <f t="shared" si="47"/>
        <v>0</v>
      </c>
      <c r="J588" s="24" t="s">
        <v>288</v>
      </c>
      <c r="K588" s="24" t="s">
        <v>288</v>
      </c>
      <c r="L588" s="24" t="s">
        <v>288</v>
      </c>
      <c r="M588" s="8"/>
      <c r="N588" s="264"/>
    </row>
    <row r="589" spans="1:14" s="3" customFormat="1" ht="12.4" customHeight="1" x14ac:dyDescent="0.15">
      <c r="A589" s="173" t="s">
        <v>743</v>
      </c>
      <c r="B589" s="105"/>
      <c r="C589" s="105"/>
      <c r="D589" s="105"/>
      <c r="E589" s="105"/>
      <c r="F589" s="103"/>
      <c r="G589" s="103"/>
      <c r="H589" s="103"/>
      <c r="I589" s="103"/>
      <c r="J589" s="103"/>
      <c r="K589" s="103"/>
      <c r="L589" s="103"/>
      <c r="M589" s="8"/>
      <c r="N589" s="264"/>
    </row>
    <row r="590" spans="1:14" s="3" customFormat="1" ht="12.4" customHeight="1" x14ac:dyDescent="0.15">
      <c r="A590" s="147" t="s">
        <v>654</v>
      </c>
      <c r="B590" s="105"/>
      <c r="C590" s="105"/>
      <c r="D590" s="105"/>
      <c r="E590" s="105"/>
      <c r="F590" s="103"/>
      <c r="G590" s="103"/>
      <c r="H590" s="103"/>
      <c r="I590" s="103"/>
      <c r="J590" s="103"/>
      <c r="K590" s="103"/>
      <c r="L590" s="103"/>
      <c r="M590" s="8"/>
      <c r="N590" s="264"/>
    </row>
    <row r="591" spans="1:14" s="3" customFormat="1" ht="12.4"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4" customHeight="1" x14ac:dyDescent="0.15">
      <c r="A592" s="3" t="s">
        <v>637</v>
      </c>
      <c r="B592" s="75">
        <v>23</v>
      </c>
      <c r="C592" s="75">
        <v>1</v>
      </c>
      <c r="D592" s="2" t="s">
        <v>432</v>
      </c>
      <c r="E592" s="75"/>
      <c r="F592" s="102">
        <v>2721</v>
      </c>
      <c r="G592" s="103" t="s">
        <v>97</v>
      </c>
      <c r="H592" s="18">
        <v>120183.33</v>
      </c>
      <c r="I592" s="18">
        <v>55568.19</v>
      </c>
      <c r="J592" s="18">
        <v>69034.78</v>
      </c>
      <c r="K592" s="104">
        <f t="shared" ref="K592:K598" si="48">SUM(H592:J592)</f>
        <v>244786.30000000002</v>
      </c>
      <c r="L592" s="24" t="s">
        <v>288</v>
      </c>
      <c r="M592" s="8"/>
      <c r="N592" s="264"/>
    </row>
    <row r="593" spans="1:14" s="3" customFormat="1" ht="12.4" customHeight="1" x14ac:dyDescent="0.15">
      <c r="A593" s="3" t="s">
        <v>638</v>
      </c>
      <c r="B593" s="75">
        <v>23</v>
      </c>
      <c r="C593" s="75">
        <v>2</v>
      </c>
      <c r="D593" s="2" t="s">
        <v>432</v>
      </c>
      <c r="E593" s="75"/>
      <c r="F593" s="102">
        <v>2722</v>
      </c>
      <c r="G593" s="103" t="s">
        <v>97</v>
      </c>
      <c r="H593" s="18">
        <v>65193.120000000003</v>
      </c>
      <c r="I593" s="18">
        <v>8630.66</v>
      </c>
      <c r="J593" s="18">
        <v>49997.64</v>
      </c>
      <c r="K593" s="104">
        <f t="shared" si="48"/>
        <v>123821.42</v>
      </c>
      <c r="L593" s="24" t="s">
        <v>288</v>
      </c>
      <c r="M593" s="8"/>
      <c r="N593" s="264"/>
    </row>
    <row r="594" spans="1:14" s="3" customFormat="1" ht="12.4" customHeight="1" x14ac:dyDescent="0.15">
      <c r="A594" s="3" t="s">
        <v>639</v>
      </c>
      <c r="B594" s="75">
        <v>23</v>
      </c>
      <c r="C594" s="75">
        <v>3</v>
      </c>
      <c r="D594" s="2" t="s">
        <v>432</v>
      </c>
      <c r="E594" s="75"/>
      <c r="F594" s="102">
        <v>2723</v>
      </c>
      <c r="G594" s="103" t="s">
        <v>97</v>
      </c>
      <c r="H594" s="18">
        <v>0</v>
      </c>
      <c r="I594" s="18">
        <v>0</v>
      </c>
      <c r="J594" s="18">
        <v>20110.5</v>
      </c>
      <c r="K594" s="104">
        <f t="shared" si="48"/>
        <v>20110.5</v>
      </c>
      <c r="L594" s="24" t="s">
        <v>288</v>
      </c>
      <c r="M594" s="8"/>
      <c r="N594" s="264"/>
    </row>
    <row r="595" spans="1:14" s="3" customFormat="1" ht="12.4" customHeight="1" x14ac:dyDescent="0.15">
      <c r="A595" s="22" t="s">
        <v>640</v>
      </c>
      <c r="B595" s="75">
        <v>23</v>
      </c>
      <c r="C595" s="75">
        <v>4</v>
      </c>
      <c r="D595" s="2" t="s">
        <v>432</v>
      </c>
      <c r="E595" s="75"/>
      <c r="F595" s="102">
        <v>2724</v>
      </c>
      <c r="G595" s="103" t="s">
        <v>97</v>
      </c>
      <c r="H595" s="18">
        <v>0</v>
      </c>
      <c r="I595" s="18">
        <v>9350.01</v>
      </c>
      <c r="J595" s="18">
        <v>11427.83</v>
      </c>
      <c r="K595" s="104">
        <f t="shared" si="48"/>
        <v>20777.84</v>
      </c>
      <c r="L595" s="24" t="s">
        <v>288</v>
      </c>
      <c r="M595" s="8"/>
      <c r="N595" s="264"/>
    </row>
    <row r="596" spans="1:14" s="3" customFormat="1" ht="12.4" customHeight="1" x14ac:dyDescent="0.15">
      <c r="A596" s="171" t="s">
        <v>652</v>
      </c>
      <c r="B596" s="75">
        <v>23</v>
      </c>
      <c r="C596" s="75">
        <v>5</v>
      </c>
      <c r="D596" s="2" t="s">
        <v>432</v>
      </c>
      <c r="E596" s="75"/>
      <c r="F596" s="102">
        <v>2725</v>
      </c>
      <c r="G596" s="103" t="s">
        <v>97</v>
      </c>
      <c r="H596" s="18">
        <v>556</v>
      </c>
      <c r="I596" s="18">
        <v>0</v>
      </c>
      <c r="J596" s="18">
        <v>0</v>
      </c>
      <c r="K596" s="104">
        <f t="shared" si="48"/>
        <v>556</v>
      </c>
      <c r="L596" s="24" t="s">
        <v>288</v>
      </c>
      <c r="M596" s="8"/>
      <c r="N596" s="264"/>
    </row>
    <row r="597" spans="1:14" s="3" customFormat="1" ht="12.4" customHeight="1" x14ac:dyDescent="0.15">
      <c r="A597" s="22" t="s">
        <v>641</v>
      </c>
      <c r="B597" s="75">
        <v>23</v>
      </c>
      <c r="C597" s="75">
        <v>6</v>
      </c>
      <c r="D597" s="2" t="s">
        <v>432</v>
      </c>
      <c r="E597" s="75"/>
      <c r="F597" s="102">
        <v>2726</v>
      </c>
      <c r="G597" s="103" t="s">
        <v>97</v>
      </c>
      <c r="H597" s="18">
        <v>0</v>
      </c>
      <c r="I597" s="18">
        <v>0</v>
      </c>
      <c r="J597" s="18">
        <v>0</v>
      </c>
      <c r="K597" s="104">
        <f t="shared" si="48"/>
        <v>0</v>
      </c>
      <c r="L597" s="24" t="s">
        <v>288</v>
      </c>
      <c r="M597" s="8"/>
      <c r="N597" s="264"/>
    </row>
    <row r="598" spans="1:14" s="3" customFormat="1" ht="12.4" customHeight="1" thickBot="1" x14ac:dyDescent="0.2">
      <c r="A598" s="3" t="s">
        <v>655</v>
      </c>
      <c r="B598" s="75">
        <v>23</v>
      </c>
      <c r="C598" s="75">
        <v>7</v>
      </c>
      <c r="D598" s="2" t="s">
        <v>432</v>
      </c>
      <c r="E598" s="75"/>
      <c r="F598" s="102">
        <v>2729</v>
      </c>
      <c r="G598" s="103" t="s">
        <v>97</v>
      </c>
      <c r="H598" s="18">
        <v>0</v>
      </c>
      <c r="I598" s="18">
        <v>0</v>
      </c>
      <c r="J598" s="18">
        <v>0</v>
      </c>
      <c r="K598" s="104">
        <f t="shared" si="48"/>
        <v>0</v>
      </c>
      <c r="L598" s="24" t="s">
        <v>288</v>
      </c>
      <c r="M598" s="8"/>
      <c r="N598" s="264"/>
    </row>
    <row r="599" spans="1:14" s="3" customFormat="1" ht="12.4" customHeight="1" thickTop="1" x14ac:dyDescent="0.15">
      <c r="A599" s="98" t="s">
        <v>340</v>
      </c>
      <c r="B599" s="44">
        <v>23</v>
      </c>
      <c r="C599" s="44">
        <v>8</v>
      </c>
      <c r="D599" s="39" t="s">
        <v>432</v>
      </c>
      <c r="E599" s="44"/>
      <c r="F599" s="148">
        <v>2700</v>
      </c>
      <c r="G599" s="149" t="s">
        <v>97</v>
      </c>
      <c r="H599" s="108">
        <f>SUM(H592:H598)</f>
        <v>185932.45</v>
      </c>
      <c r="I599" s="108">
        <f>SUM(I592:I598)</f>
        <v>73548.86</v>
      </c>
      <c r="J599" s="108">
        <f>SUM(J592:J598)</f>
        <v>150570.74999999997</v>
      </c>
      <c r="K599" s="108">
        <f>SUM(K592:K598)</f>
        <v>410052.06000000006</v>
      </c>
      <c r="L599" s="24" t="s">
        <v>288</v>
      </c>
      <c r="M599" s="8"/>
      <c r="N599" s="264"/>
    </row>
    <row r="600" spans="1:14" s="3" customFormat="1" ht="12.4" customHeight="1" x14ac:dyDescent="0.15">
      <c r="A600" s="22"/>
      <c r="B600" s="105"/>
      <c r="C600" s="105"/>
      <c r="D600" s="105"/>
      <c r="E600" s="105"/>
      <c r="F600" s="103"/>
      <c r="G600" s="103"/>
      <c r="H600" s="103"/>
      <c r="I600" s="103"/>
      <c r="J600" s="103"/>
      <c r="K600" s="103"/>
      <c r="L600" s="103"/>
      <c r="M600" s="8"/>
      <c r="N600" s="264"/>
    </row>
    <row r="601" spans="1:14" s="3" customFormat="1" ht="12.4" customHeight="1" x14ac:dyDescent="0.15">
      <c r="A601" s="96" t="s">
        <v>98</v>
      </c>
      <c r="B601" s="105"/>
      <c r="C601" s="105"/>
      <c r="D601" s="105"/>
      <c r="E601" s="105"/>
      <c r="F601" s="103"/>
      <c r="G601" s="103"/>
      <c r="H601" s="103"/>
      <c r="I601" s="103"/>
      <c r="J601" s="103"/>
      <c r="K601" s="103"/>
      <c r="L601" s="103"/>
      <c r="M601" s="8"/>
      <c r="N601" s="264"/>
    </row>
    <row r="602" spans="1:14" s="3" customFormat="1" ht="12.4"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4"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4"/>
    </row>
    <row r="604" spans="1:14" s="3" customFormat="1" ht="12.4" customHeight="1" x14ac:dyDescent="0.15">
      <c r="A604" s="22" t="s">
        <v>643</v>
      </c>
      <c r="B604" s="105">
        <v>23</v>
      </c>
      <c r="C604" s="105">
        <v>10</v>
      </c>
      <c r="D604" s="2" t="s">
        <v>432</v>
      </c>
      <c r="E604" s="105"/>
      <c r="F604" s="103" t="s">
        <v>476</v>
      </c>
      <c r="G604" s="102">
        <v>720</v>
      </c>
      <c r="H604" s="18">
        <v>0</v>
      </c>
      <c r="I604" s="18">
        <v>0</v>
      </c>
      <c r="J604" s="18">
        <v>0</v>
      </c>
      <c r="K604" s="104">
        <f>SUM(H604:J604)</f>
        <v>0</v>
      </c>
      <c r="L604" s="24" t="s">
        <v>288</v>
      </c>
      <c r="M604" s="8"/>
      <c r="N604" s="264"/>
    </row>
    <row r="605" spans="1:14" s="3" customFormat="1" ht="12.4" customHeight="1" thickBot="1" x14ac:dyDescent="0.2">
      <c r="A605" s="22" t="s">
        <v>644</v>
      </c>
      <c r="B605" s="105">
        <v>23</v>
      </c>
      <c r="C605" s="105">
        <v>11</v>
      </c>
      <c r="D605" s="2" t="s">
        <v>432</v>
      </c>
      <c r="E605" s="105"/>
      <c r="F605" s="103" t="s">
        <v>476</v>
      </c>
      <c r="G605" s="102">
        <v>730</v>
      </c>
      <c r="H605" s="18">
        <v>96744.72</v>
      </c>
      <c r="I605" s="18">
        <v>60281.97</v>
      </c>
      <c r="J605" s="18">
        <v>76726.539999999994</v>
      </c>
      <c r="K605" s="104">
        <f>SUM(H605:J605)</f>
        <v>233753.22999999998</v>
      </c>
      <c r="L605" s="24" t="s">
        <v>288</v>
      </c>
      <c r="M605" s="8"/>
      <c r="N605" s="264"/>
    </row>
    <row r="606" spans="1:14" s="3" customFormat="1" ht="12.4" customHeight="1" thickTop="1" x14ac:dyDescent="0.15">
      <c r="A606" s="98" t="s">
        <v>340</v>
      </c>
      <c r="B606" s="44">
        <v>23</v>
      </c>
      <c r="C606" s="44">
        <v>12</v>
      </c>
      <c r="D606" s="39" t="s">
        <v>432</v>
      </c>
      <c r="E606" s="44"/>
      <c r="F606" s="149" t="s">
        <v>476</v>
      </c>
      <c r="G606" s="148">
        <v>700</v>
      </c>
      <c r="H606" s="108">
        <f>SUM(H603:H605)</f>
        <v>96744.72</v>
      </c>
      <c r="I606" s="108">
        <f>SUM(I603:I605)</f>
        <v>60281.97</v>
      </c>
      <c r="J606" s="108">
        <f>SUM(J603:J605)</f>
        <v>76726.539999999994</v>
      </c>
      <c r="K606" s="108">
        <f>SUM(K603:K605)</f>
        <v>233753.22999999998</v>
      </c>
      <c r="L606" s="24" t="s">
        <v>288</v>
      </c>
      <c r="M606" s="8"/>
      <c r="N606" s="264"/>
    </row>
    <row r="607" spans="1:14" s="3" customFormat="1" ht="12.4" customHeight="1" x14ac:dyDescent="0.15">
      <c r="A607" s="22"/>
      <c r="B607" s="105"/>
      <c r="C607" s="105"/>
      <c r="D607" s="105"/>
      <c r="E607" s="105"/>
      <c r="F607" s="103"/>
      <c r="G607" s="103"/>
      <c r="H607" s="103"/>
      <c r="I607" s="103"/>
      <c r="J607" s="103"/>
      <c r="K607" s="103"/>
      <c r="L607" s="88"/>
      <c r="M607" s="8"/>
      <c r="N607" s="264"/>
    </row>
    <row r="608" spans="1:14" s="3" customFormat="1" ht="12.4" customHeight="1" x14ac:dyDescent="0.15">
      <c r="A608" s="96"/>
      <c r="B608" s="105"/>
      <c r="C608" s="105"/>
      <c r="D608" s="105"/>
      <c r="E608" s="105"/>
      <c r="F608" s="103"/>
      <c r="G608" s="103"/>
      <c r="H608" s="103"/>
      <c r="I608" s="103"/>
      <c r="J608" s="103"/>
      <c r="K608" s="103"/>
      <c r="L608" s="88"/>
      <c r="M608" s="8"/>
      <c r="N608" s="264"/>
    </row>
    <row r="609" spans="1:14" s="3" customFormat="1" ht="12.4" customHeight="1" x14ac:dyDescent="0.15">
      <c r="A609" s="96" t="s">
        <v>581</v>
      </c>
      <c r="B609" s="105"/>
      <c r="C609" s="105"/>
      <c r="D609" s="105"/>
      <c r="E609" s="105"/>
      <c r="F609" s="103"/>
      <c r="G609" s="103"/>
      <c r="H609" s="103"/>
      <c r="I609" s="103"/>
      <c r="J609" s="103"/>
      <c r="K609" s="103"/>
      <c r="L609" s="88"/>
      <c r="M609" s="8"/>
      <c r="N609" s="264"/>
    </row>
    <row r="610" spans="1:14" s="3" customFormat="1" ht="12.4"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4"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4" customHeight="1" x14ac:dyDescent="0.15">
      <c r="A612" s="22" t="s">
        <v>633</v>
      </c>
      <c r="B612" s="75">
        <v>23</v>
      </c>
      <c r="C612" s="75">
        <v>13</v>
      </c>
      <c r="D612" s="2" t="s">
        <v>432</v>
      </c>
      <c r="E612" s="75"/>
      <c r="F612" s="18">
        <v>37227</v>
      </c>
      <c r="G612" s="18">
        <v>4400.54</v>
      </c>
      <c r="H612" s="18">
        <v>8918.5</v>
      </c>
      <c r="I612" s="18">
        <v>0</v>
      </c>
      <c r="J612" s="18">
        <v>0</v>
      </c>
      <c r="K612" s="18">
        <v>0</v>
      </c>
      <c r="L612" s="88">
        <f>SUM(F612:K612)</f>
        <v>50546.04</v>
      </c>
      <c r="M612" s="8"/>
      <c r="N612" s="264"/>
    </row>
    <row r="613" spans="1:14" s="3" customFormat="1" ht="12.4" customHeight="1" x14ac:dyDescent="0.15">
      <c r="A613" s="22" t="s">
        <v>634</v>
      </c>
      <c r="B613" s="75">
        <v>23</v>
      </c>
      <c r="C613" s="75">
        <v>14</v>
      </c>
      <c r="D613" s="2" t="s">
        <v>432</v>
      </c>
      <c r="E613" s="75"/>
      <c r="F613" s="18">
        <v>20984.23</v>
      </c>
      <c r="G613" s="18">
        <v>4445.2</v>
      </c>
      <c r="H613" s="18">
        <v>0</v>
      </c>
      <c r="I613" s="18">
        <v>0</v>
      </c>
      <c r="J613" s="18">
        <v>0</v>
      </c>
      <c r="K613" s="18">
        <v>0</v>
      </c>
      <c r="L613" s="88">
        <f>SUM(F613:K613)</f>
        <v>25429.43</v>
      </c>
      <c r="M613" s="8"/>
      <c r="N613" s="264"/>
    </row>
    <row r="614" spans="1:14" s="3" customFormat="1" ht="12.4" customHeight="1" thickBot="1" x14ac:dyDescent="0.2">
      <c r="A614" s="22" t="s">
        <v>645</v>
      </c>
      <c r="B614" s="75">
        <v>23</v>
      </c>
      <c r="C614" s="75">
        <v>15</v>
      </c>
      <c r="D614" s="2" t="s">
        <v>432</v>
      </c>
      <c r="E614" s="75"/>
      <c r="F614" s="18">
        <v>291.2</v>
      </c>
      <c r="G614" s="18">
        <v>75.06</v>
      </c>
      <c r="H614" s="18">
        <v>0</v>
      </c>
      <c r="I614" s="18">
        <v>0</v>
      </c>
      <c r="J614" s="18">
        <v>0</v>
      </c>
      <c r="K614" s="18">
        <v>0</v>
      </c>
      <c r="L614" s="88">
        <f>SUM(F614:K614)</f>
        <v>366.26</v>
      </c>
      <c r="M614" s="8"/>
      <c r="N614" s="264"/>
    </row>
    <row r="615" spans="1:14" s="3" customFormat="1" ht="12.4" customHeight="1" thickTop="1" x14ac:dyDescent="0.15">
      <c r="A615" s="98" t="s">
        <v>340</v>
      </c>
      <c r="B615" s="107">
        <v>23</v>
      </c>
      <c r="C615" s="107">
        <v>16</v>
      </c>
      <c r="D615" s="39" t="s">
        <v>432</v>
      </c>
      <c r="E615" s="107"/>
      <c r="F615" s="108">
        <f t="shared" ref="F615:L615" si="49">SUM(F612:F614)</f>
        <v>58502.429999999993</v>
      </c>
      <c r="G615" s="108">
        <f t="shared" si="49"/>
        <v>8920.7999999999993</v>
      </c>
      <c r="H615" s="108">
        <f t="shared" si="49"/>
        <v>8918.5</v>
      </c>
      <c r="I615" s="108">
        <f t="shared" si="49"/>
        <v>0</v>
      </c>
      <c r="J615" s="108">
        <f t="shared" si="49"/>
        <v>0</v>
      </c>
      <c r="K615" s="108">
        <f t="shared" si="49"/>
        <v>0</v>
      </c>
      <c r="L615" s="89">
        <f t="shared" si="49"/>
        <v>76341.73</v>
      </c>
      <c r="M615" s="8"/>
    </row>
    <row r="616" spans="1:14" s="3" customFormat="1" ht="12.4" customHeight="1" x14ac:dyDescent="0.15">
      <c r="A616" s="97"/>
      <c r="B616" s="105"/>
      <c r="C616" s="105"/>
      <c r="D616" s="105"/>
      <c r="E616" s="105"/>
      <c r="F616" s="109"/>
      <c r="G616" s="109"/>
      <c r="H616" s="109"/>
      <c r="I616" s="109"/>
      <c r="J616" s="109"/>
      <c r="K616" s="109"/>
      <c r="L616" s="109"/>
      <c r="M616" s="8"/>
    </row>
    <row r="617" spans="1:14" s="3" customFormat="1" ht="12.4" customHeight="1" x14ac:dyDescent="0.15">
      <c r="A617" s="97"/>
      <c r="B617" s="105"/>
      <c r="C617" s="105"/>
      <c r="D617" s="105"/>
      <c r="E617" s="105"/>
      <c r="F617" s="150" t="s">
        <v>53</v>
      </c>
      <c r="G617" s="151"/>
      <c r="H617" s="151"/>
      <c r="I617" s="150" t="s">
        <v>53</v>
      </c>
      <c r="J617" s="109"/>
      <c r="K617" s="109"/>
      <c r="L617" s="109"/>
      <c r="M617" s="8"/>
    </row>
    <row r="618" spans="1:14" s="3" customFormat="1" ht="12.4" customHeight="1" x14ac:dyDescent="0.15">
      <c r="A618" s="97" t="s">
        <v>99</v>
      </c>
      <c r="B618" s="105"/>
      <c r="C618" s="105"/>
      <c r="D618" s="105"/>
      <c r="E618" s="105"/>
      <c r="F618" s="121" t="s">
        <v>683</v>
      </c>
      <c r="G618" s="109">
        <f>SUM(F19)</f>
        <v>1319695.68</v>
      </c>
      <c r="H618" s="109">
        <f>SUM(F52)</f>
        <v>1319695.68</v>
      </c>
      <c r="I618" s="121" t="s">
        <v>875</v>
      </c>
      <c r="J618" s="109">
        <f>G618-H618</f>
        <v>0</v>
      </c>
      <c r="K618" s="109"/>
      <c r="L618" s="109"/>
      <c r="M618" s="8"/>
    </row>
    <row r="619" spans="1:14" s="3" customFormat="1" ht="12.4" customHeight="1" x14ac:dyDescent="0.15">
      <c r="A619" s="97" t="s">
        <v>100</v>
      </c>
      <c r="B619" s="105"/>
      <c r="C619" s="105"/>
      <c r="D619" s="105"/>
      <c r="E619" s="105"/>
      <c r="F619" s="121" t="s">
        <v>684</v>
      </c>
      <c r="G619" s="109">
        <f>SUM(G19)</f>
        <v>65542.02</v>
      </c>
      <c r="H619" s="109">
        <f>SUM(G52)</f>
        <v>65542.01999999999</v>
      </c>
      <c r="I619" s="121" t="s">
        <v>876</v>
      </c>
      <c r="J619" s="109">
        <f>G619-H619</f>
        <v>0</v>
      </c>
      <c r="K619" s="109"/>
      <c r="L619" s="109"/>
      <c r="M619" s="8"/>
    </row>
    <row r="620" spans="1:14" s="3" customFormat="1" ht="12.4" customHeight="1" x14ac:dyDescent="0.15">
      <c r="A620" s="97"/>
      <c r="B620" s="105"/>
      <c r="C620" s="105"/>
      <c r="D620" s="105"/>
      <c r="E620" s="105"/>
      <c r="F620" s="121" t="s">
        <v>685</v>
      </c>
      <c r="G620" s="109">
        <f>SUM(H19)</f>
        <v>6310.81</v>
      </c>
      <c r="H620" s="109">
        <f>SUM(H52)</f>
        <v>6310.8099999999977</v>
      </c>
      <c r="I620" s="121" t="s">
        <v>877</v>
      </c>
      <c r="J620" s="109">
        <f>G620-H620</f>
        <v>0</v>
      </c>
      <c r="K620" s="109"/>
      <c r="L620" s="109"/>
      <c r="M620" s="8"/>
    </row>
    <row r="621" spans="1:14" s="3" customFormat="1" ht="12.4"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4" customHeight="1" x14ac:dyDescent="0.15">
      <c r="A622" s="97"/>
      <c r="B622" s="105"/>
      <c r="C622" s="105"/>
      <c r="D622" s="105"/>
      <c r="E622" s="105"/>
      <c r="F622" s="121" t="s">
        <v>687</v>
      </c>
      <c r="G622" s="109">
        <f>SUM(J19)</f>
        <v>344576.21</v>
      </c>
      <c r="H622" s="109">
        <f>SUM(J52)</f>
        <v>344576.21</v>
      </c>
      <c r="I622" s="121" t="s">
        <v>879</v>
      </c>
      <c r="J622" s="109">
        <f>G622-H622</f>
        <v>0</v>
      </c>
      <c r="K622" s="109"/>
      <c r="L622" s="109"/>
      <c r="M622" s="8"/>
    </row>
    <row r="623" spans="1:14" s="3" customFormat="1" ht="12.4" customHeight="1" x14ac:dyDescent="0.15">
      <c r="A623" s="97"/>
      <c r="B623" s="105"/>
      <c r="C623" s="105"/>
      <c r="D623" s="105"/>
      <c r="E623" s="105"/>
      <c r="F623" s="121" t="s">
        <v>865</v>
      </c>
      <c r="G623" s="109">
        <f>F51</f>
        <v>1284947.92</v>
      </c>
      <c r="H623" s="109">
        <f>F477</f>
        <v>1284947.92</v>
      </c>
      <c r="I623" s="121" t="s">
        <v>101</v>
      </c>
      <c r="J623" s="109">
        <f t="shared" ref="J623:J656" si="50">G623-H623</f>
        <v>0</v>
      </c>
      <c r="K623" s="109"/>
      <c r="L623" s="109"/>
      <c r="M623" s="8"/>
    </row>
    <row r="624" spans="1:14" s="3" customFormat="1" ht="12.4" customHeight="1" x14ac:dyDescent="0.15">
      <c r="A624" s="97"/>
      <c r="B624" s="105"/>
      <c r="C624" s="119"/>
      <c r="D624" s="119"/>
      <c r="E624" s="119"/>
      <c r="F624" s="119" t="s">
        <v>866</v>
      </c>
      <c r="G624" s="109">
        <f>G51</f>
        <v>-4838.25</v>
      </c>
      <c r="H624" s="109">
        <f>G477</f>
        <v>-4838.25</v>
      </c>
      <c r="I624" s="121" t="s">
        <v>102</v>
      </c>
      <c r="J624" s="109">
        <f t="shared" si="50"/>
        <v>0</v>
      </c>
      <c r="K624" s="109"/>
      <c r="L624" s="109"/>
      <c r="M624" s="8"/>
    </row>
    <row r="625" spans="1:13" s="3" customFormat="1" ht="12.4" customHeight="1" x14ac:dyDescent="0.15">
      <c r="A625" s="97"/>
      <c r="B625" s="105"/>
      <c r="C625" s="105"/>
      <c r="D625" s="105"/>
      <c r="E625" s="105"/>
      <c r="F625" s="120" t="s">
        <v>867</v>
      </c>
      <c r="G625" s="109">
        <f>H51</f>
        <v>-316712.69</v>
      </c>
      <c r="H625" s="109">
        <f>H477</f>
        <v>-316712.68999999994</v>
      </c>
      <c r="I625" s="121" t="s">
        <v>103</v>
      </c>
      <c r="J625" s="109">
        <f t="shared" si="50"/>
        <v>0</v>
      </c>
      <c r="K625" s="109"/>
      <c r="L625" s="109"/>
      <c r="M625" s="8"/>
    </row>
    <row r="626" spans="1:13" s="3" customFormat="1" ht="12.4"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4" customHeight="1" x14ac:dyDescent="0.15">
      <c r="A627" s="22"/>
      <c r="B627" s="105"/>
      <c r="C627" s="105"/>
      <c r="D627" s="105"/>
      <c r="E627" s="105"/>
      <c r="F627" s="120" t="s">
        <v>869</v>
      </c>
      <c r="G627" s="109">
        <f>J51</f>
        <v>344576.21</v>
      </c>
      <c r="H627" s="109">
        <f>J477</f>
        <v>344576.20999999996</v>
      </c>
      <c r="I627" s="140" t="s">
        <v>105</v>
      </c>
      <c r="J627" s="109">
        <f t="shared" si="50"/>
        <v>0</v>
      </c>
      <c r="K627" s="85"/>
      <c r="L627" s="88"/>
      <c r="M627" s="8"/>
    </row>
    <row r="628" spans="1:13" s="3" customFormat="1" ht="12.4" customHeight="1" x14ac:dyDescent="0.15">
      <c r="A628" s="22"/>
      <c r="B628" s="105"/>
      <c r="C628" s="105"/>
      <c r="D628" s="105"/>
      <c r="E628" s="105"/>
      <c r="F628" s="120" t="s">
        <v>658</v>
      </c>
      <c r="G628" s="109">
        <f>F194</f>
        <v>11889528.350000001</v>
      </c>
      <c r="H628" s="104">
        <f>SUM(F469)</f>
        <v>11889528.35</v>
      </c>
      <c r="I628" s="140" t="s">
        <v>106</v>
      </c>
      <c r="J628" s="109">
        <f>G628-H628</f>
        <v>0</v>
      </c>
      <c r="K628" s="85"/>
      <c r="L628" s="88"/>
      <c r="M628" s="8"/>
    </row>
    <row r="629" spans="1:13" s="3" customFormat="1" ht="12.4" customHeight="1" x14ac:dyDescent="0.15">
      <c r="A629" s="22"/>
      <c r="B629" s="105"/>
      <c r="C629" s="105"/>
      <c r="D629" s="105"/>
      <c r="E629" s="105"/>
      <c r="F629" s="120" t="s">
        <v>659</v>
      </c>
      <c r="G629" s="109">
        <f>G194</f>
        <v>176257.81</v>
      </c>
      <c r="H629" s="104">
        <f>SUM(G469)</f>
        <v>176257.81</v>
      </c>
      <c r="I629" s="140" t="s">
        <v>107</v>
      </c>
      <c r="J629" s="109">
        <f>G629-H629</f>
        <v>0</v>
      </c>
      <c r="K629" s="85"/>
      <c r="L629" s="88"/>
      <c r="M629" s="8"/>
    </row>
    <row r="630" spans="1:13" s="3" customFormat="1" ht="12.4" customHeight="1" x14ac:dyDescent="0.15">
      <c r="A630" s="22"/>
      <c r="B630" s="105"/>
      <c r="C630" s="105"/>
      <c r="D630" s="105"/>
      <c r="E630" s="105"/>
      <c r="F630" s="120" t="s">
        <v>660</v>
      </c>
      <c r="G630" s="109">
        <f>H194</f>
        <v>237537.52</v>
      </c>
      <c r="H630" s="104">
        <f>SUM(H469)</f>
        <v>237537.52</v>
      </c>
      <c r="I630" s="140" t="s">
        <v>108</v>
      </c>
      <c r="J630" s="109">
        <f>G630-H630</f>
        <v>0</v>
      </c>
      <c r="K630" s="85"/>
      <c r="L630" s="88"/>
      <c r="M630" s="8"/>
    </row>
    <row r="631" spans="1:13" s="3" customFormat="1" ht="12.4"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4" customHeight="1" x14ac:dyDescent="0.15">
      <c r="A632" s="22"/>
      <c r="B632" s="105"/>
      <c r="C632" s="105"/>
      <c r="D632" s="105"/>
      <c r="E632" s="105"/>
      <c r="F632" s="120" t="s">
        <v>662</v>
      </c>
      <c r="G632" s="109">
        <f>J194</f>
        <v>251182.19</v>
      </c>
      <c r="H632" s="104">
        <f>SUM(J469)</f>
        <v>251182.19</v>
      </c>
      <c r="I632" s="140" t="s">
        <v>110</v>
      </c>
      <c r="J632" s="109">
        <f>G632-H632</f>
        <v>0</v>
      </c>
      <c r="K632" s="85"/>
      <c r="L632" s="88"/>
      <c r="M632" s="8"/>
    </row>
    <row r="633" spans="1:13" s="3" customFormat="1" ht="12.4" customHeight="1" x14ac:dyDescent="0.15">
      <c r="A633" s="22"/>
      <c r="B633" s="105"/>
      <c r="C633" s="105"/>
      <c r="D633" s="105"/>
      <c r="E633" s="105"/>
      <c r="F633" s="120" t="s">
        <v>394</v>
      </c>
      <c r="G633" s="109">
        <f>SUM(L272)</f>
        <v>11490033.429000001</v>
      </c>
      <c r="H633" s="104">
        <f>SUM(F473)</f>
        <v>11490033.43</v>
      </c>
      <c r="I633" s="140" t="s">
        <v>111</v>
      </c>
      <c r="J633" s="109">
        <f t="shared" si="50"/>
        <v>-9.999983012676239E-4</v>
      </c>
      <c r="K633" s="85"/>
      <c r="L633" s="88"/>
      <c r="M633" s="8"/>
    </row>
    <row r="634" spans="1:13" s="3" customFormat="1" ht="12.4" customHeight="1" x14ac:dyDescent="0.15">
      <c r="A634" s="22"/>
      <c r="B634" s="105"/>
      <c r="C634" s="105"/>
      <c r="D634" s="105"/>
      <c r="E634" s="105"/>
      <c r="F634" s="120" t="s">
        <v>395</v>
      </c>
      <c r="G634" s="109">
        <f>SUM(L353)</f>
        <v>554250.21</v>
      </c>
      <c r="H634" s="104">
        <f>SUM(H473)</f>
        <v>554250.21</v>
      </c>
      <c r="I634" s="140" t="s">
        <v>112</v>
      </c>
      <c r="J634" s="109">
        <f>G634-H634</f>
        <v>0</v>
      </c>
      <c r="K634" s="85"/>
      <c r="L634" s="88"/>
      <c r="M634" s="8"/>
    </row>
    <row r="635" spans="1:13" s="169" customFormat="1" ht="12.4" customHeight="1" x14ac:dyDescent="0.15">
      <c r="A635" s="22"/>
      <c r="B635" s="105"/>
      <c r="C635" s="105"/>
      <c r="D635" s="105"/>
      <c r="E635" s="105"/>
      <c r="F635" s="142" t="s">
        <v>247</v>
      </c>
      <c r="G635" s="109">
        <f>I363</f>
        <v>66653.290000000008</v>
      </c>
      <c r="H635" s="104">
        <f>I370</f>
        <v>66653.290000000008</v>
      </c>
      <c r="I635" s="143" t="s">
        <v>248</v>
      </c>
      <c r="J635" s="109">
        <f>G635-H635</f>
        <v>0</v>
      </c>
      <c r="K635" s="85"/>
      <c r="L635" s="88"/>
      <c r="M635" s="168"/>
    </row>
    <row r="636" spans="1:13" s="169" customFormat="1" ht="12.4" customHeight="1" x14ac:dyDescent="0.15">
      <c r="A636" s="22"/>
      <c r="B636" s="105"/>
      <c r="C636" s="105"/>
      <c r="D636" s="105"/>
      <c r="E636" s="105"/>
      <c r="F636" s="120" t="s">
        <v>113</v>
      </c>
      <c r="G636" s="109">
        <f>SUM(L363)</f>
        <v>181096.06</v>
      </c>
      <c r="H636" s="104">
        <f>SUM(G473)</f>
        <v>181096.06</v>
      </c>
      <c r="I636" s="140" t="s">
        <v>114</v>
      </c>
      <c r="J636" s="109">
        <f t="shared" si="50"/>
        <v>0</v>
      </c>
      <c r="K636" s="85"/>
      <c r="L636" s="88"/>
      <c r="M636" s="168"/>
    </row>
    <row r="637" spans="1:13" s="3" customFormat="1" ht="12.4"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4" customHeight="1" x14ac:dyDescent="0.15">
      <c r="A638" s="161"/>
      <c r="B638" s="162"/>
      <c r="C638" s="162"/>
      <c r="D638" s="162"/>
      <c r="E638" s="162"/>
      <c r="F638" s="163" t="s">
        <v>477</v>
      </c>
      <c r="G638" s="151">
        <f>SUM(L409)</f>
        <v>251182.19</v>
      </c>
      <c r="H638" s="164">
        <f>SUM(J469)</f>
        <v>251182.19</v>
      </c>
      <c r="I638" s="165" t="s">
        <v>110</v>
      </c>
      <c r="J638" s="151">
        <f t="shared" si="50"/>
        <v>0</v>
      </c>
      <c r="K638" s="166"/>
      <c r="L638" s="167"/>
      <c r="M638" s="8"/>
    </row>
    <row r="639" spans="1:13" s="3" customFormat="1" ht="12.4" customHeight="1" x14ac:dyDescent="0.15">
      <c r="A639" s="161"/>
      <c r="B639" s="162"/>
      <c r="C639" s="162"/>
      <c r="D639" s="162"/>
      <c r="E639" s="162"/>
      <c r="F639" s="163" t="s">
        <v>478</v>
      </c>
      <c r="G639" s="151">
        <f>SUM(L435)</f>
        <v>82450</v>
      </c>
      <c r="H639" s="164">
        <f>SUM(J473)</f>
        <v>82450</v>
      </c>
      <c r="I639" s="165" t="s">
        <v>117</v>
      </c>
      <c r="J639" s="151">
        <f t="shared" si="50"/>
        <v>0</v>
      </c>
      <c r="K639" s="166"/>
      <c r="L639" s="167"/>
      <c r="M639" s="8"/>
    </row>
    <row r="640" spans="1:13" s="3" customFormat="1" ht="12.4" customHeight="1" x14ac:dyDescent="0.15">
      <c r="A640" s="22"/>
      <c r="B640" s="105"/>
      <c r="C640" s="105"/>
      <c r="D640" s="105"/>
      <c r="E640" s="105"/>
      <c r="F640" s="120" t="s">
        <v>118</v>
      </c>
      <c r="G640" s="109">
        <f>SUM(F447)</f>
        <v>344576.21</v>
      </c>
      <c r="H640" s="104">
        <f>SUM(F462)</f>
        <v>344576.21</v>
      </c>
      <c r="I640" s="140" t="s">
        <v>841</v>
      </c>
      <c r="J640" s="109">
        <f t="shared" si="50"/>
        <v>0</v>
      </c>
      <c r="K640" s="85"/>
      <c r="L640" s="88"/>
      <c r="M640" s="8"/>
    </row>
    <row r="641" spans="1:13" s="3" customFormat="1" ht="12.4"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4"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4" customHeight="1" x14ac:dyDescent="0.15">
      <c r="A643" s="22"/>
      <c r="B643" s="105"/>
      <c r="C643" s="105"/>
      <c r="D643" s="105"/>
      <c r="E643" s="105"/>
      <c r="F643" s="120" t="s">
        <v>121</v>
      </c>
      <c r="G643" s="109">
        <f>SUM(I447)</f>
        <v>344576.21</v>
      </c>
      <c r="H643" s="104">
        <f>SUM(I462)</f>
        <v>344576.21</v>
      </c>
      <c r="I643" s="140" t="s">
        <v>844</v>
      </c>
      <c r="J643" s="109">
        <f t="shared" si="50"/>
        <v>0</v>
      </c>
      <c r="K643" s="85"/>
      <c r="L643" s="88"/>
      <c r="M643" s="8"/>
    </row>
    <row r="644" spans="1:13" s="3" customFormat="1" ht="12.4"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4" customHeight="1" x14ac:dyDescent="0.15">
      <c r="A645" s="22"/>
      <c r="B645" s="105"/>
      <c r="C645" s="105"/>
      <c r="D645" s="105"/>
      <c r="E645" s="105"/>
      <c r="F645" s="120" t="s">
        <v>663</v>
      </c>
      <c r="G645" s="109">
        <f>J96</f>
        <v>1182.19</v>
      </c>
      <c r="H645" s="104">
        <f>H409</f>
        <v>1182.19</v>
      </c>
      <c r="I645" s="140" t="s">
        <v>480</v>
      </c>
      <c r="J645" s="109">
        <f t="shared" si="50"/>
        <v>0</v>
      </c>
      <c r="K645" s="85"/>
      <c r="L645" s="88"/>
      <c r="M645" s="8"/>
    </row>
    <row r="646" spans="1:13" s="3" customFormat="1" ht="12.4" customHeight="1" x14ac:dyDescent="0.15">
      <c r="A646" s="22"/>
      <c r="B646" s="105"/>
      <c r="C646" s="105"/>
      <c r="D646" s="105"/>
      <c r="E646" s="105"/>
      <c r="F646" s="120" t="s">
        <v>664</v>
      </c>
      <c r="G646" s="109">
        <f>J184</f>
        <v>250000</v>
      </c>
      <c r="H646" s="104">
        <f>G409</f>
        <v>250000</v>
      </c>
      <c r="I646" s="140" t="s">
        <v>481</v>
      </c>
      <c r="J646" s="109">
        <f t="shared" si="50"/>
        <v>0</v>
      </c>
      <c r="K646" s="85"/>
      <c r="L646" s="88"/>
      <c r="M646" s="8"/>
    </row>
    <row r="647" spans="1:13" s="3" customFormat="1" ht="12.4" customHeight="1" x14ac:dyDescent="0.15">
      <c r="A647" s="22"/>
      <c r="B647" s="105"/>
      <c r="C647" s="105"/>
      <c r="D647" s="105"/>
      <c r="E647" s="105"/>
      <c r="F647" s="120" t="s">
        <v>662</v>
      </c>
      <c r="G647" s="109">
        <f>J194</f>
        <v>251182.19</v>
      </c>
      <c r="H647" s="104">
        <f>L409</f>
        <v>251182.19</v>
      </c>
      <c r="I647" s="140" t="s">
        <v>477</v>
      </c>
      <c r="J647" s="109">
        <f t="shared" si="50"/>
        <v>0</v>
      </c>
      <c r="K647" s="85"/>
      <c r="L647" s="88"/>
      <c r="M647" s="8"/>
    </row>
    <row r="648" spans="1:13" s="3" customFormat="1" ht="12.4" customHeight="1" x14ac:dyDescent="0.15">
      <c r="A648" s="22"/>
      <c r="B648" s="105"/>
      <c r="C648" s="105"/>
      <c r="D648" s="105"/>
      <c r="E648" s="105"/>
      <c r="F648" s="120" t="s">
        <v>51</v>
      </c>
      <c r="G648" s="109">
        <f>K599</f>
        <v>410052.06000000006</v>
      </c>
      <c r="H648" s="104">
        <f>L209+L227+L245</f>
        <v>410052.06</v>
      </c>
      <c r="I648" s="140" t="s">
        <v>396</v>
      </c>
      <c r="J648" s="109">
        <f t="shared" si="50"/>
        <v>0</v>
      </c>
      <c r="K648" s="85"/>
      <c r="L648" s="88"/>
      <c r="M648" s="8"/>
    </row>
    <row r="649" spans="1:13" s="3" customFormat="1" ht="12.4" customHeight="1" x14ac:dyDescent="0.15">
      <c r="A649" s="22"/>
      <c r="B649" s="105"/>
      <c r="C649" s="105"/>
      <c r="D649" s="105"/>
      <c r="E649" s="105"/>
      <c r="F649" s="120" t="s">
        <v>52</v>
      </c>
      <c r="G649" s="109">
        <f>K606</f>
        <v>233753.22999999998</v>
      </c>
      <c r="H649" s="104">
        <f>(J258+J339)-(J256+J337)</f>
        <v>233753.22999999998</v>
      </c>
      <c r="I649" s="140" t="s">
        <v>699</v>
      </c>
      <c r="J649" s="109">
        <f t="shared" si="50"/>
        <v>0</v>
      </c>
      <c r="K649" s="85"/>
      <c r="L649" s="88"/>
      <c r="M649" s="8"/>
    </row>
    <row r="650" spans="1:13" s="3" customFormat="1" ht="12.4" customHeight="1" x14ac:dyDescent="0.15">
      <c r="A650" s="22"/>
      <c r="B650" s="105"/>
      <c r="C650" s="105"/>
      <c r="D650" s="105"/>
      <c r="E650" s="105"/>
      <c r="F650" s="120" t="s">
        <v>387</v>
      </c>
      <c r="G650" s="109">
        <f>L209</f>
        <v>185932.45</v>
      </c>
      <c r="H650" s="104">
        <f>H599</f>
        <v>185932.45</v>
      </c>
      <c r="I650" s="140" t="s">
        <v>388</v>
      </c>
      <c r="J650" s="109">
        <f t="shared" si="50"/>
        <v>0</v>
      </c>
      <c r="K650" s="85"/>
      <c r="L650" s="88"/>
      <c r="M650" s="8"/>
    </row>
    <row r="651" spans="1:13" s="3" customFormat="1" ht="12.4" customHeight="1" x14ac:dyDescent="0.15">
      <c r="A651" s="22"/>
      <c r="B651" s="105"/>
      <c r="C651" s="105"/>
      <c r="D651" s="105"/>
      <c r="E651" s="105"/>
      <c r="F651" s="120" t="s">
        <v>392</v>
      </c>
      <c r="G651" s="109">
        <f>L227</f>
        <v>73548.86</v>
      </c>
      <c r="H651" s="104">
        <f>I599</f>
        <v>73548.86</v>
      </c>
      <c r="I651" s="140" t="s">
        <v>389</v>
      </c>
      <c r="J651" s="109">
        <f t="shared" si="50"/>
        <v>0</v>
      </c>
      <c r="K651" s="85"/>
      <c r="L651" s="88"/>
      <c r="M651" s="8"/>
    </row>
    <row r="652" spans="1:13" s="3" customFormat="1" ht="12.4" customHeight="1" x14ac:dyDescent="0.15">
      <c r="A652" s="22"/>
      <c r="B652" s="105"/>
      <c r="C652" s="105"/>
      <c r="D652" s="105"/>
      <c r="E652" s="105"/>
      <c r="F652" s="120" t="s">
        <v>393</v>
      </c>
      <c r="G652" s="109">
        <f>L245</f>
        <v>150570.75</v>
      </c>
      <c r="H652" s="104">
        <f>J599</f>
        <v>150570.74999999997</v>
      </c>
      <c r="I652" s="140" t="s">
        <v>390</v>
      </c>
      <c r="J652" s="109">
        <f t="shared" si="50"/>
        <v>0</v>
      </c>
      <c r="K652" s="85"/>
      <c r="L652" s="88"/>
      <c r="M652" s="8"/>
    </row>
    <row r="653" spans="1:13" s="3" customFormat="1" ht="12.4" customHeight="1" x14ac:dyDescent="0.15">
      <c r="A653" s="22"/>
      <c r="B653" s="105"/>
      <c r="C653" s="105"/>
      <c r="D653" s="105"/>
      <c r="E653" s="105"/>
      <c r="F653" s="120" t="s">
        <v>665</v>
      </c>
      <c r="G653" s="109">
        <f>G180</f>
        <v>25000</v>
      </c>
      <c r="H653" s="104">
        <f>K264+K346</f>
        <v>25000</v>
      </c>
      <c r="I653" s="140" t="s">
        <v>397</v>
      </c>
      <c r="J653" s="109">
        <f t="shared" si="50"/>
        <v>0</v>
      </c>
      <c r="K653" s="85"/>
      <c r="L653" s="88"/>
      <c r="M653" s="8"/>
    </row>
    <row r="654" spans="1:13" s="3" customFormat="1" ht="12.4"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4"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4" customHeight="1" x14ac:dyDescent="0.15">
      <c r="A656" s="22"/>
      <c r="B656" s="105"/>
      <c r="C656" s="105"/>
      <c r="D656" s="105"/>
      <c r="E656" s="105"/>
      <c r="F656" s="120" t="s">
        <v>668</v>
      </c>
      <c r="G656" s="109">
        <f>J180+J182</f>
        <v>250000</v>
      </c>
      <c r="H656" s="104">
        <f>K267+K348</f>
        <v>250000</v>
      </c>
      <c r="I656" s="140" t="s">
        <v>400</v>
      </c>
      <c r="J656" s="109">
        <f t="shared" si="50"/>
        <v>0</v>
      </c>
      <c r="K656" s="85"/>
      <c r="L656" s="88"/>
      <c r="M656" s="9"/>
    </row>
    <row r="657" spans="1:13" s="3" customFormat="1" ht="12.4" customHeight="1" x14ac:dyDescent="0.15">
      <c r="A657" s="127"/>
      <c r="B657" s="127"/>
      <c r="C657" s="127"/>
      <c r="D657" s="127"/>
      <c r="E657" s="127"/>
      <c r="F657" s="26" t="s">
        <v>122</v>
      </c>
      <c r="G657" s="19"/>
      <c r="H657" s="104">
        <f>SUM(G618:G656)-SUM(H618:H656)</f>
        <v>-9.999983012676239E-4</v>
      </c>
      <c r="I657" s="19"/>
      <c r="J657" s="19"/>
      <c r="K657" s="13"/>
      <c r="L657" s="13"/>
      <c r="M657" s="9"/>
    </row>
    <row r="658" spans="1:13" s="3" customFormat="1" ht="12.4" customHeight="1" x14ac:dyDescent="0.15">
      <c r="F658" s="17"/>
      <c r="G658" s="13"/>
      <c r="H658" s="13"/>
      <c r="I658" s="13"/>
      <c r="J658" s="13"/>
      <c r="K658" s="13"/>
      <c r="L658" s="13"/>
      <c r="M658" s="9"/>
    </row>
    <row r="659" spans="1:13" s="3" customFormat="1" ht="12.4" customHeight="1" x14ac:dyDescent="0.15">
      <c r="A659" s="29" t="s">
        <v>123</v>
      </c>
      <c r="F659" s="25" t="s">
        <v>124</v>
      </c>
      <c r="G659" s="25" t="s">
        <v>125</v>
      </c>
      <c r="H659" s="25" t="s">
        <v>367</v>
      </c>
      <c r="I659" s="25" t="s">
        <v>340</v>
      </c>
      <c r="J659" s="13"/>
      <c r="K659" s="13"/>
      <c r="L659" s="13"/>
      <c r="M659" s="9"/>
    </row>
    <row r="660" spans="1:13" s="3" customFormat="1" ht="12.4" customHeight="1" x14ac:dyDescent="0.15">
      <c r="A660" s="332" t="s">
        <v>1624</v>
      </c>
      <c r="F660" s="14" t="s">
        <v>286</v>
      </c>
      <c r="G660" s="13"/>
      <c r="H660" s="13"/>
      <c r="I660" s="13"/>
      <c r="J660" s="13"/>
      <c r="K660" s="13"/>
      <c r="L660" s="13"/>
      <c r="M660" s="9"/>
    </row>
    <row r="661" spans="1:13" s="3" customFormat="1" ht="12.4" customHeight="1" x14ac:dyDescent="0.15">
      <c r="A661" s="1" t="s">
        <v>126</v>
      </c>
      <c r="F661" s="19">
        <f>(L212+L291+L359)</f>
        <v>5304883.7400000012</v>
      </c>
      <c r="G661" s="19">
        <f>(L230+L310+L360)</f>
        <v>2747454.3800000004</v>
      </c>
      <c r="H661" s="19">
        <f>(L248+L329+L361)</f>
        <v>3294774.0789999999</v>
      </c>
      <c r="I661" s="19">
        <f>SUM(F661:H661)</f>
        <v>11347112.199000001</v>
      </c>
      <c r="J661" s="13"/>
      <c r="K661" s="13"/>
      <c r="L661" s="13"/>
      <c r="M661" s="9"/>
    </row>
    <row r="662" spans="1:13" s="3" customFormat="1" ht="12.4" customHeight="1" x14ac:dyDescent="0.2">
      <c r="A662" s="1" t="s">
        <v>127</v>
      </c>
      <c r="F662" s="19">
        <f>(L359/IF(SUM(L359:L361)=0,1,SUM(L359:L361))*(SUM(G97:G110)))</f>
        <v>4316.6336535703758</v>
      </c>
      <c r="G662" s="19">
        <f>(L360/IF(SUM(L359:L361)=0,1,SUM(L359:L361))*(SUM(G97:G110)))</f>
        <v>4322.193620543153</v>
      </c>
      <c r="H662" s="19">
        <f>(L361/IF(SUM(L359:L361)=0,1,SUM(L359:L361))*(SUM(G97:G110)))</f>
        <v>4552.4227258864712</v>
      </c>
      <c r="I662" s="19">
        <f>SUM(F662:H662)</f>
        <v>13191.25</v>
      </c>
      <c r="J662"/>
      <c r="K662" s="13"/>
      <c r="L662" s="13"/>
      <c r="M662" s="8"/>
    </row>
    <row r="663" spans="1:13" s="3" customFormat="1" ht="12.4" customHeight="1" x14ac:dyDescent="0.2">
      <c r="A663" s="1" t="s">
        <v>128</v>
      </c>
      <c r="F663" s="19">
        <f>(L209+L288)-(J209+J288)</f>
        <v>185932.45</v>
      </c>
      <c r="G663" s="19">
        <f>(L227+L307)-(J227+J307)</f>
        <v>78447.02</v>
      </c>
      <c r="H663" s="19">
        <f>(L245+L326)-(J245+J326)</f>
        <v>165265.09</v>
      </c>
      <c r="I663" s="19">
        <f>SUM(F663:H663)</f>
        <v>429644.56000000006</v>
      </c>
      <c r="J663"/>
      <c r="K663" s="13"/>
      <c r="L663" s="13"/>
      <c r="M663" s="9"/>
    </row>
    <row r="664" spans="1:13" s="3" customFormat="1" ht="12.4" customHeight="1" x14ac:dyDescent="0.15">
      <c r="A664" s="198" t="s">
        <v>129</v>
      </c>
      <c r="B664" s="169"/>
      <c r="C664" s="169"/>
      <c r="D664" s="169"/>
      <c r="E664" s="169"/>
      <c r="F664" s="199">
        <f>SUM(F576:F588)+SUM(H603:H605)+SUM(L612)</f>
        <v>194290.76</v>
      </c>
      <c r="G664" s="199">
        <f>SUM(G576:G588)+SUM(I603:I605)+L613</f>
        <v>85711.4</v>
      </c>
      <c r="H664" s="199">
        <f>SUM(H576:H588)+SUM(J603:J605)+L614</f>
        <v>270287.52</v>
      </c>
      <c r="I664" s="19">
        <f>SUM(F664:H664)</f>
        <v>550289.68000000005</v>
      </c>
      <c r="J664" s="13"/>
      <c r="K664" s="13"/>
      <c r="L664" s="13"/>
      <c r="M664" s="9"/>
    </row>
    <row r="665" spans="1:13" s="3" customFormat="1" ht="12.4" customHeight="1" x14ac:dyDescent="0.15">
      <c r="A665" s="1" t="s">
        <v>130</v>
      </c>
      <c r="F665" s="19">
        <f>F661-SUM(F662:F664)</f>
        <v>4920343.8963464312</v>
      </c>
      <c r="G665" s="19">
        <f>G661-SUM(G662:G664)</f>
        <v>2578973.766379457</v>
      </c>
      <c r="H665" s="19">
        <f>H661-SUM(H662:H664)</f>
        <v>2854669.0462741135</v>
      </c>
      <c r="I665" s="19">
        <f>I661-SUM(I662:I664)</f>
        <v>10353986.709000001</v>
      </c>
      <c r="J665" s="13"/>
      <c r="K665" s="13"/>
      <c r="L665" s="13"/>
      <c r="M665" s="8"/>
    </row>
    <row r="666" spans="1:13" s="3" customFormat="1" ht="12.4" customHeight="1" x14ac:dyDescent="0.25">
      <c r="A666" s="1" t="s">
        <v>131</v>
      </c>
      <c r="F666" s="359">
        <v>283.14999999999998</v>
      </c>
      <c r="G666" s="359">
        <v>136.63999999999999</v>
      </c>
      <c r="H666" s="359">
        <v>159.80000000000001</v>
      </c>
      <c r="I666" s="19">
        <f>SUM(F666:H666)</f>
        <v>579.58999999999992</v>
      </c>
      <c r="J666" s="13"/>
      <c r="K666" s="13"/>
      <c r="L666" s="13"/>
      <c r="M666" s="10"/>
    </row>
    <row r="667" spans="1:13" s="3" customFormat="1" ht="12.4" customHeight="1" x14ac:dyDescent="0.15">
      <c r="A667" s="1" t="s">
        <v>132</v>
      </c>
      <c r="F667" s="13"/>
      <c r="G667" s="13"/>
      <c r="H667" s="13"/>
      <c r="I667" s="13"/>
      <c r="J667" s="13"/>
      <c r="K667" s="13"/>
      <c r="L667" s="13"/>
      <c r="M667" s="9"/>
    </row>
    <row r="668" spans="1:13" s="3" customFormat="1" ht="12.4" customHeight="1" x14ac:dyDescent="0.15">
      <c r="A668" s="29" t="s">
        <v>133</v>
      </c>
      <c r="F668" s="19">
        <f>ROUND(F665/F666,2)</f>
        <v>17377.16</v>
      </c>
      <c r="G668" s="19">
        <f>ROUND(G665/G666,2)</f>
        <v>18874.22</v>
      </c>
      <c r="H668" s="19">
        <f>ROUND(H665/H666,2)</f>
        <v>17864.009999999998</v>
      </c>
      <c r="I668" s="19">
        <f>ROUND(I665/I666,2)</f>
        <v>17864.330000000002</v>
      </c>
      <c r="J668" s="13"/>
      <c r="K668" s="13"/>
      <c r="L668" s="13"/>
      <c r="M668" s="9"/>
    </row>
    <row r="669" spans="1:13" s="3" customFormat="1" ht="12.4" customHeight="1" x14ac:dyDescent="0.15">
      <c r="F669" s="13"/>
      <c r="G669" s="13"/>
      <c r="H669" s="13"/>
      <c r="I669" s="13"/>
      <c r="J669" s="13"/>
      <c r="K669" s="13"/>
      <c r="L669" s="13"/>
      <c r="M669" s="9"/>
    </row>
    <row r="670" spans="1:13" s="3" customFormat="1" ht="12.4" customHeight="1" x14ac:dyDescent="0.15">
      <c r="A670" s="1" t="s">
        <v>134</v>
      </c>
      <c r="F670" s="18"/>
      <c r="G670" s="18"/>
      <c r="H670" s="18"/>
      <c r="I670" s="19">
        <f>SUM(F670:H670)</f>
        <v>0</v>
      </c>
      <c r="J670" s="13"/>
      <c r="K670" s="13"/>
      <c r="L670" s="13"/>
      <c r="M670" s="9"/>
    </row>
    <row r="671" spans="1:13" s="3" customFormat="1" ht="12.4" customHeight="1" x14ac:dyDescent="0.15">
      <c r="A671" s="1" t="s">
        <v>135</v>
      </c>
      <c r="F671" s="18"/>
      <c r="G671" s="18"/>
      <c r="H671" s="18">
        <v>-2.2200000000000002</v>
      </c>
      <c r="I671" s="19">
        <f>SUM(F671:H671)</f>
        <v>-2.2200000000000002</v>
      </c>
      <c r="J671" s="13"/>
      <c r="K671" s="13"/>
      <c r="L671" s="13"/>
      <c r="M671" s="9"/>
    </row>
    <row r="672" spans="1:13" s="3" customFormat="1" ht="12.4" customHeight="1" x14ac:dyDescent="0.15">
      <c r="F672" s="13"/>
      <c r="G672" s="13"/>
      <c r="H672" s="13"/>
      <c r="I672" s="13"/>
      <c r="J672" s="13"/>
      <c r="K672" s="13"/>
      <c r="L672" s="13"/>
    </row>
    <row r="673" spans="1:12" s="3" customFormat="1" ht="12.4" customHeight="1" x14ac:dyDescent="0.15">
      <c r="A673" s="1" t="s">
        <v>136</v>
      </c>
      <c r="B673" s="2" t="s">
        <v>137</v>
      </c>
      <c r="C673" s="2" t="s">
        <v>290</v>
      </c>
      <c r="D673" s="2"/>
      <c r="E673" s="2"/>
      <c r="F673" s="19">
        <f>ROUND((F665+F670)/(F666+F671),2)</f>
        <v>17377.16</v>
      </c>
      <c r="G673" s="19">
        <f>ROUND((G665+G670)/(G666+G671),2)</f>
        <v>18874.22</v>
      </c>
      <c r="H673" s="19">
        <f>ROUND((H665+H670)/(H666+H671),2)</f>
        <v>18115.68</v>
      </c>
      <c r="I673" s="19">
        <f>ROUND((I665+I670)/(I666+I671),2)</f>
        <v>17933.02</v>
      </c>
      <c r="J673" s="13"/>
      <c r="K673" s="13"/>
      <c r="L673" s="13"/>
    </row>
    <row r="674" spans="1:12" s="3" customFormat="1" ht="12.4" customHeight="1" x14ac:dyDescent="0.15">
      <c r="C674" s="7"/>
      <c r="D674" s="7"/>
      <c r="E674" s="7"/>
      <c r="F674" s="13"/>
      <c r="G674" s="13"/>
      <c r="H674" s="13"/>
      <c r="I674" s="13"/>
      <c r="J674" s="13"/>
      <c r="K674" s="13"/>
      <c r="L674" s="13"/>
    </row>
    <row r="675" spans="1:12" ht="12.4" customHeight="1" x14ac:dyDescent="0.2">
      <c r="A675" s="3"/>
      <c r="B675" s="3"/>
      <c r="C675" s="3"/>
      <c r="D675" s="3"/>
      <c r="E675" s="3"/>
      <c r="F675" s="13"/>
      <c r="G675" s="13"/>
      <c r="H675" s="13"/>
      <c r="I675" s="13"/>
      <c r="J675" s="13"/>
      <c r="K675" s="13"/>
      <c r="L675" s="13"/>
    </row>
    <row r="676" spans="1:12" ht="12.4" customHeight="1" x14ac:dyDescent="0.2">
      <c r="A676" s="3"/>
      <c r="B676" s="3"/>
      <c r="C676" s="3"/>
      <c r="D676" s="3"/>
      <c r="E676" s="3"/>
      <c r="F676" s="13"/>
      <c r="G676" s="13"/>
      <c r="H676" s="13"/>
      <c r="I676" s="13"/>
      <c r="J676" s="13"/>
      <c r="K676" s="13"/>
      <c r="L676" s="13"/>
    </row>
    <row r="677" spans="1:12" ht="12.4"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4" zoomScaleNormal="100" workbookViewId="0">
      <selection activeCell="E31" sqref="E31"/>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0" t="s">
        <v>1669</v>
      </c>
      <c r="D2" s="360"/>
      <c r="E2" s="360"/>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0</v>
      </c>
      <c r="F7" s="346"/>
    </row>
    <row r="8" spans="2:6" x14ac:dyDescent="0.25">
      <c r="B8" s="346"/>
      <c r="C8" s="346"/>
      <c r="D8" s="346"/>
      <c r="E8" s="346"/>
      <c r="F8" s="346"/>
    </row>
    <row r="9" spans="2:6" x14ac:dyDescent="0.25">
      <c r="B9" s="346"/>
      <c r="C9" s="346" t="s">
        <v>1650</v>
      </c>
      <c r="D9" s="346" t="s">
        <v>1651</v>
      </c>
      <c r="E9" s="341">
        <v>0</v>
      </c>
      <c r="F9" s="346"/>
    </row>
    <row r="10" spans="2:6" x14ac:dyDescent="0.25">
      <c r="B10" s="346"/>
      <c r="C10" s="346"/>
      <c r="D10" s="346"/>
      <c r="E10" s="346"/>
      <c r="F10" s="346"/>
    </row>
    <row r="11" spans="2:6" x14ac:dyDescent="0.25">
      <c r="B11" s="346"/>
      <c r="C11" s="346" t="s">
        <v>1652</v>
      </c>
      <c r="D11" s="346" t="s">
        <v>1653</v>
      </c>
      <c r="E11" s="341">
        <v>0</v>
      </c>
      <c r="F11" s="346"/>
    </row>
    <row r="12" spans="2:6" x14ac:dyDescent="0.25">
      <c r="B12" s="346"/>
      <c r="C12" s="346"/>
      <c r="D12" s="346"/>
      <c r="E12" s="346"/>
      <c r="F12" s="346"/>
    </row>
    <row r="13" spans="2:6" x14ac:dyDescent="0.25">
      <c r="B13" s="346"/>
      <c r="C13" s="346" t="s">
        <v>1654</v>
      </c>
      <c r="D13" s="346" t="s">
        <v>1655</v>
      </c>
      <c r="E13" s="341">
        <v>0</v>
      </c>
      <c r="F13" s="346"/>
    </row>
    <row r="14" spans="2:6" x14ac:dyDescent="0.25">
      <c r="B14" s="346"/>
      <c r="C14" s="346"/>
      <c r="D14" s="346"/>
      <c r="E14" s="346"/>
      <c r="F14" s="346"/>
    </row>
    <row r="15" spans="2:6" x14ac:dyDescent="0.25">
      <c r="B15" s="346"/>
      <c r="C15" s="346" t="s">
        <v>1656</v>
      </c>
      <c r="D15" s="346" t="s">
        <v>1657</v>
      </c>
      <c r="E15" s="341">
        <v>0</v>
      </c>
      <c r="F15" s="346"/>
    </row>
    <row r="16" spans="2:6" x14ac:dyDescent="0.25">
      <c r="B16" s="346"/>
      <c r="C16" s="346"/>
      <c r="D16" s="346"/>
      <c r="E16" s="346"/>
      <c r="F16" s="346"/>
    </row>
    <row r="17" spans="2:8" x14ac:dyDescent="0.25">
      <c r="B17" s="346"/>
      <c r="C17" s="346" t="s">
        <v>1658</v>
      </c>
      <c r="D17" s="347">
        <v>21.018999999999998</v>
      </c>
      <c r="E17" s="341">
        <v>116048.74</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86277.55</v>
      </c>
      <c r="F22" s="346"/>
    </row>
    <row r="23" spans="2:8" x14ac:dyDescent="0.25">
      <c r="B23" s="346"/>
      <c r="C23" s="346"/>
      <c r="D23" s="346"/>
      <c r="E23" s="346"/>
      <c r="F23" s="346"/>
    </row>
    <row r="24" spans="2:8" ht="26.25" customHeight="1" x14ac:dyDescent="0.25">
      <c r="B24" s="346"/>
      <c r="C24" s="348" t="s">
        <v>1661</v>
      </c>
      <c r="D24" s="346"/>
      <c r="E24" s="341">
        <v>38301.29</v>
      </c>
      <c r="F24" s="346"/>
    </row>
    <row r="25" spans="2:8" ht="18" x14ac:dyDescent="0.25">
      <c r="B25" s="346"/>
      <c r="C25" s="349"/>
      <c r="D25" s="346"/>
      <c r="E25" s="346"/>
      <c r="F25" s="346"/>
    </row>
    <row r="26" spans="2:8" ht="27.95" customHeight="1" x14ac:dyDescent="0.25">
      <c r="B26" s="346"/>
      <c r="C26" s="348" t="s">
        <v>1662</v>
      </c>
      <c r="D26" s="346"/>
      <c r="E26" s="341">
        <v>45483.79</v>
      </c>
      <c r="F26" s="346"/>
    </row>
    <row r="27" spans="2:8" x14ac:dyDescent="0.25">
      <c r="B27" s="346"/>
      <c r="C27" s="348"/>
      <c r="D27" s="346"/>
      <c r="E27" s="346"/>
      <c r="F27" s="346"/>
    </row>
    <row r="28" spans="2:8" ht="15.75" customHeight="1" x14ac:dyDescent="0.25">
      <c r="B28" s="346"/>
      <c r="C28" s="348" t="s">
        <v>1663</v>
      </c>
      <c r="D28" s="346"/>
      <c r="E28" s="342">
        <v>0</v>
      </c>
      <c r="F28" s="346"/>
    </row>
    <row r="29" spans="2:8" x14ac:dyDescent="0.25">
      <c r="B29" s="346"/>
      <c r="C29" s="346"/>
      <c r="D29" s="346"/>
      <c r="E29" s="346"/>
      <c r="F29" s="346"/>
    </row>
    <row r="30" spans="2:8" ht="16.5" customHeight="1" x14ac:dyDescent="0.25">
      <c r="B30" s="346"/>
      <c r="C30" s="348" t="s">
        <v>1664</v>
      </c>
      <c r="D30" s="346"/>
      <c r="E30" s="341">
        <v>29771.19</v>
      </c>
      <c r="F30" s="346"/>
    </row>
    <row r="31" spans="2:8" x14ac:dyDescent="0.25">
      <c r="B31" s="346"/>
      <c r="C31" s="346"/>
      <c r="D31" s="346"/>
      <c r="E31" s="346"/>
      <c r="F31" s="346"/>
      <c r="H31" s="358" t="str">
        <f>IF(SUM(E7:E17)=(SUM(E22:E30)),"","Revenues and Expenditures do not match!!. Please correct.")</f>
        <v>Revenues and Expenditures do not match!!. Please correct.</v>
      </c>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1" t="s">
        <v>1575</v>
      </c>
      <c r="B1" s="361"/>
      <c r="C1" s="361"/>
      <c r="D1" s="361"/>
      <c r="E1" s="361"/>
      <c r="F1" s="361"/>
      <c r="G1" s="361"/>
      <c r="H1" s="361"/>
    </row>
    <row r="2" spans="1:9" ht="15" x14ac:dyDescent="0.2">
      <c r="A2" s="361" t="s">
        <v>1627</v>
      </c>
      <c r="B2" s="361"/>
      <c r="C2" s="361"/>
      <c r="D2" s="361"/>
      <c r="E2" s="361"/>
      <c r="F2" s="361"/>
      <c r="G2" s="361"/>
      <c r="H2" s="361"/>
    </row>
    <row r="3" spans="1:9" ht="15.75" x14ac:dyDescent="0.25">
      <c r="A3" s="321" t="s">
        <v>1589</v>
      </c>
      <c r="B3" s="322" t="s">
        <v>1621</v>
      </c>
      <c r="C3" s="320"/>
      <c r="D3" s="320"/>
      <c r="E3" s="320"/>
      <c r="F3" s="320"/>
      <c r="G3" s="320"/>
      <c r="H3" s="320"/>
      <c r="I3" t="s">
        <v>1621</v>
      </c>
    </row>
    <row r="4" spans="1:9" x14ac:dyDescent="0.2">
      <c r="I4" t="s">
        <v>1622</v>
      </c>
    </row>
    <row r="5" spans="1:9" ht="15.75" x14ac:dyDescent="0.25">
      <c r="A5" s="316" t="s">
        <v>908</v>
      </c>
      <c r="B5" s="362" t="str">
        <f>'DOE25'!A2</f>
        <v>Wilton-Lyndeborough Cooperative School District</v>
      </c>
      <c r="C5" s="363"/>
      <c r="D5" s="363"/>
      <c r="E5" s="363"/>
      <c r="F5" s="363"/>
    </row>
    <row r="8" spans="1:9" ht="18" x14ac:dyDescent="0.25">
      <c r="A8" s="317" t="s">
        <v>1576</v>
      </c>
      <c r="F8" s="324" t="s">
        <v>1594</v>
      </c>
    </row>
    <row r="9" spans="1:9" ht="15" x14ac:dyDescent="0.2">
      <c r="A9" s="315" t="s">
        <v>1577</v>
      </c>
      <c r="B9" s="318">
        <f>'DOE25'!G97</f>
        <v>5652.7</v>
      </c>
      <c r="F9" s="315" t="s">
        <v>1590</v>
      </c>
    </row>
    <row r="10" spans="1:9" ht="15" x14ac:dyDescent="0.2">
      <c r="A10" s="315" t="s">
        <v>1578</v>
      </c>
      <c r="B10" s="318">
        <f>'DOE25'!G112-'DOE25'!G97</f>
        <v>7538.55</v>
      </c>
      <c r="F10" s="315" t="s">
        <v>1591</v>
      </c>
    </row>
    <row r="11" spans="1:9" ht="15" x14ac:dyDescent="0.2">
      <c r="A11" s="315" t="s">
        <v>1579</v>
      </c>
      <c r="B11" s="318">
        <f>'DOE25'!G140</f>
        <v>41360.26</v>
      </c>
      <c r="F11" s="315" t="s">
        <v>1592</v>
      </c>
    </row>
    <row r="12" spans="1:9" ht="15" x14ac:dyDescent="0.2">
      <c r="A12" s="315" t="s">
        <v>1580</v>
      </c>
      <c r="B12" s="318">
        <f>'DOE25'!G170</f>
        <v>96706.3</v>
      </c>
      <c r="F12" s="315" t="s">
        <v>1593</v>
      </c>
    </row>
    <row r="13" spans="1:9" ht="15" x14ac:dyDescent="0.2">
      <c r="A13" s="315" t="s">
        <v>1581</v>
      </c>
      <c r="B13" s="318">
        <f>'DOE25'!G193-'DOE25'!G180</f>
        <v>0</v>
      </c>
      <c r="F13" s="315" t="s">
        <v>1603</v>
      </c>
    </row>
    <row r="14" spans="1:9" ht="18" x14ac:dyDescent="0.25">
      <c r="A14" s="317" t="s">
        <v>732</v>
      </c>
      <c r="B14" s="319">
        <f>SUM(B9:B13)</f>
        <v>151257.81</v>
      </c>
    </row>
    <row r="16" spans="1:9" ht="18" x14ac:dyDescent="0.25">
      <c r="A16" s="317" t="s">
        <v>786</v>
      </c>
      <c r="F16" s="324" t="s">
        <v>1595</v>
      </c>
    </row>
    <row r="17" spans="1:6" ht="15" x14ac:dyDescent="0.2">
      <c r="A17" s="315" t="s">
        <v>1582</v>
      </c>
      <c r="B17" s="318">
        <f>'DOE25'!L363-'DOE25'!L362</f>
        <v>181096.06</v>
      </c>
      <c r="F17" s="315" t="s">
        <v>1596</v>
      </c>
    </row>
    <row r="18" spans="1:6" ht="15" x14ac:dyDescent="0.2">
      <c r="A18" s="315" t="s">
        <v>1583</v>
      </c>
      <c r="B18" s="328"/>
      <c r="F18" s="324" t="s">
        <v>1620</v>
      </c>
    </row>
    <row r="19" spans="1:6" ht="18" x14ac:dyDescent="0.25">
      <c r="A19" s="317" t="s">
        <v>725</v>
      </c>
      <c r="B19" s="319">
        <f>SUM(B17:B18)</f>
        <v>181096.06</v>
      </c>
    </row>
    <row r="21" spans="1:6" ht="18.75" thickBot="1" x14ac:dyDescent="0.3">
      <c r="A21" s="317" t="s">
        <v>1584</v>
      </c>
    </row>
    <row r="22" spans="1:6" ht="18.75" thickTop="1" x14ac:dyDescent="0.25">
      <c r="A22" s="317" t="s">
        <v>1585</v>
      </c>
      <c r="B22" s="323">
        <f>B14-B19</f>
        <v>-29838.25</v>
      </c>
      <c r="F22" s="315" t="s">
        <v>1597</v>
      </c>
    </row>
    <row r="26" spans="1:6" ht="18" x14ac:dyDescent="0.25">
      <c r="A26" s="317" t="s">
        <v>186</v>
      </c>
    </row>
    <row r="27" spans="1:6" ht="15" x14ac:dyDescent="0.2">
      <c r="A27" s="315" t="s">
        <v>1586</v>
      </c>
      <c r="B27" s="318">
        <f>'DOE25'!G180</f>
        <v>25000</v>
      </c>
      <c r="F27" s="315" t="s">
        <v>1598</v>
      </c>
    </row>
    <row r="28" spans="1:6" ht="15" x14ac:dyDescent="0.2">
      <c r="A28" s="315" t="s">
        <v>1588</v>
      </c>
      <c r="B28" s="318">
        <f>'DOE25'!L362</f>
        <v>0</v>
      </c>
      <c r="F28" s="315" t="s">
        <v>1599</v>
      </c>
    </row>
    <row r="31" spans="1:6" ht="15" x14ac:dyDescent="0.2">
      <c r="A31" s="315" t="s">
        <v>1628</v>
      </c>
      <c r="B31" s="318">
        <f>'DOE25'!G466</f>
        <v>0</v>
      </c>
      <c r="F31" s="315" t="s">
        <v>1600</v>
      </c>
    </row>
    <row r="33" spans="1:6" ht="15" x14ac:dyDescent="0.2">
      <c r="A33" s="315" t="s">
        <v>1629</v>
      </c>
      <c r="B33" s="318">
        <f>'DOE25'!G477</f>
        <v>-4838.25</v>
      </c>
      <c r="F33" s="315" t="s">
        <v>1601</v>
      </c>
    </row>
    <row r="36" spans="1:6" ht="15" x14ac:dyDescent="0.2">
      <c r="A36" s="315" t="s">
        <v>1587</v>
      </c>
      <c r="B36" s="329">
        <v>1005</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4" workbookViewId="0">
      <selection activeCell="C22" sqref="C2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Wilton-Lyndeborough Cooperative School District</v>
      </c>
      <c r="C1" s="238" t="s">
        <v>824</v>
      </c>
    </row>
    <row r="2" spans="1:3" x14ac:dyDescent="0.2">
      <c r="A2" s="233"/>
      <c r="B2" s="232"/>
    </row>
    <row r="3" spans="1:3" x14ac:dyDescent="0.2">
      <c r="A3" s="360" t="s">
        <v>780</v>
      </c>
      <c r="B3" s="360"/>
      <c r="C3" s="360"/>
    </row>
    <row r="4" spans="1:3" x14ac:dyDescent="0.2">
      <c r="A4" s="236"/>
      <c r="B4" s="237" t="str">
        <f>'DOE25'!H1</f>
        <v>DOE 25  2020-2021</v>
      </c>
      <c r="C4" s="236"/>
    </row>
    <row r="5" spans="1:3" x14ac:dyDescent="0.2">
      <c r="A5" s="233"/>
      <c r="B5" s="232"/>
    </row>
    <row r="6" spans="1:3" x14ac:dyDescent="0.2">
      <c r="A6" s="227"/>
      <c r="B6" s="366" t="s">
        <v>779</v>
      </c>
      <c r="C6" s="366"/>
    </row>
    <row r="7" spans="1:3" x14ac:dyDescent="0.2">
      <c r="A7" s="239" t="s">
        <v>782</v>
      </c>
      <c r="B7" s="364" t="s">
        <v>778</v>
      </c>
      <c r="C7" s="365"/>
    </row>
    <row r="8" spans="1:3" x14ac:dyDescent="0.2">
      <c r="B8" s="228" t="s">
        <v>54</v>
      </c>
      <c r="C8" s="228" t="s">
        <v>772</v>
      </c>
    </row>
    <row r="9" spans="1:3" x14ac:dyDescent="0.2">
      <c r="A9" s="33" t="s">
        <v>773</v>
      </c>
      <c r="B9" s="229">
        <f>'DOE25'!F198+'DOE25'!F216+'DOE25'!F234+'DOE25'!F277+'DOE25'!F296+'DOE25'!F315</f>
        <v>2766794.4199999995</v>
      </c>
      <c r="C9" s="229">
        <f>'DOE25'!G198+'DOE25'!G216+'DOE25'!G234+'DOE25'!G277+'DOE25'!G296+'DOE25'!G315</f>
        <v>1211272.5799999998</v>
      </c>
    </row>
    <row r="10" spans="1:3" x14ac:dyDescent="0.2">
      <c r="A10" t="s">
        <v>775</v>
      </c>
      <c r="B10" s="240">
        <v>2574433.15</v>
      </c>
      <c r="C10" s="240">
        <v>1176953.43</v>
      </c>
    </row>
    <row r="11" spans="1:3" x14ac:dyDescent="0.2">
      <c r="A11" t="s">
        <v>776</v>
      </c>
      <c r="B11" s="240">
        <v>62421.35</v>
      </c>
      <c r="C11" s="240">
        <v>23598.45</v>
      </c>
    </row>
    <row r="12" spans="1:3" x14ac:dyDescent="0.2">
      <c r="A12" t="s">
        <v>777</v>
      </c>
      <c r="B12" s="240">
        <v>129939.92</v>
      </c>
      <c r="C12" s="240">
        <v>10720.7</v>
      </c>
    </row>
    <row r="13" spans="1:3" x14ac:dyDescent="0.2">
      <c r="A13" t="str">
        <f>IF(B9=B13,IF(C9=C13,"Check Total OK","Check Total Error"),"Check Total Error")</f>
        <v>Check Total OK</v>
      </c>
      <c r="B13" s="231">
        <f>SUM(B10:B12)</f>
        <v>2766794.42</v>
      </c>
      <c r="C13" s="231">
        <f>SUM(C10:C12)</f>
        <v>1211272.5799999998</v>
      </c>
    </row>
    <row r="14" spans="1:3" x14ac:dyDescent="0.2">
      <c r="B14" s="230"/>
      <c r="C14" s="230"/>
    </row>
    <row r="15" spans="1:3" x14ac:dyDescent="0.2">
      <c r="B15" s="366" t="s">
        <v>779</v>
      </c>
      <c r="C15" s="366"/>
    </row>
    <row r="16" spans="1:3" x14ac:dyDescent="0.2">
      <c r="A16" s="239" t="s">
        <v>783</v>
      </c>
      <c r="B16" s="364" t="s">
        <v>703</v>
      </c>
      <c r="C16" s="365"/>
    </row>
    <row r="17" spans="1:3" x14ac:dyDescent="0.2">
      <c r="B17" s="228" t="s">
        <v>54</v>
      </c>
      <c r="C17" s="228" t="s">
        <v>772</v>
      </c>
    </row>
    <row r="18" spans="1:3" x14ac:dyDescent="0.2">
      <c r="A18" s="33" t="s">
        <v>773</v>
      </c>
      <c r="B18" s="229">
        <f>'DOE25'!F199+'DOE25'!F217+'DOE25'!F235+'DOE25'!F278+'DOE25'!F297+'DOE25'!F316</f>
        <v>774442.14</v>
      </c>
      <c r="C18" s="229">
        <f>'DOE25'!G199+'DOE25'!G217+'DOE25'!G235+'DOE25'!G278+'DOE25'!G297+'DOE25'!G316</f>
        <v>291019.87</v>
      </c>
    </row>
    <row r="19" spans="1:3" x14ac:dyDescent="0.2">
      <c r="A19" t="s">
        <v>775</v>
      </c>
      <c r="B19" s="240">
        <v>388868.87</v>
      </c>
      <c r="C19" s="240">
        <v>189283.99</v>
      </c>
    </row>
    <row r="20" spans="1:3" x14ac:dyDescent="0.2">
      <c r="A20" t="s">
        <v>776</v>
      </c>
      <c r="B20" s="240">
        <v>327070.84000000003</v>
      </c>
      <c r="C20" s="240">
        <v>92815.08</v>
      </c>
    </row>
    <row r="21" spans="1:3" x14ac:dyDescent="0.2">
      <c r="A21" t="s">
        <v>777</v>
      </c>
      <c r="B21" s="240">
        <v>58502.43</v>
      </c>
      <c r="C21" s="240">
        <v>8920.7999999999993</v>
      </c>
    </row>
    <row r="22" spans="1:3" x14ac:dyDescent="0.2">
      <c r="A22" t="str">
        <f>IF(B18=B22,IF(C18=C22,"Check Total OK","Check Total Error"),"Check Total Error")</f>
        <v>Check Total OK</v>
      </c>
      <c r="B22" s="231">
        <f>SUM(B19:B21)</f>
        <v>774442.14</v>
      </c>
      <c r="C22" s="231">
        <f>SUM(C19:C21)</f>
        <v>291019.87</v>
      </c>
    </row>
    <row r="23" spans="1:3" x14ac:dyDescent="0.2">
      <c r="B23" s="230"/>
      <c r="C23" s="230"/>
    </row>
    <row r="24" spans="1:3" x14ac:dyDescent="0.2">
      <c r="B24" s="366" t="s">
        <v>779</v>
      </c>
      <c r="C24" s="366"/>
    </row>
    <row r="25" spans="1:3" x14ac:dyDescent="0.2">
      <c r="A25" s="239" t="s">
        <v>784</v>
      </c>
      <c r="B25" s="364" t="s">
        <v>704</v>
      </c>
      <c r="C25" s="365"/>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v>0</v>
      </c>
      <c r="C28" s="240">
        <v>0</v>
      </c>
    </row>
    <row r="29" spans="1:3" x14ac:dyDescent="0.2">
      <c r="A29" t="s">
        <v>776</v>
      </c>
      <c r="B29" s="240">
        <v>0</v>
      </c>
      <c r="C29" s="240">
        <v>0</v>
      </c>
    </row>
    <row r="30" spans="1:3" x14ac:dyDescent="0.2">
      <c r="A30" t="s">
        <v>777</v>
      </c>
      <c r="B30" s="240">
        <v>0</v>
      </c>
      <c r="C30" s="240">
        <v>0</v>
      </c>
    </row>
    <row r="31" spans="1:3" x14ac:dyDescent="0.2">
      <c r="A31" t="str">
        <f>IF(B27=B31,IF(C27=C31,"Check Total OK","Check Total Error"),"Check Total Error")</f>
        <v>Check Total OK</v>
      </c>
      <c r="B31" s="231">
        <f>SUM(B28:B30)</f>
        <v>0</v>
      </c>
      <c r="C31" s="231">
        <f>SUM(C28:C30)</f>
        <v>0</v>
      </c>
    </row>
    <row r="33" spans="1:3" x14ac:dyDescent="0.2">
      <c r="B33" s="366" t="s">
        <v>779</v>
      </c>
      <c r="C33" s="366"/>
    </row>
    <row r="34" spans="1:3" x14ac:dyDescent="0.2">
      <c r="A34" s="239" t="s">
        <v>785</v>
      </c>
      <c r="B34" s="364" t="s">
        <v>705</v>
      </c>
      <c r="C34" s="365"/>
    </row>
    <row r="35" spans="1:3" x14ac:dyDescent="0.2">
      <c r="B35" s="228" t="s">
        <v>54</v>
      </c>
      <c r="C35" s="228" t="s">
        <v>772</v>
      </c>
    </row>
    <row r="36" spans="1:3" x14ac:dyDescent="0.2">
      <c r="A36" s="33" t="s">
        <v>773</v>
      </c>
      <c r="B36" s="235">
        <f>'DOE25'!F201+'DOE25'!F219+'DOE25'!F237+'DOE25'!F280+'DOE25'!F299+'DOE25'!F318</f>
        <v>78038.649999999994</v>
      </c>
      <c r="C36" s="235">
        <f>'DOE25'!G201+'DOE25'!G219+'DOE25'!G237+'DOE25'!G280+'DOE25'!G299+'DOE25'!G318</f>
        <v>15439.789999999999</v>
      </c>
    </row>
    <row r="37" spans="1:3" x14ac:dyDescent="0.2">
      <c r="A37" t="s">
        <v>775</v>
      </c>
      <c r="B37" s="240">
        <v>0</v>
      </c>
      <c r="C37" s="240">
        <v>0</v>
      </c>
    </row>
    <row r="38" spans="1:3" x14ac:dyDescent="0.2">
      <c r="A38" t="s">
        <v>776</v>
      </c>
      <c r="B38" s="240">
        <v>0</v>
      </c>
      <c r="C38" s="240">
        <v>0</v>
      </c>
    </row>
    <row r="39" spans="1:3" x14ac:dyDescent="0.2">
      <c r="A39" t="s">
        <v>777</v>
      </c>
      <c r="B39" s="240">
        <v>78038.649999999994</v>
      </c>
      <c r="C39" s="240">
        <v>15439.79</v>
      </c>
    </row>
    <row r="40" spans="1:3" x14ac:dyDescent="0.2">
      <c r="A40" t="str">
        <f>IF(B36=B40,IF(C36=C40,"Check Total OK","Check Total Error"),"Check Total Error")</f>
        <v>Check Total OK</v>
      </c>
      <c r="B40" s="231">
        <f>SUM(B37:B39)</f>
        <v>78038.649999999994</v>
      </c>
      <c r="C40" s="231">
        <f>SUM(C37:C39)</f>
        <v>15439.79</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20" activePane="bottomLeft" state="frozen"/>
      <selection activeCell="F46" sqref="F46"/>
      <selection pane="bottomLeft" activeCell="F43" sqref="F4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6" t="s">
        <v>892</v>
      </c>
      <c r="B1" s="369"/>
      <c r="C1" s="369"/>
      <c r="D1" s="369"/>
      <c r="E1" s="369"/>
      <c r="F1" s="369"/>
      <c r="G1" s="369"/>
      <c r="H1" s="369"/>
      <c r="I1" s="181"/>
    </row>
    <row r="2" spans="1:9" x14ac:dyDescent="0.2">
      <c r="A2" s="33" t="s">
        <v>713</v>
      </c>
      <c r="B2" s="258" t="str">
        <f>'DOE25'!A2</f>
        <v>Wilton-Lyndeborough Cooperative School District</v>
      </c>
      <c r="C2" s="275"/>
      <c r="D2" s="181" t="s">
        <v>787</v>
      </c>
      <c r="E2" s="181" t="s">
        <v>789</v>
      </c>
      <c r="F2" s="367" t="s">
        <v>891</v>
      </c>
      <c r="G2" s="368"/>
      <c r="H2" s="368"/>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5547829.04</v>
      </c>
      <c r="D5" s="20">
        <f>SUM('DOE25'!L198:L201)+SUM('DOE25'!L216:L219)+SUM('DOE25'!L234:L237)-F5-G5-H5</f>
        <v>5523240.4900000002</v>
      </c>
      <c r="E5" s="243"/>
      <c r="F5" s="244"/>
      <c r="G5" s="53">
        <f>SUM('DOE25'!J198:J201)+SUM('DOE25'!J216:J219)+SUM('DOE25'!J234:J237)</f>
        <v>15045.06</v>
      </c>
      <c r="H5" s="53">
        <f>SUM('DOE25'!K198:K201)+SUM('DOE25'!K216:K219)+SUM('DOE25'!K234:K237)</f>
        <v>9543.4900000000016</v>
      </c>
      <c r="I5" s="254"/>
    </row>
    <row r="6" spans="1:9" x14ac:dyDescent="0.2">
      <c r="A6" s="32">
        <v>2100</v>
      </c>
      <c r="B6" t="s">
        <v>796</v>
      </c>
      <c r="C6" s="273">
        <f t="shared" si="0"/>
        <v>1801804.21</v>
      </c>
      <c r="D6" s="20">
        <f>'DOE25'!L203+'DOE25'!L221+'DOE25'!L239-F6-G6-H6</f>
        <v>1801804.21</v>
      </c>
      <c r="E6" s="243"/>
      <c r="F6" s="244"/>
      <c r="G6" s="53">
        <f>'DOE25'!J203+'DOE25'!J221+'DOE25'!J239</f>
        <v>0</v>
      </c>
      <c r="H6" s="53">
        <f>'DOE25'!K203+'DOE25'!K221+'DOE25'!K239</f>
        <v>0</v>
      </c>
      <c r="I6" s="254"/>
    </row>
    <row r="7" spans="1:9" x14ac:dyDescent="0.2">
      <c r="A7" s="32">
        <v>2200</v>
      </c>
      <c r="B7" t="s">
        <v>821</v>
      </c>
      <c r="C7" s="273">
        <f t="shared" si="0"/>
        <v>183064.21000000002</v>
      </c>
      <c r="D7" s="20">
        <f>'DOE25'!L204+'DOE25'!L222+'DOE25'!L240-F7-G7-H7</f>
        <v>181077.23</v>
      </c>
      <c r="E7" s="243"/>
      <c r="F7" s="244"/>
      <c r="G7" s="53">
        <f>'DOE25'!J204+'DOE25'!J222+'DOE25'!J240</f>
        <v>1986.98</v>
      </c>
      <c r="H7" s="53">
        <f>'DOE25'!K204+'DOE25'!K222+'DOE25'!K240</f>
        <v>0</v>
      </c>
      <c r="I7" s="254"/>
    </row>
    <row r="8" spans="1:9" x14ac:dyDescent="0.2">
      <c r="A8" s="32">
        <v>2300</v>
      </c>
      <c r="B8" t="s">
        <v>797</v>
      </c>
      <c r="C8" s="273">
        <f t="shared" si="0"/>
        <v>502526.42</v>
      </c>
      <c r="D8" s="243"/>
      <c r="E8" s="20">
        <f>'DOE25'!L205+'DOE25'!L223+'DOE25'!L241-F8-G8-H8-D9-D11</f>
        <v>497394.89999999997</v>
      </c>
      <c r="F8" s="244"/>
      <c r="G8" s="53">
        <f>'DOE25'!J205+'DOE25'!J223+'DOE25'!J241</f>
        <v>0</v>
      </c>
      <c r="H8" s="53">
        <f>'DOE25'!K205+'DOE25'!K223+'DOE25'!K241</f>
        <v>5131.5200000000004</v>
      </c>
      <c r="I8" s="254"/>
    </row>
    <row r="9" spans="1:9" ht="14.25" x14ac:dyDescent="0.2">
      <c r="A9" s="32">
        <v>2310</v>
      </c>
      <c r="B9" s="185" t="s">
        <v>888</v>
      </c>
      <c r="C9" s="273">
        <f t="shared" si="0"/>
        <v>0</v>
      </c>
      <c r="D9" s="244"/>
      <c r="E9" s="243"/>
      <c r="F9" s="251"/>
      <c r="G9" s="251"/>
      <c r="H9" s="251"/>
      <c r="I9" s="254"/>
    </row>
    <row r="10" spans="1:9" ht="14.25" x14ac:dyDescent="0.2">
      <c r="A10" s="32">
        <v>2317</v>
      </c>
      <c r="B10" s="185" t="s">
        <v>889</v>
      </c>
      <c r="C10" s="273">
        <f t="shared" si="0"/>
        <v>0</v>
      </c>
      <c r="D10" s="243"/>
      <c r="E10" s="244"/>
      <c r="F10" s="251"/>
      <c r="G10" s="251"/>
      <c r="H10" s="251"/>
      <c r="I10" s="254"/>
    </row>
    <row r="11" spans="1:9" ht="14.25" x14ac:dyDescent="0.2">
      <c r="A11" s="32">
        <v>2321</v>
      </c>
      <c r="B11" s="185" t="s">
        <v>890</v>
      </c>
      <c r="C11" s="273">
        <f t="shared" si="0"/>
        <v>0</v>
      </c>
      <c r="D11" s="244"/>
      <c r="E11" s="243"/>
      <c r="F11" s="251"/>
      <c r="G11" s="251"/>
      <c r="H11" s="251"/>
      <c r="I11" s="254"/>
    </row>
    <row r="12" spans="1:9" x14ac:dyDescent="0.2">
      <c r="A12" s="32">
        <v>2400</v>
      </c>
      <c r="B12" t="s">
        <v>711</v>
      </c>
      <c r="C12" s="273">
        <f t="shared" si="0"/>
        <v>623960.05000000005</v>
      </c>
      <c r="D12" s="20">
        <f>'DOE25'!L206+'DOE25'!L224+'DOE25'!L242-F12-G12-H12</f>
        <v>612922.22000000009</v>
      </c>
      <c r="E12" s="243"/>
      <c r="F12" s="244"/>
      <c r="G12" s="53">
        <f>'DOE25'!J206+'DOE25'!J224+'DOE25'!J242</f>
        <v>0</v>
      </c>
      <c r="H12" s="53">
        <f>'DOE25'!K206+'DOE25'!K224+'DOE25'!K242</f>
        <v>11037.830000000002</v>
      </c>
      <c r="I12" s="254"/>
    </row>
    <row r="13" spans="1:9" x14ac:dyDescent="0.2">
      <c r="A13" s="32">
        <v>2500</v>
      </c>
      <c r="B13" t="s">
        <v>798</v>
      </c>
      <c r="C13" s="273">
        <f t="shared" si="0"/>
        <v>305635.60000000009</v>
      </c>
      <c r="D13" s="243"/>
      <c r="E13" s="20">
        <f>'DOE25'!L207+'DOE25'!L225+'DOE25'!L243-F13-G13-H13</f>
        <v>288790.3600000001</v>
      </c>
      <c r="F13" s="244"/>
      <c r="G13" s="53">
        <f>'DOE25'!J207+'DOE25'!J225+'DOE25'!J243</f>
        <v>814.24</v>
      </c>
      <c r="H13" s="53">
        <f>'DOE25'!K207+'DOE25'!K225+'DOE25'!K243</f>
        <v>16031</v>
      </c>
      <c r="I13" s="254"/>
    </row>
    <row r="14" spans="1:9" x14ac:dyDescent="0.2">
      <c r="A14" s="32">
        <v>2600</v>
      </c>
      <c r="B14" t="s">
        <v>819</v>
      </c>
      <c r="C14" s="273">
        <f t="shared" si="0"/>
        <v>832970.38900000008</v>
      </c>
      <c r="D14" s="20">
        <f>'DOE25'!L208+'DOE25'!L226+'DOE25'!L244-F14-G14-H14</f>
        <v>821252.56000000017</v>
      </c>
      <c r="E14" s="243"/>
      <c r="F14" s="244"/>
      <c r="G14" s="53">
        <f>'DOE25'!J208+'DOE25'!J226+'DOE25'!J244</f>
        <v>6410.2</v>
      </c>
      <c r="H14" s="53">
        <f>'DOE25'!K208+'DOE25'!K226+'DOE25'!K244</f>
        <v>5307.6289999999999</v>
      </c>
      <c r="I14" s="254"/>
    </row>
    <row r="15" spans="1:9" x14ac:dyDescent="0.2">
      <c r="A15" s="32">
        <v>2700</v>
      </c>
      <c r="B15" t="s">
        <v>799</v>
      </c>
      <c r="C15" s="273">
        <f t="shared" si="0"/>
        <v>410052.06</v>
      </c>
      <c r="D15" s="20">
        <f>'DOE25'!L209+'DOE25'!L227+'DOE25'!L245-F15-G15-H15</f>
        <v>410052.06</v>
      </c>
      <c r="E15" s="243"/>
      <c r="F15" s="244"/>
      <c r="G15" s="53">
        <f>'DOE25'!J209+'DOE25'!J227+'DOE25'!J245</f>
        <v>0</v>
      </c>
      <c r="H15" s="53">
        <f>'DOE25'!K209+'DOE25'!K227+'DOE25'!K245</f>
        <v>0</v>
      </c>
      <c r="I15" s="254"/>
    </row>
    <row r="16" spans="1:9" x14ac:dyDescent="0.2">
      <c r="A16" s="32">
        <v>2800</v>
      </c>
      <c r="B16" t="s">
        <v>800</v>
      </c>
      <c r="C16" s="273">
        <f t="shared" si="0"/>
        <v>403923.95</v>
      </c>
      <c r="D16" s="243"/>
      <c r="E16" s="20">
        <f>'DOE25'!L210+'DOE25'!L228+'DOE25'!L246-F16-G16-H16</f>
        <v>403583.95</v>
      </c>
      <c r="F16" s="244"/>
      <c r="G16" s="53">
        <f>'DOE25'!J210+'DOE25'!J228+'DOE25'!J246</f>
        <v>0</v>
      </c>
      <c r="H16" s="53">
        <f>'DOE25'!K210+'DOE25'!K228+'DOE25'!K246</f>
        <v>340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603267.5</v>
      </c>
      <c r="D25" s="243"/>
      <c r="E25" s="243"/>
      <c r="F25" s="253"/>
      <c r="G25" s="251"/>
      <c r="H25" s="251"/>
      <c r="I25" s="252">
        <f>'DOE25'!L261+'DOE25'!L262+'DOE25'!L342+'DOE25'!L343</f>
        <v>603267.5</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119617.73</v>
      </c>
      <c r="D29" s="281">
        <f>'DOE25'!L359+'DOE25'!L360+'DOE25'!L361-'DOE25'!I368-F29-G29-H29</f>
        <v>111537.98999999999</v>
      </c>
      <c r="E29" s="243"/>
      <c r="F29" s="244"/>
      <c r="G29" s="53">
        <f>'DOE25'!J359+'DOE25'!J360+'DOE25'!J361</f>
        <v>7239.74</v>
      </c>
      <c r="H29" s="53">
        <f>'DOE25'!K359+'DOE25'!K360+'DOE25'!K361</f>
        <v>840</v>
      </c>
      <c r="I29" s="254"/>
    </row>
    <row r="30" spans="1:9" x14ac:dyDescent="0.2">
      <c r="A30" s="32"/>
      <c r="C30" s="274"/>
      <c r="D30" s="20"/>
      <c r="E30" s="278"/>
      <c r="F30" s="268"/>
      <c r="G30" s="53"/>
      <c r="H30" s="53"/>
      <c r="I30" s="254"/>
    </row>
    <row r="31" spans="1:9" x14ac:dyDescent="0.2">
      <c r="A31" s="32" t="s">
        <v>818</v>
      </c>
      <c r="B31" t="s">
        <v>817</v>
      </c>
      <c r="C31" s="273">
        <f>SUM(D31:I31)</f>
        <v>554250.21</v>
      </c>
      <c r="D31" s="20">
        <f>'DOE25'!L291+'DOE25'!L310+'DOE25'!L329+'DOE25'!L334+'DOE25'!L335+'DOE25'!L336-F31-G31-H31</f>
        <v>344753.45999999996</v>
      </c>
      <c r="E31" s="243"/>
      <c r="F31" s="244"/>
      <c r="G31" s="53">
        <f>'DOE25'!J291+'DOE25'!J310+'DOE25'!J329+'DOE25'!J334+'DOE25'!J335+'DOE25'!J336</f>
        <v>209496.75</v>
      </c>
      <c r="H31" s="53">
        <f>'DOE25'!K291+'DOE25'!K310+'DOE25'!K329+'DOE25'!K334+'DOE25'!K335+'DOE25'!K336</f>
        <v>0</v>
      </c>
      <c r="I31" s="254"/>
    </row>
    <row r="32" spans="1:9" ht="12" thickBot="1" x14ac:dyDescent="0.25">
      <c r="C32" s="274"/>
      <c r="G32" s="249"/>
      <c r="H32" s="249"/>
      <c r="I32" s="256"/>
    </row>
    <row r="33" spans="1:9" ht="12" thickTop="1" x14ac:dyDescent="0.2">
      <c r="B33" t="s">
        <v>809</v>
      </c>
      <c r="D33" s="245">
        <f t="shared" ref="D33:I33" si="1">SUM(D5:D31)</f>
        <v>9806640.2200000025</v>
      </c>
      <c r="E33" s="245">
        <f t="shared" si="1"/>
        <v>1189769.21</v>
      </c>
      <c r="F33" s="245">
        <f t="shared" si="1"/>
        <v>0</v>
      </c>
      <c r="G33" s="245">
        <f t="shared" si="1"/>
        <v>240992.97</v>
      </c>
      <c r="H33" s="245">
        <f t="shared" si="1"/>
        <v>48231.469000000005</v>
      </c>
      <c r="I33" s="245">
        <f t="shared" si="1"/>
        <v>603267.5</v>
      </c>
    </row>
    <row r="35" spans="1:9" ht="12" thickBot="1" x14ac:dyDescent="0.25">
      <c r="B35" s="249" t="s">
        <v>831</v>
      </c>
      <c r="D35" s="250">
        <f>E33</f>
        <v>1189769.21</v>
      </c>
      <c r="E35" s="246"/>
      <c r="F35" s="333" t="s">
        <v>1632</v>
      </c>
      <c r="G35" s="334"/>
      <c r="H35" s="334"/>
      <c r="I35" s="334"/>
    </row>
    <row r="36" spans="1:9" ht="12" thickTop="1" x14ac:dyDescent="0.2">
      <c r="B36" t="s">
        <v>810</v>
      </c>
      <c r="D36" s="20">
        <f>D33</f>
        <v>9806640.2200000025</v>
      </c>
      <c r="F36" s="336" t="s">
        <v>1622</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N</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7" customHeight="1" x14ac:dyDescent="0.2">
      <c r="A53" s="279"/>
      <c r="B53" s="370" t="s">
        <v>900</v>
      </c>
      <c r="C53" s="370"/>
      <c r="D53" s="370"/>
      <c r="E53" s="370"/>
      <c r="F53" s="370"/>
      <c r="G53" s="370"/>
      <c r="H53" s="370"/>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6" zoomScaleNormal="100" workbookViewId="0">
      <selection activeCell="C48" sqref="C4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Wilton-Lyndeborough Cooperative School District</v>
      </c>
      <c r="B2" s="126">
        <f>'DOE25'!B2</f>
        <v>572</v>
      </c>
      <c r="C2" s="126"/>
      <c r="D2" s="126"/>
      <c r="E2" s="126"/>
      <c r="F2" s="126"/>
      <c r="G2" s="126"/>
      <c r="H2" s="126"/>
    </row>
    <row r="3" spans="1:18" ht="36.950000000000003"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5245622.84</v>
      </c>
      <c r="G4" s="300">
        <f>'DOE25'!L212+'DOE25'!L291</f>
        <v>5245622.8400000008</v>
      </c>
      <c r="H4" s="353">
        <f>F4-G4</f>
        <v>0</v>
      </c>
      <c r="I4" s="371" t="str">
        <f>IF(H4=0,"","ISSUES!! Please review page 7 and 11 totals in comparison with total on this page")</f>
        <v/>
      </c>
      <c r="N4"/>
    </row>
    <row r="5" spans="1:18" x14ac:dyDescent="0.2">
      <c r="A5" s="21" t="s">
        <v>1477</v>
      </c>
      <c r="B5" s="301">
        <f>IFERROR(VLOOKUP(A5,'School Tables'!$C$3:$D$365,2,FALSE),"")</f>
        <v>23060</v>
      </c>
      <c r="C5" s="294" t="str">
        <f>IFERROR(INDEX('School Tables'!$B$3:$B$365,MATCH('School Level Expenditures'!B5,'School Tables'!$D$3:$D$365,0)),"")</f>
        <v>Wilton-Lyndeborough Cooperative</v>
      </c>
      <c r="D5" s="291">
        <v>3777666</v>
      </c>
      <c r="E5" s="291">
        <v>224897.1</v>
      </c>
      <c r="F5" s="304">
        <f>D5+E5</f>
        <v>4002563.1</v>
      </c>
      <c r="G5" s="294"/>
      <c r="H5" s="294"/>
      <c r="I5" s="372"/>
      <c r="N5"/>
    </row>
    <row r="6" spans="1:18" x14ac:dyDescent="0.2">
      <c r="A6" s="21" t="s">
        <v>1476</v>
      </c>
      <c r="B6" s="301">
        <f>IFERROR(VLOOKUP(A6,'School Tables'!$C$3:$D$365,2,FALSE),"")</f>
        <v>23035</v>
      </c>
      <c r="C6" s="294" t="str">
        <f>IFERROR(INDEX('School Tables'!$B$3:$B$365,MATCH('School Level Expenditures'!B6,'School Tables'!$D$3:$D$365,0)),"")</f>
        <v>Wilton-Lyndeborough Cooperative</v>
      </c>
      <c r="D6" s="291">
        <v>1186835.47</v>
      </c>
      <c r="E6" s="291">
        <v>56224.27</v>
      </c>
      <c r="F6" s="304">
        <f t="shared" ref="F6:F20" si="0">D6+E6</f>
        <v>1243059.74</v>
      </c>
      <c r="G6" s="294"/>
      <c r="H6" s="294"/>
      <c r="I6" s="372"/>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4964501.47</v>
      </c>
      <c r="E21" s="351">
        <f>SUM(E5:E20)</f>
        <v>281121.37</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2688117.1500000004</v>
      </c>
      <c r="G24" s="300">
        <f>'DOE25'!L230+'DOE25'!L310</f>
        <v>2688117.1500000004</v>
      </c>
      <c r="H24" s="353">
        <f>F24-G24</f>
        <v>0</v>
      </c>
      <c r="I24" s="371" t="str">
        <f>IF(H24=0,"","ISSUES!! Please review page 8 and 12 totals in comparison with total on this page")</f>
        <v/>
      </c>
      <c r="N24"/>
    </row>
    <row r="25" spans="1:14" x14ac:dyDescent="0.2">
      <c r="A25" s="21" t="s">
        <v>1479</v>
      </c>
      <c r="B25" s="301">
        <f>IFERROR(VLOOKUP(A25,'School Tables'!$I$3:$J$80,2,FALSE),"")</f>
        <v>26955</v>
      </c>
      <c r="C25" s="294" t="str">
        <f t="array" ref="C25">IFERROR(INDEX('School Tables'!$H$3:$H$80,MATCH('School Level Expenditures'!B25,'School Tables'!$J$3:$J$80,0)),"")</f>
        <v>Wilton-Lyndeborough Cooperative</v>
      </c>
      <c r="D25" s="291">
        <v>2593738.7000000002</v>
      </c>
      <c r="E25" s="291">
        <v>94378.45</v>
      </c>
      <c r="F25" s="304">
        <f>D25+E25</f>
        <v>2688117.1500000004</v>
      </c>
      <c r="G25" s="294"/>
      <c r="H25" s="294"/>
      <c r="I25" s="372"/>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2"/>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2593738.7000000002</v>
      </c>
      <c r="E33" s="351">
        <f>SUM(E25:E32)</f>
        <v>94378.45</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3232276.15</v>
      </c>
      <c r="G36" s="300">
        <f>'DOE25'!L248+'DOE25'!L329</f>
        <v>3232276.1489999997</v>
      </c>
      <c r="H36" s="353">
        <f>F36-G36</f>
        <v>1.0000001639127731E-3</v>
      </c>
      <c r="I36" s="371" t="str">
        <f>IF(H36=0,"","ISSUES!! Please review page 9 and 13 totals in comparison with total on this page")</f>
        <v>ISSUES!! Please review page 9 and 13 totals in comparison with total on this page</v>
      </c>
      <c r="N36"/>
    </row>
    <row r="37" spans="1:14" x14ac:dyDescent="0.2">
      <c r="A37" s="21" t="s">
        <v>1478</v>
      </c>
      <c r="B37" s="301">
        <f>IFERROR(VLOOKUP(A37,'School Tables'!$O$3:$P$118,2,FALSE),"")</f>
        <v>23070</v>
      </c>
      <c r="C37" s="294" t="str">
        <f t="array" ref="C37">IFERROR(INDEX('School Tables'!$N$3:$N$118,MATCH('School Level Expenditures'!B37,'School Tables'!$P$3:$P$118,0)),"")</f>
        <v>Wilton-Lyndeborough Cooperative</v>
      </c>
      <c r="D37" s="291">
        <v>3053525.76</v>
      </c>
      <c r="E37" s="291">
        <v>178750.39</v>
      </c>
      <c r="F37" s="304">
        <f t="shared" ref="F37:F42" si="2">D37+E37</f>
        <v>3232276.15</v>
      </c>
      <c r="G37" s="294"/>
      <c r="H37" s="294"/>
      <c r="I37" s="372"/>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2"/>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3053525.76</v>
      </c>
      <c r="E43" s="352">
        <f>SUM(E37:E42)</f>
        <v>178750.39</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0"/>
      <c r="B58" s="370"/>
      <c r="C58" s="370"/>
      <c r="D58" s="370"/>
      <c r="E58" s="370"/>
      <c r="F58" s="370"/>
      <c r="G58" s="370"/>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Wilton-Lyndeborough Cooperative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803710.62</v>
      </c>
      <c r="D8" s="95">
        <f>'DOE25'!G9</f>
        <v>0</v>
      </c>
      <c r="E8" s="95">
        <f>'DOE25'!H9</f>
        <v>0</v>
      </c>
      <c r="F8" s="95">
        <f>'DOE25'!I9</f>
        <v>0</v>
      </c>
      <c r="G8" s="95">
        <f>'DOE25'!J9</f>
        <v>344576.21</v>
      </c>
      <c r="H8" s="124"/>
      <c r="I8" s="124"/>
    </row>
    <row r="9" spans="1:9" x14ac:dyDescent="0.2">
      <c r="A9" s="1" t="s">
        <v>140</v>
      </c>
      <c r="B9" s="6">
        <v>110</v>
      </c>
      <c r="C9" s="95">
        <f>'DOE25'!F10</f>
        <v>0</v>
      </c>
      <c r="D9" s="95">
        <f>'DOE25'!G10</f>
        <v>62666.97</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420535.92</v>
      </c>
      <c r="D11" s="95">
        <f>'DOE25'!G12</f>
        <v>0</v>
      </c>
      <c r="E11" s="95">
        <f>'DOE25'!H12</f>
        <v>0</v>
      </c>
      <c r="F11" s="95">
        <f>'DOE25'!I12</f>
        <v>0</v>
      </c>
      <c r="G11" s="95">
        <f>'DOE25'!J12</f>
        <v>0</v>
      </c>
      <c r="H11" s="124"/>
      <c r="I11" s="124"/>
    </row>
    <row r="12" spans="1:9" x14ac:dyDescent="0.2">
      <c r="A12" s="1" t="s">
        <v>143</v>
      </c>
      <c r="B12" s="6">
        <v>140</v>
      </c>
      <c r="C12" s="95">
        <f>'DOE25'!F13</f>
        <v>32</v>
      </c>
      <c r="D12" s="95">
        <f>'DOE25'!G13</f>
        <v>1037</v>
      </c>
      <c r="E12" s="95">
        <f>'DOE25'!H13</f>
        <v>6310.81</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1838.05</v>
      </c>
      <c r="E15" s="95">
        <f>'DOE25'!H16</f>
        <v>0</v>
      </c>
      <c r="F15" s="95">
        <f>'DOE25'!I16</f>
        <v>0</v>
      </c>
      <c r="G15" s="24" t="s">
        <v>288</v>
      </c>
      <c r="H15" s="124"/>
      <c r="I15" s="124"/>
    </row>
    <row r="16" spans="1:9" x14ac:dyDescent="0.2">
      <c r="A16" s="1" t="s">
        <v>147</v>
      </c>
      <c r="B16" s="6">
        <v>180</v>
      </c>
      <c r="C16" s="95">
        <f>'DOE25'!F17</f>
        <v>95417.14</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1319695.68</v>
      </c>
      <c r="D18" s="41">
        <f>SUM(D8:D17)</f>
        <v>65542.02</v>
      </c>
      <c r="E18" s="41">
        <f>SUM(E8:E17)</f>
        <v>6310.81</v>
      </c>
      <c r="F18" s="41">
        <f>SUM(F8:F17)</f>
        <v>0</v>
      </c>
      <c r="G18" s="41">
        <f>SUM(G8:G17)</f>
        <v>344576.21</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59948.09</v>
      </c>
      <c r="E21" s="95">
        <f>'DOE25'!H22</f>
        <v>305860.3</v>
      </c>
      <c r="F21" s="95">
        <f>'DOE25'!I22</f>
        <v>0</v>
      </c>
      <c r="G21" s="95">
        <f>'DOE25'!J22</f>
        <v>0</v>
      </c>
      <c r="H21" s="124"/>
      <c r="I21" s="124"/>
    </row>
    <row r="22" spans="1:9" x14ac:dyDescent="0.2">
      <c r="A22" s="1" t="s">
        <v>151</v>
      </c>
      <c r="B22" s="6">
        <v>410</v>
      </c>
      <c r="C22" s="95">
        <f>'DOE25'!F23</f>
        <v>0</v>
      </c>
      <c r="D22" s="95">
        <f>'DOE25'!G23</f>
        <v>10432.18</v>
      </c>
      <c r="E22" s="95">
        <f>'DOE25'!H23</f>
        <v>0</v>
      </c>
      <c r="F22" s="95">
        <f>'DOE25'!I23</f>
        <v>0</v>
      </c>
      <c r="G22" s="95">
        <f>'DOE25'!J23</f>
        <v>0</v>
      </c>
      <c r="H22" s="124"/>
      <c r="I22" s="124"/>
    </row>
    <row r="23" spans="1:9" x14ac:dyDescent="0.2">
      <c r="A23" s="1" t="s">
        <v>152</v>
      </c>
      <c r="B23" s="6">
        <v>420</v>
      </c>
      <c r="C23" s="95">
        <f>'DOE25'!F24</f>
        <v>0</v>
      </c>
      <c r="D23" s="95">
        <f>'DOE25'!G24</f>
        <v>0</v>
      </c>
      <c r="E23" s="95">
        <f>'DOE25'!H24</f>
        <v>18853.2</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86504.42</v>
      </c>
      <c r="D27" s="95">
        <f>'DOE25'!G28</f>
        <v>0</v>
      </c>
      <c r="E27" s="95">
        <f>'DOE25'!H28</f>
        <v>0</v>
      </c>
      <c r="F27" s="95">
        <f>'DOE25'!I28</f>
        <v>0</v>
      </c>
      <c r="G27" s="24" t="s">
        <v>288</v>
      </c>
      <c r="H27" s="124"/>
      <c r="I27" s="124"/>
    </row>
    <row r="28" spans="1:9" x14ac:dyDescent="0.2">
      <c r="A28" s="1" t="s">
        <v>157</v>
      </c>
      <c r="B28" s="6">
        <v>470</v>
      </c>
      <c r="C28" s="95">
        <f>'DOE25'!F29</f>
        <v>-51756.66</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-1690</v>
      </c>
      <c r="F30" s="95">
        <f>'DOE25'!I31</f>
        <v>0</v>
      </c>
      <c r="G30" s="95">
        <f>'DOE25'!J31</f>
        <v>0</v>
      </c>
      <c r="H30" s="124"/>
      <c r="I30" s="124"/>
    </row>
    <row r="31" spans="1:9" ht="12" thickTop="1" x14ac:dyDescent="0.2">
      <c r="A31" s="38" t="s">
        <v>160</v>
      </c>
      <c r="B31" s="2"/>
      <c r="C31" s="41">
        <f>SUM(C21:C30)</f>
        <v>34747.759999999995</v>
      </c>
      <c r="D31" s="41">
        <f>SUM(D21:D30)</f>
        <v>70380.26999999999</v>
      </c>
      <c r="E31" s="41">
        <f>SUM(E21:E30)</f>
        <v>323023.5</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344576.21</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-4838.25</v>
      </c>
      <c r="E43" s="95">
        <f>'DOE25'!H44</f>
        <v>-316712.69</v>
      </c>
      <c r="F43" s="95">
        <f>'DOE25'!I44</f>
        <v>0</v>
      </c>
      <c r="G43" s="24" t="s">
        <v>288</v>
      </c>
      <c r="H43" s="124"/>
      <c r="I43" s="124"/>
    </row>
    <row r="44" spans="1:9" x14ac:dyDescent="0.2">
      <c r="A44" s="1" t="s">
        <v>864</v>
      </c>
      <c r="B44" s="6">
        <v>753</v>
      </c>
      <c r="C44" s="95">
        <f>'DOE25'!F45</f>
        <v>128201.44</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1156746.48</v>
      </c>
      <c r="D49" s="24" t="s">
        <v>288</v>
      </c>
      <c r="E49" s="24" t="s">
        <v>288</v>
      </c>
      <c r="F49" s="24" t="s">
        <v>288</v>
      </c>
      <c r="G49" s="24" t="s">
        <v>288</v>
      </c>
      <c r="H49" s="124"/>
      <c r="I49" s="124"/>
    </row>
    <row r="50" spans="1:9" ht="12.75" thickTop="1" thickBot="1" x14ac:dyDescent="0.25">
      <c r="A50" s="38" t="s">
        <v>884</v>
      </c>
      <c r="B50" s="48"/>
      <c r="C50" s="41">
        <f>SUM(C34:C49)</f>
        <v>1284947.92</v>
      </c>
      <c r="D50" s="41">
        <f>SUM(D34:D49)</f>
        <v>-4838.25</v>
      </c>
      <c r="E50" s="41">
        <f>SUM(E34:E49)</f>
        <v>-316712.69</v>
      </c>
      <c r="F50" s="41">
        <f>SUM(F34:F49)</f>
        <v>0</v>
      </c>
      <c r="G50" s="41">
        <f>SUM(G34:G49)</f>
        <v>344576.21</v>
      </c>
      <c r="H50" s="124"/>
      <c r="I50" s="124"/>
    </row>
    <row r="51" spans="1:9" ht="12" thickTop="1" x14ac:dyDescent="0.2">
      <c r="A51" s="38" t="s">
        <v>885</v>
      </c>
      <c r="B51" s="2"/>
      <c r="C51" s="41">
        <f>C50+C31</f>
        <v>1319695.68</v>
      </c>
      <c r="D51" s="41">
        <f>D50+D31</f>
        <v>65542.01999999999</v>
      </c>
      <c r="E51" s="41">
        <f>E50+E31</f>
        <v>6310.8099999999977</v>
      </c>
      <c r="F51" s="41">
        <f>F50+F31</f>
        <v>0</v>
      </c>
      <c r="G51" s="41">
        <f>G50+G31</f>
        <v>344576.21</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9006562.0199999996</v>
      </c>
      <c r="D56" s="95">
        <f>'DOE25'!G60</f>
        <v>0</v>
      </c>
      <c r="E56" s="95">
        <f>'DOE25'!H60</f>
        <v>0</v>
      </c>
      <c r="F56" s="95">
        <f>'DOE25'!I60</f>
        <v>0</v>
      </c>
      <c r="G56" s="95">
        <f>'DOE25'!J60</f>
        <v>0</v>
      </c>
      <c r="H56"/>
      <c r="I56"/>
    </row>
    <row r="57" spans="1:9" x14ac:dyDescent="0.2">
      <c r="A57" s="1" t="s">
        <v>164</v>
      </c>
      <c r="B57" s="6" t="s">
        <v>165</v>
      </c>
      <c r="C57" s="95">
        <f>'DOE25'!F79</f>
        <v>51906.33</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1995.65</v>
      </c>
      <c r="D59" s="95">
        <f>'DOE25'!G96</f>
        <v>0</v>
      </c>
      <c r="E59" s="95">
        <f>'DOE25'!H96</f>
        <v>0</v>
      </c>
      <c r="F59" s="95">
        <f>'DOE25'!I96</f>
        <v>0</v>
      </c>
      <c r="G59" s="95">
        <f>'DOE25'!J96</f>
        <v>1182.19</v>
      </c>
      <c r="H59"/>
      <c r="I59"/>
    </row>
    <row r="60" spans="1:9" x14ac:dyDescent="0.2">
      <c r="A60" s="1" t="s">
        <v>170</v>
      </c>
      <c r="B60" s="118" t="s">
        <v>171</v>
      </c>
      <c r="C60" s="24" t="s">
        <v>288</v>
      </c>
      <c r="D60" s="95">
        <f>'DOE25'!G97</f>
        <v>5652.7</v>
      </c>
      <c r="E60" s="24" t="s">
        <v>288</v>
      </c>
      <c r="F60" s="24" t="s">
        <v>288</v>
      </c>
      <c r="G60" s="24" t="s">
        <v>288</v>
      </c>
      <c r="H60"/>
      <c r="I60"/>
    </row>
    <row r="61" spans="1:9" ht="12" thickBot="1" x14ac:dyDescent="0.25">
      <c r="A61" s="1" t="s">
        <v>172</v>
      </c>
      <c r="B61" s="118" t="s">
        <v>173</v>
      </c>
      <c r="C61" s="95">
        <f>SUM('DOE25'!F98:F110)</f>
        <v>18059.66</v>
      </c>
      <c r="D61" s="95">
        <f>SUM('DOE25'!G98:G110)</f>
        <v>7538.55</v>
      </c>
      <c r="E61" s="95">
        <f>SUM('DOE25'!H98:H110)</f>
        <v>320</v>
      </c>
      <c r="F61" s="95">
        <f>SUM('DOE25'!I98:I110)</f>
        <v>0</v>
      </c>
      <c r="G61" s="95">
        <f>SUM('DOE25'!J98:J110)</f>
        <v>0</v>
      </c>
      <c r="H61"/>
      <c r="I61"/>
    </row>
    <row r="62" spans="1:9" ht="12.75" thickTop="1" thickBot="1" x14ac:dyDescent="0.25">
      <c r="A62" s="29" t="s">
        <v>174</v>
      </c>
      <c r="B62" s="6"/>
      <c r="C62" s="130">
        <f>SUM(C57:C61)</f>
        <v>71961.64</v>
      </c>
      <c r="D62" s="130">
        <f>SUM(D57:D61)</f>
        <v>13191.25</v>
      </c>
      <c r="E62" s="130">
        <f>SUM(E57:E61)</f>
        <v>320</v>
      </c>
      <c r="F62" s="130">
        <f>SUM(F57:F61)</f>
        <v>0</v>
      </c>
      <c r="G62" s="130">
        <f>SUM(G57:G61)</f>
        <v>1182.19</v>
      </c>
      <c r="H62"/>
      <c r="I62"/>
    </row>
    <row r="63" spans="1:9" ht="12" thickTop="1" x14ac:dyDescent="0.2">
      <c r="A63" s="29" t="s">
        <v>175</v>
      </c>
      <c r="B63" s="6"/>
      <c r="C63" s="22">
        <f>C56+C62</f>
        <v>9078523.6600000001</v>
      </c>
      <c r="D63" s="22">
        <f>D56+D62</f>
        <v>13191.25</v>
      </c>
      <c r="E63" s="22">
        <f>E56+E62</f>
        <v>320</v>
      </c>
      <c r="F63" s="22">
        <f>F56+F62</f>
        <v>0</v>
      </c>
      <c r="G63" s="22">
        <f>G56+G62</f>
        <v>1182.19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1577921.05</v>
      </c>
      <c r="D66" s="24" t="s">
        <v>288</v>
      </c>
      <c r="E66" s="24" t="s">
        <v>288</v>
      </c>
      <c r="F66" s="24" t="s">
        <v>288</v>
      </c>
      <c r="G66" s="24" t="s">
        <v>288</v>
      </c>
      <c r="H66"/>
      <c r="I66"/>
    </row>
    <row r="67" spans="1:9" x14ac:dyDescent="0.2">
      <c r="A67" s="1" t="s">
        <v>770</v>
      </c>
      <c r="B67" s="6">
        <v>3112</v>
      </c>
      <c r="C67" s="95">
        <f>'DOE25'!F118</f>
        <v>1142585</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412.41</v>
      </c>
      <c r="D69" s="95">
        <f>'DOE25'!G120</f>
        <v>0</v>
      </c>
      <c r="E69" s="95">
        <f>'DOE25'!H120</f>
        <v>0</v>
      </c>
      <c r="F69" s="95">
        <f>'DOE25'!I120</f>
        <v>0</v>
      </c>
      <c r="G69" s="95">
        <f>'DOE25'!J120</f>
        <v>0</v>
      </c>
      <c r="H69"/>
      <c r="I69"/>
    </row>
    <row r="70" spans="1:9" ht="12" thickTop="1" x14ac:dyDescent="0.2">
      <c r="A70" s="29" t="s">
        <v>252</v>
      </c>
      <c r="B70" s="2"/>
      <c r="C70" s="139">
        <f>SUM(C66:C69)</f>
        <v>2720918.46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37896.629999999997</v>
      </c>
      <c r="D75" s="24" t="s">
        <v>288</v>
      </c>
      <c r="E75" s="24" t="s">
        <v>288</v>
      </c>
      <c r="F75" s="24" t="s">
        <v>288</v>
      </c>
      <c r="G75" s="24" t="s">
        <v>288</v>
      </c>
      <c r="H75"/>
      <c r="I75"/>
    </row>
    <row r="76" spans="1:9" x14ac:dyDescent="0.2">
      <c r="A76" s="1" t="s">
        <v>257</v>
      </c>
      <c r="B76" s="6" t="s">
        <v>179</v>
      </c>
      <c r="C76" s="95">
        <f>SUM('DOE25'!F127:F130)</f>
        <v>529.78</v>
      </c>
      <c r="D76" s="24" t="s">
        <v>288</v>
      </c>
      <c r="E76" s="95">
        <f>SUM('DOE25'!H127:H130)</f>
        <v>9964.7800000000007</v>
      </c>
      <c r="F76" s="95">
        <f>SUM('DOE25'!I127:I130)</f>
        <v>0</v>
      </c>
      <c r="G76" s="24" t="s">
        <v>288</v>
      </c>
      <c r="H76"/>
      <c r="I76"/>
    </row>
    <row r="77" spans="1:9" ht="12" thickBot="1" x14ac:dyDescent="0.25">
      <c r="A77" s="1" t="s">
        <v>258</v>
      </c>
      <c r="B77" s="6" t="s">
        <v>180</v>
      </c>
      <c r="C77" s="95">
        <f>SUM('DOE25'!F131:F135)</f>
        <v>0</v>
      </c>
      <c r="D77" s="95">
        <f>SUM('DOE25'!G131:G135)</f>
        <v>41360.26</v>
      </c>
      <c r="E77" s="95">
        <f>SUM('DOE25'!H131:H135)</f>
        <v>15000</v>
      </c>
      <c r="F77" s="95">
        <f>SUM('DOE25'!I131:I135)</f>
        <v>0</v>
      </c>
      <c r="G77" s="95">
        <f>SUM('DOE25'!J131:J135)</f>
        <v>0</v>
      </c>
      <c r="H77"/>
      <c r="I77"/>
    </row>
    <row r="78" spans="1:9" ht="12.75" thickTop="1" thickBot="1" x14ac:dyDescent="0.25">
      <c r="A78" s="29" t="s">
        <v>259</v>
      </c>
      <c r="B78" s="6"/>
      <c r="C78" s="130">
        <f>SUM(C72:C77)</f>
        <v>38426.409999999996</v>
      </c>
      <c r="D78" s="130">
        <f>SUM(D72:D77)</f>
        <v>41360.26</v>
      </c>
      <c r="E78" s="130">
        <f>SUM(E72:E77)</f>
        <v>24964.78</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2759344.87</v>
      </c>
      <c r="D81" s="130">
        <f>SUM(D79:D80)+D78+D70</f>
        <v>41360.26</v>
      </c>
      <c r="E81" s="130">
        <f>SUM(E79:E80)+E78+E70</f>
        <v>24964.78</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51659.82</v>
      </c>
      <c r="D88" s="331">
        <f>SUM('DOE25'!G153:G162)</f>
        <v>96706.3</v>
      </c>
      <c r="E88" s="331">
        <f>SUM('DOE25'!H153:H162)</f>
        <v>212252.74</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51659.82</v>
      </c>
      <c r="D91" s="131">
        <f>SUM(D85:D90)</f>
        <v>96706.3</v>
      </c>
      <c r="E91" s="131">
        <f>SUM(E85:E90)</f>
        <v>212252.74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25000</v>
      </c>
      <c r="E96" s="95">
        <f>'DOE25'!H180</f>
        <v>0</v>
      </c>
      <c r="F96" s="95">
        <f>'DOE25'!I180</f>
        <v>0</v>
      </c>
      <c r="G96" s="95">
        <f>'DOE25'!J180</f>
        <v>250000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25000</v>
      </c>
      <c r="E103" s="86">
        <f>SUM(E93:E102)</f>
        <v>0</v>
      </c>
      <c r="F103" s="86">
        <f>SUM(F93:F102)</f>
        <v>0</v>
      </c>
      <c r="G103" s="86">
        <f>SUM(G93:G102)</f>
        <v>250000</v>
      </c>
    </row>
    <row r="104" spans="1:7" ht="12.75" thickTop="1" thickBot="1" x14ac:dyDescent="0.25">
      <c r="A104" s="33" t="s">
        <v>761</v>
      </c>
      <c r="C104" s="86">
        <f>C63+C81+C91+C103</f>
        <v>11889528.350000001</v>
      </c>
      <c r="D104" s="86">
        <f>D63+D81+D91+D103</f>
        <v>176257.81</v>
      </c>
      <c r="E104" s="86">
        <f>E63+E81+E91+E103</f>
        <v>237537.52</v>
      </c>
      <c r="F104" s="86">
        <f>F63+F81+F91+F103</f>
        <v>0</v>
      </c>
      <c r="G104" s="86">
        <f>G63+G81+G103</f>
        <v>251182.19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4033937.8200000003</v>
      </c>
      <c r="D109" s="24" t="s">
        <v>288</v>
      </c>
      <c r="E109" s="95">
        <f>('DOE25'!L277)+('DOE25'!L296)+('DOE25'!L315)</f>
        <v>201033.17</v>
      </c>
      <c r="F109" s="24" t="s">
        <v>288</v>
      </c>
      <c r="G109" s="24" t="s">
        <v>288</v>
      </c>
    </row>
    <row r="110" spans="1:7" x14ac:dyDescent="0.2">
      <c r="A110" t="s">
        <v>198</v>
      </c>
      <c r="B110" s="32" t="s">
        <v>199</v>
      </c>
      <c r="C110" s="95">
        <f>('DOE25'!L199)+('DOE25'!L217)+('DOE25'!L235)</f>
        <v>1364491.6700000002</v>
      </c>
      <c r="D110" s="24" t="s">
        <v>288</v>
      </c>
      <c r="E110" s="95">
        <f>('DOE25'!L278)+('DOE25'!L297)+('DOE25'!L316)</f>
        <v>24517.62</v>
      </c>
      <c r="F110" s="24" t="s">
        <v>288</v>
      </c>
      <c r="G110" s="24" t="s">
        <v>288</v>
      </c>
    </row>
    <row r="111" spans="1:7" x14ac:dyDescent="0.2">
      <c r="A111" t="s">
        <v>200</v>
      </c>
      <c r="B111" s="32" t="s">
        <v>165</v>
      </c>
      <c r="C111" s="95">
        <f>('DOE25'!L200)+('DOE25'!L218)+('DOE25'!L236)</f>
        <v>6214.64</v>
      </c>
      <c r="D111" s="24" t="s">
        <v>288</v>
      </c>
      <c r="E111" s="95">
        <f>('DOE25'!L279)+('DOE25'!L298)+('DOE25'!L317)</f>
        <v>0</v>
      </c>
      <c r="F111" s="24" t="s">
        <v>288</v>
      </c>
      <c r="G111" s="24" t="s">
        <v>288</v>
      </c>
    </row>
    <row r="112" spans="1:7" x14ac:dyDescent="0.2">
      <c r="A112" t="s">
        <v>201</v>
      </c>
      <c r="B112" s="32" t="s">
        <v>167</v>
      </c>
      <c r="C112" s="95">
        <f>('DOE25'!L201)+('DOE25'!L219)+('DOE25'!L237)</f>
        <v>143184.91</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5547829.04</v>
      </c>
      <c r="D115" s="86">
        <f>SUM(D109:D114)</f>
        <v>0</v>
      </c>
      <c r="E115" s="86">
        <f>SUM(E109:E114)</f>
        <v>225550.79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1801804.21</v>
      </c>
      <c r="D118" s="24" t="s">
        <v>288</v>
      </c>
      <c r="E118" s="95">
        <f>+('DOE25'!L282)+('DOE25'!L301)+('DOE25'!L320)</f>
        <v>182124.84</v>
      </c>
      <c r="F118" s="24" t="s">
        <v>288</v>
      </c>
      <c r="G118" s="24" t="s">
        <v>288</v>
      </c>
    </row>
    <row r="119" spans="1:7" x14ac:dyDescent="0.2">
      <c r="A119" t="s">
        <v>208</v>
      </c>
      <c r="B119" s="32" t="s">
        <v>209</v>
      </c>
      <c r="C119" s="95">
        <f>('DOE25'!L204)+('DOE25'!L222)+('DOE25'!L240)</f>
        <v>183064.21000000002</v>
      </c>
      <c r="D119" s="24" t="s">
        <v>288</v>
      </c>
      <c r="E119" s="95">
        <f>+('DOE25'!L283)+('DOE25'!L302)+('DOE25'!L321)</f>
        <v>5617.49</v>
      </c>
      <c r="F119" s="24" t="s">
        <v>288</v>
      </c>
      <c r="G119" s="24" t="s">
        <v>288</v>
      </c>
    </row>
    <row r="120" spans="1:7" x14ac:dyDescent="0.2">
      <c r="A120" t="s">
        <v>210</v>
      </c>
      <c r="B120" s="32" t="s">
        <v>211</v>
      </c>
      <c r="C120" s="95">
        <f>('DOE25'!L205)+('DOE25'!L223)+('DOE25'!L241)</f>
        <v>502526.42</v>
      </c>
      <c r="D120" s="24" t="s">
        <v>288</v>
      </c>
      <c r="E120" s="95">
        <f>+('DOE25'!L284)+('DOE25'!L303)+('DOE25'!L322)</f>
        <v>0</v>
      </c>
      <c r="F120" s="24" t="s">
        <v>288</v>
      </c>
      <c r="G120" s="24" t="s">
        <v>288</v>
      </c>
    </row>
    <row r="121" spans="1:7" x14ac:dyDescent="0.2">
      <c r="A121" t="s">
        <v>212</v>
      </c>
      <c r="B121" s="32" t="s">
        <v>213</v>
      </c>
      <c r="C121" s="95">
        <f>('DOE25'!L206)+('DOE25'!L224)+('DOE25'!L242)</f>
        <v>623960.05000000005</v>
      </c>
      <c r="D121" s="24" t="s">
        <v>288</v>
      </c>
      <c r="E121" s="95">
        <f>+('DOE25'!L285)+('DOE25'!L304)+('DOE25'!L323)</f>
        <v>0</v>
      </c>
      <c r="F121" s="24" t="s">
        <v>288</v>
      </c>
      <c r="G121" s="24" t="s">
        <v>288</v>
      </c>
    </row>
    <row r="122" spans="1:7" x14ac:dyDescent="0.2">
      <c r="A122" t="s">
        <v>214</v>
      </c>
      <c r="B122" s="32" t="s">
        <v>215</v>
      </c>
      <c r="C122" s="95">
        <f>('DOE25'!L207)+('DOE25'!L225)+('DOE25'!L243)</f>
        <v>305635.60000000009</v>
      </c>
      <c r="D122" s="24" t="s">
        <v>288</v>
      </c>
      <c r="E122" s="95">
        <f>+('DOE25'!L286)+('DOE25'!L305)+('DOE25'!L324)</f>
        <v>0</v>
      </c>
      <c r="F122" s="24" t="s">
        <v>288</v>
      </c>
      <c r="G122" s="24" t="s">
        <v>288</v>
      </c>
    </row>
    <row r="123" spans="1:7" x14ac:dyDescent="0.2">
      <c r="A123" t="s">
        <v>216</v>
      </c>
      <c r="B123" s="32" t="s">
        <v>217</v>
      </c>
      <c r="C123" s="95">
        <f>('DOE25'!L208)+('DOE25'!L226)+('DOE25'!L244)</f>
        <v>832970.38900000008</v>
      </c>
      <c r="D123" s="24" t="s">
        <v>288</v>
      </c>
      <c r="E123" s="95">
        <f>+('DOE25'!L287)+('DOE25'!L306)+('DOE25'!L325)</f>
        <v>71913.34</v>
      </c>
      <c r="F123" s="24" t="s">
        <v>288</v>
      </c>
      <c r="G123" s="24" t="s">
        <v>288</v>
      </c>
    </row>
    <row r="124" spans="1:7" x14ac:dyDescent="0.2">
      <c r="A124" t="s">
        <v>218</v>
      </c>
      <c r="B124" s="32" t="s">
        <v>219</v>
      </c>
      <c r="C124" s="95">
        <f>('DOE25'!L209)+('DOE25'!L227)+('DOE25'!L245+'DOE25'!L255)</f>
        <v>410052.06</v>
      </c>
      <c r="D124" s="24" t="s">
        <v>288</v>
      </c>
      <c r="E124" s="95">
        <f>+('DOE25'!L288)+('DOE25'!L307)+('DOE25'!L326)</f>
        <v>19592.5</v>
      </c>
      <c r="F124" s="24" t="s">
        <v>288</v>
      </c>
      <c r="G124" s="24" t="s">
        <v>288</v>
      </c>
    </row>
    <row r="125" spans="1:7" x14ac:dyDescent="0.2">
      <c r="A125" t="s">
        <v>220</v>
      </c>
      <c r="B125" s="32" t="s">
        <v>221</v>
      </c>
      <c r="C125" s="95">
        <f>('DOE25'!L210)+('DOE25'!L228)+('DOE25'!L246)</f>
        <v>403923.95</v>
      </c>
      <c r="D125" s="24" t="s">
        <v>288</v>
      </c>
      <c r="E125" s="95">
        <f>+('DOE25'!L289)+('DOE25'!L308)+('DOE25'!L327)</f>
        <v>49451.249999999993</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181096.06</v>
      </c>
      <c r="E127" s="24" t="s">
        <v>288</v>
      </c>
      <c r="F127" s="24" t="s">
        <v>288</v>
      </c>
      <c r="G127" s="24" t="s">
        <v>288</v>
      </c>
    </row>
    <row r="128" spans="1:7" ht="12.75" thickTop="1" thickBot="1" x14ac:dyDescent="0.25">
      <c r="A128" s="33" t="s">
        <v>226</v>
      </c>
      <c r="C128" s="86">
        <f>SUM(C118:C127)</f>
        <v>5063936.8889999995</v>
      </c>
      <c r="D128" s="86">
        <f>SUM(D118:D127)</f>
        <v>181096.06</v>
      </c>
      <c r="E128" s="86">
        <f>SUM(E118:E127)</f>
        <v>328699.42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325000</v>
      </c>
      <c r="D131" s="24" t="s">
        <v>288</v>
      </c>
      <c r="E131" s="129">
        <f>'DOE25'!L342</f>
        <v>0</v>
      </c>
      <c r="F131" s="24" t="s">
        <v>288</v>
      </c>
      <c r="G131" s="24" t="s">
        <v>288</v>
      </c>
    </row>
    <row r="132" spans="1:7" x14ac:dyDescent="0.2">
      <c r="A132" t="s">
        <v>230</v>
      </c>
      <c r="B132" s="32">
        <v>5120</v>
      </c>
      <c r="C132" s="95">
        <f>'DOE25'!L262</f>
        <v>278267.5</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25000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251182.19</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-1182.1900000000023</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878267.5</v>
      </c>
      <c r="D144" s="141">
        <f>SUM(D130:D143)</f>
        <v>0</v>
      </c>
      <c r="E144" s="141">
        <f>SUM(E130:E143)</f>
        <v>0</v>
      </c>
      <c r="F144" s="141">
        <f>SUM(F130:F143)</f>
        <v>0</v>
      </c>
      <c r="G144" s="141">
        <f>SUM(G130:G143)</f>
        <v>0</v>
      </c>
    </row>
    <row r="145" spans="1:9" ht="12.75" thickTop="1" thickBot="1" x14ac:dyDescent="0.25">
      <c r="A145" s="33" t="s">
        <v>244</v>
      </c>
      <c r="C145" s="86">
        <f>(C115+C128+C144)</f>
        <v>11490033.429</v>
      </c>
      <c r="D145" s="86">
        <f>(D115+D128+D144)</f>
        <v>181096.06</v>
      </c>
      <c r="E145" s="86">
        <f>(E115+E128+E144)</f>
        <v>554250.21</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t="str">
        <f>'DOE25'!F492</f>
        <v>07/14</v>
      </c>
      <c r="C152" s="152">
        <f>'DOE25'!G492</f>
        <v>0</v>
      </c>
      <c r="D152" s="152">
        <f>'DOE25'!H492</f>
        <v>0</v>
      </c>
      <c r="E152" s="152">
        <f>'DOE25'!I492</f>
        <v>0</v>
      </c>
      <c r="F152" s="152">
        <f>'DOE25'!J492</f>
        <v>0</v>
      </c>
      <c r="G152" s="24" t="s">
        <v>288</v>
      </c>
    </row>
    <row r="153" spans="1:9" x14ac:dyDescent="0.2">
      <c r="A153" s="136" t="s">
        <v>29</v>
      </c>
      <c r="B153" s="152" t="str">
        <f>'DOE25'!F493</f>
        <v>08/34</v>
      </c>
      <c r="C153" s="152">
        <f>'DOE25'!G493</f>
        <v>0</v>
      </c>
      <c r="D153" s="152">
        <f>'DOE25'!H493</f>
        <v>0</v>
      </c>
      <c r="E153" s="152">
        <f>'DOE25'!I493</f>
        <v>0</v>
      </c>
      <c r="F153" s="152">
        <f>'DOE25'!J493</f>
        <v>0</v>
      </c>
      <c r="G153" s="24" t="s">
        <v>288</v>
      </c>
    </row>
    <row r="154" spans="1:9" x14ac:dyDescent="0.2">
      <c r="A154" s="136" t="s">
        <v>30</v>
      </c>
      <c r="B154" s="137">
        <f>'DOE25'!F494</f>
        <v>7640000</v>
      </c>
      <c r="C154" s="137">
        <f>'DOE25'!G494</f>
        <v>0</v>
      </c>
      <c r="D154" s="137">
        <f>'DOE25'!H494</f>
        <v>0</v>
      </c>
      <c r="E154" s="137">
        <f>'DOE25'!I494</f>
        <v>0</v>
      </c>
      <c r="F154" s="137">
        <f>'DOE25'!J494</f>
        <v>0</v>
      </c>
      <c r="G154" s="24" t="s">
        <v>288</v>
      </c>
    </row>
    <row r="155" spans="1:9" x14ac:dyDescent="0.2">
      <c r="A155" s="136" t="s">
        <v>31</v>
      </c>
      <c r="B155" s="137">
        <f>'DOE25'!F495</f>
        <v>3.4</v>
      </c>
      <c r="C155" s="137">
        <f>'DOE25'!G495</f>
        <v>0</v>
      </c>
      <c r="D155" s="137">
        <f>'DOE25'!H495</f>
        <v>0</v>
      </c>
      <c r="E155" s="137">
        <f>'DOE25'!I495</f>
        <v>0</v>
      </c>
      <c r="F155" s="137">
        <f>'DOE25'!J495</f>
        <v>0</v>
      </c>
      <c r="G155" s="24" t="s">
        <v>288</v>
      </c>
    </row>
    <row r="156" spans="1:9" x14ac:dyDescent="0.2">
      <c r="A156" s="22" t="s">
        <v>32</v>
      </c>
      <c r="B156" s="137">
        <f>'DOE25'!F496</f>
        <v>6755000</v>
      </c>
      <c r="C156" s="137">
        <f>'DOE25'!G496</f>
        <v>0</v>
      </c>
      <c r="D156" s="137">
        <f>'DOE25'!H496</f>
        <v>0</v>
      </c>
      <c r="E156" s="137">
        <f>'DOE25'!I496</f>
        <v>0</v>
      </c>
      <c r="F156" s="137">
        <f>'DOE25'!J496</f>
        <v>0</v>
      </c>
      <c r="G156" s="138">
        <f>SUM(B156:F156)</f>
        <v>6755000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325000</v>
      </c>
      <c r="C158" s="137">
        <f>'DOE25'!G498</f>
        <v>0</v>
      </c>
      <c r="D158" s="137">
        <f>'DOE25'!H498</f>
        <v>0</v>
      </c>
      <c r="E158" s="137">
        <f>'DOE25'!I498</f>
        <v>0</v>
      </c>
      <c r="F158" s="137">
        <f>'DOE25'!J498</f>
        <v>0</v>
      </c>
      <c r="G158" s="138">
        <f t="shared" si="0"/>
        <v>325000</v>
      </c>
    </row>
    <row r="159" spans="1:9" x14ac:dyDescent="0.2">
      <c r="A159" s="22" t="s">
        <v>35</v>
      </c>
      <c r="B159" s="137">
        <f>'DOE25'!F499</f>
        <v>6430000</v>
      </c>
      <c r="C159" s="137">
        <f>'DOE25'!G499</f>
        <v>0</v>
      </c>
      <c r="D159" s="137">
        <f>'DOE25'!H499</f>
        <v>0</v>
      </c>
      <c r="E159" s="137">
        <f>'DOE25'!I499</f>
        <v>0</v>
      </c>
      <c r="F159" s="137">
        <f>'DOE25'!J499</f>
        <v>0</v>
      </c>
      <c r="G159" s="138">
        <f t="shared" si="0"/>
        <v>6430000</v>
      </c>
    </row>
    <row r="160" spans="1:9" x14ac:dyDescent="0.2">
      <c r="A160" s="22" t="s">
        <v>36</v>
      </c>
      <c r="B160" s="137">
        <f>'DOE25'!F500</f>
        <v>1696407.5</v>
      </c>
      <c r="C160" s="137">
        <f>'DOE25'!G500</f>
        <v>0</v>
      </c>
      <c r="D160" s="137">
        <f>'DOE25'!H500</f>
        <v>0</v>
      </c>
      <c r="E160" s="137">
        <f>'DOE25'!I500</f>
        <v>0</v>
      </c>
      <c r="F160" s="137">
        <f>'DOE25'!J500</f>
        <v>0</v>
      </c>
      <c r="G160" s="138">
        <f t="shared" si="0"/>
        <v>1696407.5</v>
      </c>
    </row>
    <row r="161" spans="1:7" x14ac:dyDescent="0.2">
      <c r="A161" s="22" t="s">
        <v>37</v>
      </c>
      <c r="B161" s="137">
        <f>'DOE25'!F501</f>
        <v>8126407.5</v>
      </c>
      <c r="C161" s="137">
        <f>'DOE25'!G501</f>
        <v>0</v>
      </c>
      <c r="D161" s="137">
        <f>'DOE25'!H501</f>
        <v>0</v>
      </c>
      <c r="E161" s="137">
        <f>'DOE25'!I501</f>
        <v>0</v>
      </c>
      <c r="F161" s="137">
        <f>'DOE25'!J501</f>
        <v>0</v>
      </c>
      <c r="G161" s="138">
        <f t="shared" si="0"/>
        <v>8126407.5</v>
      </c>
    </row>
    <row r="162" spans="1:7" x14ac:dyDescent="0.2">
      <c r="A162" s="22" t="s">
        <v>38</v>
      </c>
      <c r="B162" s="137">
        <f>'DOE25'!F502</f>
        <v>340000</v>
      </c>
      <c r="C162" s="137">
        <f>'DOE25'!G502</f>
        <v>0</v>
      </c>
      <c r="D162" s="137">
        <f>'DOE25'!H502</f>
        <v>0</v>
      </c>
      <c r="E162" s="137">
        <f>'DOE25'!I502</f>
        <v>0</v>
      </c>
      <c r="F162" s="137">
        <f>'DOE25'!J502</f>
        <v>0</v>
      </c>
      <c r="G162" s="138">
        <f t="shared" si="0"/>
        <v>340000</v>
      </c>
    </row>
    <row r="163" spans="1:7" x14ac:dyDescent="0.2">
      <c r="A163" s="22" t="s">
        <v>39</v>
      </c>
      <c r="B163" s="137">
        <f>'DOE25'!F503</f>
        <v>261310</v>
      </c>
      <c r="C163" s="137">
        <f>'DOE25'!G503</f>
        <v>0</v>
      </c>
      <c r="D163" s="137">
        <f>'DOE25'!H503</f>
        <v>0</v>
      </c>
      <c r="E163" s="137">
        <f>'DOE25'!I503</f>
        <v>0</v>
      </c>
      <c r="F163" s="137">
        <f>'DOE25'!J503</f>
        <v>0</v>
      </c>
      <c r="G163" s="138">
        <f t="shared" si="0"/>
        <v>261310</v>
      </c>
    </row>
    <row r="164" spans="1:7" x14ac:dyDescent="0.2">
      <c r="A164" s="22" t="s">
        <v>246</v>
      </c>
      <c r="B164" s="137">
        <f>'DOE25'!F504</f>
        <v>601310</v>
      </c>
      <c r="C164" s="137">
        <f>'DOE25'!G504</f>
        <v>0</v>
      </c>
      <c r="D164" s="137">
        <f>'DOE25'!H504</f>
        <v>0</v>
      </c>
      <c r="E164" s="137">
        <f>'DOE25'!I504</f>
        <v>0</v>
      </c>
      <c r="F164" s="137">
        <f>'DOE25'!J504</f>
        <v>0</v>
      </c>
      <c r="G164" s="138">
        <f t="shared" si="0"/>
        <v>601310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7" sqref="C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3" t="s">
        <v>736</v>
      </c>
      <c r="B1" s="373"/>
      <c r="C1" s="373"/>
      <c r="D1" s="373"/>
    </row>
    <row r="2" spans="1:4" x14ac:dyDescent="0.2">
      <c r="A2" s="187" t="s">
        <v>713</v>
      </c>
      <c r="B2" s="186" t="str">
        <f>'DOE25'!A2</f>
        <v>Wilton-Lyndeborough Cooperative School District</v>
      </c>
    </row>
    <row r="3" spans="1:4" x14ac:dyDescent="0.2">
      <c r="B3" s="188" t="s">
        <v>1666</v>
      </c>
    </row>
    <row r="4" spans="1:4" x14ac:dyDescent="0.2">
      <c r="B4" t="s">
        <v>61</v>
      </c>
      <c r="C4" s="179">
        <f>IF('DOE25'!F666+'DOE25'!F671=0,0,ROUND('DOE25'!F673,0))</f>
        <v>17377</v>
      </c>
    </row>
    <row r="5" spans="1:4" x14ac:dyDescent="0.2">
      <c r="B5" t="s">
        <v>700</v>
      </c>
      <c r="C5" s="179">
        <f>IF('DOE25'!G666+'DOE25'!G671=0,0,ROUND('DOE25'!G673,0))</f>
        <v>18874</v>
      </c>
    </row>
    <row r="6" spans="1:4" x14ac:dyDescent="0.2">
      <c r="B6" t="s">
        <v>62</v>
      </c>
      <c r="C6" s="179">
        <f>IF('DOE25'!H666+'DOE25'!H671=0,0,ROUND('DOE25'!H673,0))</f>
        <v>18116</v>
      </c>
    </row>
    <row r="7" spans="1:4" x14ac:dyDescent="0.2">
      <c r="B7" t="s">
        <v>701</v>
      </c>
      <c r="C7" s="179">
        <f>IF('DOE25'!I666+'DOE25'!I671=0,0,ROUND('DOE25'!I673,0))</f>
        <v>17933</v>
      </c>
    </row>
    <row r="9" spans="1:4" x14ac:dyDescent="0.2">
      <c r="A9" s="187" t="s">
        <v>94</v>
      </c>
      <c r="B9" s="188" t="s">
        <v>1671</v>
      </c>
      <c r="C9" s="181" t="s">
        <v>720</v>
      </c>
      <c r="D9" s="181" t="s">
        <v>721</v>
      </c>
    </row>
    <row r="10" spans="1:4" x14ac:dyDescent="0.2">
      <c r="A10">
        <v>1100</v>
      </c>
      <c r="B10" t="s">
        <v>702</v>
      </c>
      <c r="C10" s="179">
        <f>ROUND('DOE25'!L198+'DOE25'!L216+'DOE25'!L234+'DOE25'!L277+'DOE25'!L296+'DOE25'!L315,0)</f>
        <v>4234971</v>
      </c>
      <c r="D10" s="182">
        <f>ROUND((C10/$C$28)*100,1)</f>
        <v>36.5</v>
      </c>
    </row>
    <row r="11" spans="1:4" x14ac:dyDescent="0.2">
      <c r="A11">
        <v>1200</v>
      </c>
      <c r="B11" t="s">
        <v>703</v>
      </c>
      <c r="C11" s="179">
        <f>ROUND('DOE25'!L199+'DOE25'!L217+'DOE25'!L235+'DOE25'!L278+'DOE25'!L297+'DOE25'!L316,0)</f>
        <v>1389009</v>
      </c>
      <c r="D11" s="182">
        <f>ROUND((C11/$C$28)*100,1)</f>
        <v>12</v>
      </c>
    </row>
    <row r="12" spans="1:4" x14ac:dyDescent="0.2">
      <c r="A12">
        <v>1300</v>
      </c>
      <c r="B12" t="s">
        <v>704</v>
      </c>
      <c r="C12" s="179">
        <f>ROUND('DOE25'!L200+'DOE25'!L218+'DOE25'!L236+'DOE25'!L279+'DOE25'!L298+'DOE25'!L317,0)</f>
        <v>6215</v>
      </c>
      <c r="D12" s="182">
        <f>ROUND((C12/$C$28)*100,1)</f>
        <v>0.1</v>
      </c>
    </row>
    <row r="13" spans="1:4" x14ac:dyDescent="0.2">
      <c r="A13">
        <v>1400</v>
      </c>
      <c r="B13" t="s">
        <v>705</v>
      </c>
      <c r="C13" s="179">
        <f>ROUND('DOE25'!L201+'DOE25'!L219+'DOE25'!L237+'DOE25'!L280+'DOE25'!L299+'DOE25'!L318,0)</f>
        <v>143185</v>
      </c>
      <c r="D13" s="182">
        <f>ROUND((C13/$C$28)*100,1)</f>
        <v>1.2</v>
      </c>
    </row>
    <row r="14" spans="1:4" x14ac:dyDescent="0.2">
      <c r="D14" s="182"/>
    </row>
    <row r="15" spans="1:4" x14ac:dyDescent="0.2">
      <c r="A15">
        <v>2100</v>
      </c>
      <c r="B15" t="s">
        <v>706</v>
      </c>
      <c r="C15" s="179">
        <f>ROUND('DOE25'!L203+'DOE25'!L221+'DOE25'!L239+'DOE25'!L282+'DOE25'!L301+'DOE25'!L320,0)</f>
        <v>1983929</v>
      </c>
      <c r="D15" s="182">
        <f t="shared" ref="D15:D27" si="0">ROUND((C15/$C$28)*100,1)</f>
        <v>17.100000000000001</v>
      </c>
    </row>
    <row r="16" spans="1:4" x14ac:dyDescent="0.2">
      <c r="A16">
        <v>2200</v>
      </c>
      <c r="B16" t="s">
        <v>707</v>
      </c>
      <c r="C16" s="179">
        <f>ROUND('DOE25'!L204+'DOE25'!L222+'DOE25'!L240+'DOE25'!L283+'DOE25'!L302+'DOE25'!L321,0)</f>
        <v>188682</v>
      </c>
      <c r="D16" s="182">
        <f t="shared" si="0"/>
        <v>1.6</v>
      </c>
    </row>
    <row r="17" spans="1:4" x14ac:dyDescent="0.2">
      <c r="A17" s="183" t="s">
        <v>723</v>
      </c>
      <c r="B17" t="s">
        <v>738</v>
      </c>
      <c r="C17" s="179">
        <f>ROUND('DOE25'!L205+'DOE25'!L210+'DOE25'!L223+'DOE25'!L228+'DOE25'!L241+'DOE25'!L246+'DOE25'!L284+'DOE25'!L289+'DOE25'!L303+'DOE25'!L308+'DOE25'!L322+'DOE25'!L327,0)</f>
        <v>955902</v>
      </c>
      <c r="D17" s="182">
        <f t="shared" si="0"/>
        <v>8.1999999999999993</v>
      </c>
    </row>
    <row r="18" spans="1:4" x14ac:dyDescent="0.2">
      <c r="A18">
        <v>2400</v>
      </c>
      <c r="B18" t="s">
        <v>711</v>
      </c>
      <c r="C18" s="179">
        <f>ROUND('DOE25'!L206+'DOE25'!L224+'DOE25'!L242+'DOE25'!L285+'DOE25'!L304+'DOE25'!L323,0)</f>
        <v>623960</v>
      </c>
      <c r="D18" s="182">
        <f t="shared" si="0"/>
        <v>5.4</v>
      </c>
    </row>
    <row r="19" spans="1:4" x14ac:dyDescent="0.2">
      <c r="A19">
        <v>2500</v>
      </c>
      <c r="B19" t="s">
        <v>708</v>
      </c>
      <c r="C19" s="179">
        <f>ROUND('DOE25'!L207+'DOE25'!L225+'DOE25'!L243+'DOE25'!L286+'DOE25'!L305+'DOE25'!L324,0)</f>
        <v>305636</v>
      </c>
      <c r="D19" s="182">
        <f t="shared" si="0"/>
        <v>2.6</v>
      </c>
    </row>
    <row r="20" spans="1:4" x14ac:dyDescent="0.2">
      <c r="A20">
        <v>2600</v>
      </c>
      <c r="B20" t="s">
        <v>709</v>
      </c>
      <c r="C20" s="179">
        <f>ROUND('DOE25'!L208+'DOE25'!L226+'DOE25'!L244+'DOE25'!L287+'DOE25'!L306+'DOE25'!L325,0)</f>
        <v>904884</v>
      </c>
      <c r="D20" s="182">
        <f t="shared" si="0"/>
        <v>7.8</v>
      </c>
    </row>
    <row r="21" spans="1:4" x14ac:dyDescent="0.2">
      <c r="A21">
        <v>2700</v>
      </c>
      <c r="B21" t="s">
        <v>710</v>
      </c>
      <c r="C21" s="179">
        <f>ROUND('DOE25'!L209+'DOE25'!L227+'DOE25'!L245+'DOE25'!L288+'DOE25'!L307+'DOE25'!L326,0)</f>
        <v>429645</v>
      </c>
      <c r="D21" s="182">
        <f t="shared" si="0"/>
        <v>3.7</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278268</v>
      </c>
      <c r="D25" s="182">
        <f t="shared" si="0"/>
        <v>2.4</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167904.75</v>
      </c>
      <c r="D27" s="182">
        <f t="shared" si="0"/>
        <v>1.4</v>
      </c>
    </row>
    <row r="28" spans="1:4" x14ac:dyDescent="0.2">
      <c r="B28" s="187" t="s">
        <v>719</v>
      </c>
      <c r="C28" s="180">
        <f>SUM(C10:C27)</f>
        <v>11612190.75</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11612190.75</v>
      </c>
    </row>
    <row r="31" spans="1:4" x14ac:dyDescent="0.2">
      <c r="B31" s="33"/>
      <c r="C31" s="180"/>
    </row>
    <row r="32" spans="1:4" x14ac:dyDescent="0.2">
      <c r="A32">
        <v>5100</v>
      </c>
      <c r="B32" s="33" t="s">
        <v>726</v>
      </c>
      <c r="C32" s="180">
        <f>ROUND('DOE25'!L261+'DOE25'!L342,0)</f>
        <v>325000</v>
      </c>
    </row>
    <row r="34" spans="1:4" x14ac:dyDescent="0.2">
      <c r="A34" s="187" t="s">
        <v>94</v>
      </c>
      <c r="B34" s="188" t="s">
        <v>1667</v>
      </c>
      <c r="C34" s="181" t="s">
        <v>720</v>
      </c>
      <c r="D34" s="181" t="s">
        <v>721</v>
      </c>
    </row>
    <row r="35" spans="1:4" x14ac:dyDescent="0.2">
      <c r="A35">
        <v>1100</v>
      </c>
      <c r="B35" s="185" t="s">
        <v>727</v>
      </c>
      <c r="C35" s="179">
        <f>ROUND('DOE25'!F60+'DOE25'!G60+'DOE25'!H60+'DOE25'!I60+'DOE25'!J60,0)</f>
        <v>9006562</v>
      </c>
      <c r="D35" s="182">
        <f t="shared" ref="D35:D40" si="1">ROUND((C35/$C$41)*100,1)</f>
        <v>73.400000000000006</v>
      </c>
    </row>
    <row r="36" spans="1:4" x14ac:dyDescent="0.2">
      <c r="B36" s="185" t="s">
        <v>739</v>
      </c>
      <c r="C36" s="179">
        <f>SUM('DOE25'!F112:J112)-SUM('DOE25'!G97:G110)+('DOE25'!F175+'DOE25'!F176+'DOE25'!I175+'DOE25'!I176)-C35</f>
        <v>73463.849999999627</v>
      </c>
      <c r="D36" s="182">
        <f t="shared" si="1"/>
        <v>0.6</v>
      </c>
    </row>
    <row r="37" spans="1:4" x14ac:dyDescent="0.2">
      <c r="A37" s="183" t="s">
        <v>835</v>
      </c>
      <c r="B37" s="185" t="s">
        <v>728</v>
      </c>
      <c r="C37" s="179">
        <f>ROUND('DOE25'!F117+'DOE25'!F118,0)</f>
        <v>2720506</v>
      </c>
      <c r="D37" s="182">
        <f t="shared" si="1"/>
        <v>22.2</v>
      </c>
    </row>
    <row r="38" spans="1:4" x14ac:dyDescent="0.2">
      <c r="A38" s="183" t="s">
        <v>734</v>
      </c>
      <c r="B38" s="185" t="s">
        <v>729</v>
      </c>
      <c r="C38" s="179">
        <f>ROUND(SUM('DOE25'!F140:J140)-SUM('DOE25'!F117:F119),0)</f>
        <v>105164</v>
      </c>
      <c r="D38" s="182">
        <f t="shared" si="1"/>
        <v>0.9</v>
      </c>
    </row>
    <row r="39" spans="1:4" x14ac:dyDescent="0.2">
      <c r="A39">
        <v>4000</v>
      </c>
      <c r="B39" s="185" t="s">
        <v>730</v>
      </c>
      <c r="C39" s="179">
        <f>ROUND('DOE25'!F170+'DOE25'!G170+'DOE25'!H170+'DOE25'!I170,0)</f>
        <v>360619</v>
      </c>
      <c r="D39" s="182">
        <f t="shared" si="1"/>
        <v>2.9</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12266314.85</v>
      </c>
      <c r="D41" s="184">
        <f>SUM(D35:D40)</f>
        <v>100.00000000000001</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5" sqref="A5"/>
    </sheetView>
  </sheetViews>
  <sheetFormatPr defaultRowHeight="11.25" x14ac:dyDescent="0.2"/>
  <cols>
    <col min="1" max="1" width="10.33203125" customWidth="1"/>
    <col min="14" max="14" width="6.1640625" customWidth="1"/>
  </cols>
  <sheetData>
    <row r="1" spans="1:26" ht="16.5" thickTop="1" x14ac:dyDescent="0.25">
      <c r="A1" s="384" t="s">
        <v>766</v>
      </c>
      <c r="B1" s="385"/>
      <c r="C1" s="385"/>
      <c r="D1" s="385"/>
      <c r="E1" s="385"/>
      <c r="F1" s="385"/>
      <c r="G1" s="385"/>
      <c r="H1" s="385"/>
      <c r="I1" s="385"/>
      <c r="J1" s="213"/>
      <c r="K1" s="213"/>
      <c r="L1" s="213"/>
      <c r="M1" s="214"/>
    </row>
    <row r="2" spans="1:26" ht="12.75" x14ac:dyDescent="0.2">
      <c r="A2" s="390" t="s">
        <v>763</v>
      </c>
      <c r="B2" s="391"/>
      <c r="C2" s="391"/>
      <c r="D2" s="391"/>
      <c r="E2" s="391"/>
      <c r="F2" s="388" t="str">
        <f>'DOE25'!A2</f>
        <v>Wilton-Lyndeborough Cooperative School District</v>
      </c>
      <c r="G2" s="389"/>
      <c r="H2" s="389"/>
      <c r="I2" s="389"/>
      <c r="J2" s="52"/>
      <c r="K2" s="52"/>
      <c r="L2" s="52"/>
      <c r="M2" s="215"/>
    </row>
    <row r="3" spans="1:26" x14ac:dyDescent="0.2">
      <c r="A3" s="216" t="s">
        <v>764</v>
      </c>
      <c r="B3" s="217" t="s">
        <v>765</v>
      </c>
      <c r="C3" s="386" t="s">
        <v>767</v>
      </c>
      <c r="D3" s="386"/>
      <c r="E3" s="386"/>
      <c r="F3" s="386"/>
      <c r="G3" s="386"/>
      <c r="H3" s="386"/>
      <c r="I3" s="386"/>
      <c r="J3" s="386"/>
      <c r="K3" s="386"/>
      <c r="L3" s="386"/>
      <c r="M3" s="387"/>
    </row>
    <row r="4" spans="1:26" x14ac:dyDescent="0.2">
      <c r="A4" s="218">
        <v>1</v>
      </c>
      <c r="B4" s="219">
        <v>36</v>
      </c>
      <c r="C4" s="375" t="s">
        <v>1675</v>
      </c>
      <c r="D4" s="375"/>
      <c r="E4" s="375"/>
      <c r="F4" s="375"/>
      <c r="G4" s="375"/>
      <c r="H4" s="375"/>
      <c r="I4" s="375"/>
      <c r="J4" s="375"/>
      <c r="K4" s="375"/>
      <c r="L4" s="375"/>
      <c r="M4" s="376"/>
      <c r="N4" s="126"/>
      <c r="O4" s="126"/>
      <c r="P4" s="126"/>
      <c r="Q4" s="126"/>
      <c r="R4" s="126"/>
      <c r="S4" s="126"/>
      <c r="T4" s="126"/>
      <c r="U4" s="126"/>
      <c r="V4" s="126"/>
      <c r="W4" s="126"/>
      <c r="X4" s="126"/>
      <c r="Y4" s="126"/>
      <c r="Z4" s="126"/>
    </row>
    <row r="5" spans="1:26" x14ac:dyDescent="0.2">
      <c r="A5" s="218"/>
      <c r="B5" s="219"/>
      <c r="C5" s="375"/>
      <c r="D5" s="375"/>
      <c r="E5" s="375"/>
      <c r="F5" s="375"/>
      <c r="G5" s="375"/>
      <c r="H5" s="375"/>
      <c r="I5" s="375"/>
      <c r="J5" s="375"/>
      <c r="K5" s="375"/>
      <c r="L5" s="375"/>
      <c r="M5" s="376"/>
      <c r="N5" s="126"/>
      <c r="O5" s="126"/>
      <c r="P5" s="126"/>
      <c r="Q5" s="126"/>
      <c r="R5" s="126"/>
      <c r="S5" s="126"/>
      <c r="T5" s="126"/>
      <c r="U5" s="126"/>
      <c r="V5" s="126"/>
      <c r="W5" s="126"/>
      <c r="X5" s="126"/>
      <c r="Y5" s="126"/>
      <c r="Z5" s="126"/>
    </row>
    <row r="6" spans="1:26" x14ac:dyDescent="0.2">
      <c r="A6" s="218"/>
      <c r="B6" s="219"/>
      <c r="C6" s="375"/>
      <c r="D6" s="375"/>
      <c r="E6" s="375"/>
      <c r="F6" s="375"/>
      <c r="G6" s="375"/>
      <c r="H6" s="375"/>
      <c r="I6" s="375"/>
      <c r="J6" s="375"/>
      <c r="K6" s="375"/>
      <c r="L6" s="375"/>
      <c r="M6" s="376"/>
      <c r="N6" s="126"/>
      <c r="O6" s="126"/>
      <c r="P6" s="126"/>
      <c r="Q6" s="126"/>
      <c r="R6" s="126"/>
      <c r="S6" s="126"/>
      <c r="T6" s="126"/>
      <c r="U6" s="126"/>
      <c r="V6" s="126"/>
      <c r="W6" s="126"/>
      <c r="X6" s="126"/>
      <c r="Y6" s="126"/>
      <c r="Z6" s="126"/>
    </row>
    <row r="7" spans="1:26" x14ac:dyDescent="0.2">
      <c r="A7" s="218"/>
      <c r="B7" s="219"/>
      <c r="C7" s="375"/>
      <c r="D7" s="375"/>
      <c r="E7" s="375"/>
      <c r="F7" s="375"/>
      <c r="G7" s="375"/>
      <c r="H7" s="375"/>
      <c r="I7" s="375"/>
      <c r="J7" s="375"/>
      <c r="K7" s="375"/>
      <c r="L7" s="375"/>
      <c r="M7" s="376"/>
      <c r="N7" s="126"/>
      <c r="O7" s="126"/>
      <c r="P7" s="126"/>
      <c r="Q7" s="126"/>
      <c r="R7" s="126"/>
      <c r="S7" s="126"/>
      <c r="T7" s="126"/>
      <c r="U7" s="126"/>
      <c r="V7" s="126"/>
      <c r="W7" s="126"/>
      <c r="X7" s="126"/>
      <c r="Y7" s="126"/>
      <c r="Z7" s="126"/>
    </row>
    <row r="8" spans="1:26" x14ac:dyDescent="0.2">
      <c r="A8" s="218"/>
      <c r="B8" s="219"/>
      <c r="C8" s="375"/>
      <c r="D8" s="375"/>
      <c r="E8" s="375"/>
      <c r="F8" s="375"/>
      <c r="G8" s="375"/>
      <c r="H8" s="375"/>
      <c r="I8" s="375"/>
      <c r="J8" s="375"/>
      <c r="K8" s="375"/>
      <c r="L8" s="375"/>
      <c r="M8" s="376"/>
      <c r="N8" s="126"/>
      <c r="O8" s="126"/>
      <c r="P8" s="126"/>
      <c r="Q8" s="126"/>
      <c r="R8" s="126"/>
      <c r="S8" s="126"/>
      <c r="T8" s="126"/>
      <c r="U8" s="126"/>
      <c r="V8" s="126"/>
      <c r="W8" s="126"/>
      <c r="X8" s="126"/>
      <c r="Y8" s="126"/>
      <c r="Z8" s="126"/>
    </row>
    <row r="9" spans="1:26" x14ac:dyDescent="0.2">
      <c r="A9" s="218"/>
      <c r="B9" s="219"/>
      <c r="C9" s="375"/>
      <c r="D9" s="375"/>
      <c r="E9" s="375"/>
      <c r="F9" s="375"/>
      <c r="G9" s="375"/>
      <c r="H9" s="375"/>
      <c r="I9" s="375"/>
      <c r="J9" s="375"/>
      <c r="K9" s="375"/>
      <c r="L9" s="375"/>
      <c r="M9" s="376"/>
      <c r="N9" s="126"/>
      <c r="O9" s="126"/>
      <c r="P9" s="126"/>
      <c r="Q9" s="126"/>
      <c r="R9" s="126"/>
      <c r="S9" s="126"/>
      <c r="T9" s="126"/>
      <c r="U9" s="126"/>
      <c r="V9" s="126"/>
      <c r="W9" s="126"/>
      <c r="X9" s="126"/>
      <c r="Y9" s="126"/>
      <c r="Z9" s="126"/>
    </row>
    <row r="10" spans="1:26" x14ac:dyDescent="0.2">
      <c r="A10" s="218"/>
      <c r="B10" s="219"/>
      <c r="C10" s="375"/>
      <c r="D10" s="375"/>
      <c r="E10" s="375"/>
      <c r="F10" s="375"/>
      <c r="G10" s="375"/>
      <c r="H10" s="375"/>
      <c r="I10" s="375"/>
      <c r="J10" s="375"/>
      <c r="K10" s="375"/>
      <c r="L10" s="375"/>
      <c r="M10" s="376"/>
      <c r="N10" s="126"/>
      <c r="O10" s="126"/>
      <c r="P10" s="126"/>
      <c r="Q10" s="126"/>
      <c r="R10" s="126"/>
      <c r="S10" s="126"/>
      <c r="T10" s="126"/>
      <c r="U10" s="126"/>
      <c r="V10" s="126"/>
      <c r="W10" s="126"/>
      <c r="X10" s="126"/>
      <c r="Y10" s="126"/>
      <c r="Z10" s="126"/>
    </row>
    <row r="11" spans="1:26" x14ac:dyDescent="0.2">
      <c r="A11" s="218"/>
      <c r="B11" s="219"/>
      <c r="C11" s="375"/>
      <c r="D11" s="375"/>
      <c r="E11" s="375"/>
      <c r="F11" s="375"/>
      <c r="G11" s="375"/>
      <c r="H11" s="375"/>
      <c r="I11" s="375"/>
      <c r="J11" s="375"/>
      <c r="K11" s="375"/>
      <c r="L11" s="375"/>
      <c r="M11" s="376"/>
      <c r="N11" s="126"/>
      <c r="O11" s="126"/>
      <c r="P11" s="126"/>
      <c r="Q11" s="126"/>
      <c r="R11" s="126"/>
      <c r="S11" s="126"/>
      <c r="T11" s="126"/>
      <c r="U11" s="126"/>
      <c r="V11" s="126"/>
      <c r="W11" s="126"/>
      <c r="X11" s="126"/>
      <c r="Y11" s="126"/>
      <c r="Z11" s="126"/>
    </row>
    <row r="12" spans="1:26" x14ac:dyDescent="0.2">
      <c r="A12" s="218"/>
      <c r="B12" s="219"/>
      <c r="C12" s="375"/>
      <c r="D12" s="375"/>
      <c r="E12" s="375"/>
      <c r="F12" s="375"/>
      <c r="G12" s="375"/>
      <c r="H12" s="375"/>
      <c r="I12" s="375"/>
      <c r="J12" s="375"/>
      <c r="K12" s="375"/>
      <c r="L12" s="375"/>
      <c r="M12" s="376"/>
      <c r="N12" s="126"/>
      <c r="O12" s="126"/>
      <c r="P12" s="126"/>
      <c r="Q12" s="126"/>
      <c r="R12" s="126"/>
      <c r="S12" s="126"/>
      <c r="T12" s="126"/>
      <c r="U12" s="126"/>
      <c r="V12" s="126"/>
      <c r="W12" s="126"/>
      <c r="X12" s="126"/>
      <c r="Y12" s="126"/>
      <c r="Z12" s="126"/>
    </row>
    <row r="13" spans="1:26" x14ac:dyDescent="0.2">
      <c r="A13" s="218"/>
      <c r="B13" s="219"/>
      <c r="C13" s="375"/>
      <c r="D13" s="375"/>
      <c r="E13" s="375"/>
      <c r="F13" s="375"/>
      <c r="G13" s="375"/>
      <c r="H13" s="375"/>
      <c r="I13" s="375"/>
      <c r="J13" s="375"/>
      <c r="K13" s="375"/>
      <c r="L13" s="375"/>
      <c r="M13" s="376"/>
      <c r="N13" s="126"/>
      <c r="O13" s="126"/>
      <c r="P13" s="126"/>
      <c r="Q13" s="126"/>
      <c r="R13" s="126"/>
      <c r="S13" s="126"/>
      <c r="T13" s="126"/>
      <c r="U13" s="126"/>
      <c r="V13" s="126"/>
      <c r="W13" s="126"/>
      <c r="X13" s="126"/>
      <c r="Y13" s="126"/>
      <c r="Z13" s="126"/>
    </row>
    <row r="14" spans="1:26" x14ac:dyDescent="0.2">
      <c r="A14" s="218"/>
      <c r="B14" s="219"/>
      <c r="C14" s="375"/>
      <c r="D14" s="375"/>
      <c r="E14" s="375"/>
      <c r="F14" s="375"/>
      <c r="G14" s="375"/>
      <c r="H14" s="375"/>
      <c r="I14" s="375"/>
      <c r="J14" s="375"/>
      <c r="K14" s="375"/>
      <c r="L14" s="375"/>
      <c r="M14" s="376"/>
      <c r="N14" s="126"/>
      <c r="O14" s="126"/>
      <c r="P14" s="126"/>
      <c r="Q14" s="126"/>
      <c r="R14" s="126"/>
      <c r="S14" s="126"/>
      <c r="T14" s="126"/>
      <c r="U14" s="126"/>
      <c r="V14" s="126"/>
      <c r="W14" s="126"/>
      <c r="X14" s="126"/>
      <c r="Y14" s="126"/>
      <c r="Z14" s="126"/>
    </row>
    <row r="15" spans="1:26" x14ac:dyDescent="0.2">
      <c r="A15" s="218"/>
      <c r="B15" s="219"/>
      <c r="C15" s="375"/>
      <c r="D15" s="375"/>
      <c r="E15" s="375"/>
      <c r="F15" s="375"/>
      <c r="G15" s="375"/>
      <c r="H15" s="375"/>
      <c r="I15" s="375"/>
      <c r="J15" s="375"/>
      <c r="K15" s="375"/>
      <c r="L15" s="375"/>
      <c r="M15" s="376"/>
      <c r="N15" s="126"/>
      <c r="O15" s="126"/>
      <c r="P15" s="126"/>
      <c r="Q15" s="126"/>
      <c r="R15" s="126"/>
      <c r="S15" s="126"/>
      <c r="T15" s="126"/>
      <c r="U15" s="126"/>
      <c r="V15" s="126"/>
      <c r="W15" s="126"/>
      <c r="X15" s="126"/>
      <c r="Y15" s="126"/>
      <c r="Z15" s="126"/>
    </row>
    <row r="16" spans="1:26" x14ac:dyDescent="0.2">
      <c r="A16" s="218"/>
      <c r="B16" s="219"/>
      <c r="C16" s="375"/>
      <c r="D16" s="375"/>
      <c r="E16" s="375"/>
      <c r="F16" s="375"/>
      <c r="G16" s="375"/>
      <c r="H16" s="375"/>
      <c r="I16" s="375"/>
      <c r="J16" s="375"/>
      <c r="K16" s="375"/>
      <c r="L16" s="375"/>
      <c r="M16" s="376"/>
      <c r="N16" s="126"/>
      <c r="O16" s="126"/>
      <c r="P16" s="126"/>
      <c r="Q16" s="126"/>
      <c r="R16" s="126"/>
      <c r="S16" s="126"/>
      <c r="T16" s="126"/>
      <c r="U16" s="126"/>
      <c r="V16" s="126"/>
      <c r="W16" s="126"/>
      <c r="X16" s="126"/>
      <c r="Y16" s="126"/>
      <c r="Z16" s="126"/>
    </row>
    <row r="17" spans="1:256" x14ac:dyDescent="0.2">
      <c r="A17" s="218"/>
      <c r="B17" s="219"/>
      <c r="C17" s="375"/>
      <c r="D17" s="375"/>
      <c r="E17" s="375"/>
      <c r="F17" s="375"/>
      <c r="G17" s="375"/>
      <c r="H17" s="375"/>
      <c r="I17" s="375"/>
      <c r="J17" s="375"/>
      <c r="K17" s="375"/>
      <c r="L17" s="375"/>
      <c r="M17" s="376"/>
      <c r="N17" s="126"/>
      <c r="O17" s="126"/>
      <c r="P17" s="126"/>
      <c r="Q17" s="126"/>
      <c r="R17" s="126"/>
      <c r="S17" s="126"/>
      <c r="T17" s="126"/>
      <c r="U17" s="126"/>
      <c r="V17" s="126"/>
      <c r="W17" s="126"/>
      <c r="X17" s="126"/>
      <c r="Y17" s="126"/>
      <c r="Z17" s="126"/>
    </row>
    <row r="18" spans="1:256" x14ac:dyDescent="0.2">
      <c r="A18" s="218"/>
      <c r="B18" s="219"/>
      <c r="C18" s="375"/>
      <c r="D18" s="375"/>
      <c r="E18" s="375"/>
      <c r="F18" s="375"/>
      <c r="G18" s="375"/>
      <c r="H18" s="375"/>
      <c r="I18" s="375"/>
      <c r="J18" s="375"/>
      <c r="K18" s="375"/>
      <c r="L18" s="375"/>
      <c r="M18" s="376"/>
      <c r="N18" s="126"/>
      <c r="O18" s="126"/>
      <c r="P18" s="126"/>
      <c r="Q18" s="126"/>
      <c r="R18" s="126"/>
      <c r="S18" s="126"/>
      <c r="T18" s="126"/>
      <c r="U18" s="126"/>
      <c r="V18" s="126"/>
      <c r="W18" s="126"/>
      <c r="X18" s="126"/>
      <c r="Y18" s="126"/>
      <c r="Z18" s="126"/>
    </row>
    <row r="19" spans="1:256" x14ac:dyDescent="0.2">
      <c r="A19" s="218"/>
      <c r="B19" s="219"/>
      <c r="C19" s="375"/>
      <c r="D19" s="375"/>
      <c r="E19" s="375"/>
      <c r="F19" s="375"/>
      <c r="G19" s="375"/>
      <c r="H19" s="375"/>
      <c r="I19" s="375"/>
      <c r="J19" s="375"/>
      <c r="K19" s="375"/>
      <c r="L19" s="375"/>
      <c r="M19" s="376"/>
      <c r="N19" s="126"/>
      <c r="O19" s="126"/>
      <c r="P19" s="126"/>
      <c r="Q19" s="126"/>
      <c r="R19" s="126"/>
      <c r="S19" s="126"/>
      <c r="T19" s="126"/>
      <c r="U19" s="126"/>
      <c r="V19" s="126"/>
      <c r="W19" s="126"/>
      <c r="X19" s="126"/>
      <c r="Y19" s="126"/>
      <c r="Z19" s="126"/>
    </row>
    <row r="20" spans="1:256" x14ac:dyDescent="0.2">
      <c r="A20" s="218"/>
      <c r="B20" s="219"/>
      <c r="C20" s="375"/>
      <c r="D20" s="375"/>
      <c r="E20" s="375"/>
      <c r="F20" s="375"/>
      <c r="G20" s="375"/>
      <c r="H20" s="375"/>
      <c r="I20" s="375"/>
      <c r="J20" s="375"/>
      <c r="K20" s="375"/>
      <c r="L20" s="375"/>
      <c r="M20" s="376"/>
      <c r="N20" s="126"/>
      <c r="O20" s="126"/>
      <c r="P20" s="126"/>
      <c r="Q20" s="126"/>
      <c r="R20" s="126"/>
      <c r="S20" s="126"/>
      <c r="T20" s="126"/>
      <c r="U20" s="126"/>
      <c r="V20" s="126"/>
      <c r="W20" s="126"/>
      <c r="X20" s="126"/>
      <c r="Y20" s="126"/>
      <c r="Z20" s="126"/>
    </row>
    <row r="21" spans="1:256" x14ac:dyDescent="0.2">
      <c r="A21" s="218"/>
      <c r="B21" s="219"/>
      <c r="C21" s="375"/>
      <c r="D21" s="375"/>
      <c r="E21" s="375"/>
      <c r="F21" s="375"/>
      <c r="G21" s="375"/>
      <c r="H21" s="375"/>
      <c r="I21" s="375"/>
      <c r="J21" s="375"/>
      <c r="K21" s="375"/>
      <c r="L21" s="375"/>
      <c r="M21" s="376"/>
      <c r="N21" s="126"/>
      <c r="O21" s="126"/>
      <c r="P21" s="126"/>
      <c r="Q21" s="126"/>
      <c r="R21" s="126"/>
      <c r="S21" s="126"/>
      <c r="T21" s="126"/>
      <c r="U21" s="126"/>
      <c r="V21" s="126"/>
      <c r="W21" s="126"/>
      <c r="X21" s="126"/>
      <c r="Y21" s="126"/>
      <c r="Z21" s="126"/>
    </row>
    <row r="22" spans="1:256" x14ac:dyDescent="0.2">
      <c r="A22" s="218"/>
      <c r="B22" s="219"/>
      <c r="C22" s="375"/>
      <c r="D22" s="375"/>
      <c r="E22" s="375"/>
      <c r="F22" s="375"/>
      <c r="G22" s="375"/>
      <c r="H22" s="375"/>
      <c r="I22" s="375"/>
      <c r="J22" s="375"/>
      <c r="K22" s="375"/>
      <c r="L22" s="375"/>
      <c r="M22" s="376"/>
      <c r="N22" s="126"/>
      <c r="O22" s="126"/>
      <c r="P22" s="126"/>
      <c r="Q22" s="126"/>
      <c r="R22" s="126"/>
      <c r="S22" s="126"/>
      <c r="T22" s="126"/>
      <c r="U22" s="126"/>
      <c r="V22" s="126"/>
      <c r="W22" s="126"/>
      <c r="X22" s="126"/>
      <c r="Y22" s="126"/>
      <c r="Z22" s="126"/>
    </row>
    <row r="23" spans="1:256" x14ac:dyDescent="0.2">
      <c r="A23" s="218"/>
      <c r="B23" s="219"/>
      <c r="C23" s="375"/>
      <c r="D23" s="375"/>
      <c r="E23" s="375"/>
      <c r="F23" s="375"/>
      <c r="G23" s="375"/>
      <c r="H23" s="375"/>
      <c r="I23" s="375"/>
      <c r="J23" s="375"/>
      <c r="K23" s="375"/>
      <c r="L23" s="375"/>
      <c r="M23" s="376"/>
      <c r="N23" s="126"/>
      <c r="O23" s="126"/>
      <c r="P23" s="126"/>
      <c r="Q23" s="126"/>
      <c r="R23" s="126"/>
      <c r="S23" s="126"/>
      <c r="T23" s="126"/>
      <c r="U23" s="126"/>
      <c r="V23" s="126"/>
      <c r="W23" s="126"/>
      <c r="X23" s="126"/>
      <c r="Y23" s="126"/>
      <c r="Z23" s="126"/>
    </row>
    <row r="24" spans="1:256" x14ac:dyDescent="0.2">
      <c r="A24" s="218"/>
      <c r="B24" s="219"/>
      <c r="C24" s="375"/>
      <c r="D24" s="375"/>
      <c r="E24" s="375"/>
      <c r="F24" s="375"/>
      <c r="G24" s="375"/>
      <c r="H24" s="375"/>
      <c r="I24" s="375"/>
      <c r="J24" s="375"/>
      <c r="K24" s="375"/>
      <c r="L24" s="375"/>
      <c r="M24" s="376"/>
      <c r="N24" s="126"/>
      <c r="O24" s="126"/>
      <c r="P24" s="126"/>
      <c r="Q24" s="126"/>
      <c r="R24" s="126"/>
      <c r="S24" s="126"/>
      <c r="T24" s="126"/>
      <c r="U24" s="126"/>
      <c r="V24" s="126"/>
      <c r="W24" s="126"/>
      <c r="X24" s="126"/>
      <c r="Y24" s="126"/>
      <c r="Z24" s="126"/>
    </row>
    <row r="25" spans="1:256" x14ac:dyDescent="0.2">
      <c r="A25" s="218"/>
      <c r="B25" s="219"/>
      <c r="C25" s="375"/>
      <c r="D25" s="375"/>
      <c r="E25" s="375"/>
      <c r="F25" s="375"/>
      <c r="G25" s="375"/>
      <c r="H25" s="375"/>
      <c r="I25" s="375"/>
      <c r="J25" s="375"/>
      <c r="K25" s="375"/>
      <c r="L25" s="375"/>
      <c r="M25" s="376"/>
      <c r="N25" s="126"/>
      <c r="O25" s="126"/>
      <c r="P25" s="126"/>
      <c r="Q25" s="126"/>
      <c r="R25" s="126"/>
      <c r="S25" s="126"/>
      <c r="T25" s="126"/>
      <c r="U25" s="126"/>
      <c r="V25" s="126"/>
      <c r="W25" s="126"/>
      <c r="X25" s="126"/>
      <c r="Y25" s="126"/>
      <c r="Z25" s="126"/>
    </row>
    <row r="26" spans="1:256" x14ac:dyDescent="0.2">
      <c r="A26" s="218"/>
      <c r="B26" s="219"/>
      <c r="C26" s="375"/>
      <c r="D26" s="375"/>
      <c r="E26" s="375"/>
      <c r="F26" s="375"/>
      <c r="G26" s="375"/>
      <c r="H26" s="375"/>
      <c r="I26" s="375"/>
      <c r="J26" s="375"/>
      <c r="K26" s="375"/>
      <c r="L26" s="375"/>
      <c r="M26" s="376"/>
      <c r="N26" s="126"/>
      <c r="O26" s="126"/>
      <c r="P26" s="126"/>
      <c r="Q26" s="126"/>
      <c r="R26" s="126"/>
      <c r="S26" s="126"/>
      <c r="T26" s="126"/>
      <c r="U26" s="126"/>
      <c r="V26" s="126"/>
      <c r="W26" s="126"/>
      <c r="X26" s="126"/>
      <c r="Y26" s="126"/>
      <c r="Z26" s="126"/>
    </row>
    <row r="27" spans="1:256" x14ac:dyDescent="0.2">
      <c r="A27" s="218"/>
      <c r="B27" s="219"/>
      <c r="C27" s="375"/>
      <c r="D27" s="375"/>
      <c r="E27" s="375"/>
      <c r="F27" s="375"/>
      <c r="G27" s="375"/>
      <c r="H27" s="375"/>
      <c r="I27" s="375"/>
      <c r="J27" s="375"/>
      <c r="K27" s="375"/>
      <c r="L27" s="375"/>
      <c r="M27" s="376"/>
      <c r="N27" s="126"/>
      <c r="O27" s="126"/>
      <c r="P27" s="126"/>
      <c r="Q27" s="126"/>
      <c r="R27" s="126"/>
      <c r="S27" s="126"/>
      <c r="T27" s="126"/>
      <c r="U27" s="126"/>
      <c r="V27" s="126"/>
      <c r="W27" s="126"/>
      <c r="X27" s="126"/>
      <c r="Y27" s="126"/>
      <c r="Z27" s="126"/>
    </row>
    <row r="28" spans="1:256" x14ac:dyDescent="0.2">
      <c r="A28" s="218"/>
      <c r="B28" s="219"/>
      <c r="C28" s="375"/>
      <c r="D28" s="375"/>
      <c r="E28" s="375"/>
      <c r="F28" s="375"/>
      <c r="G28" s="375"/>
      <c r="H28" s="375"/>
      <c r="I28" s="375"/>
      <c r="J28" s="375"/>
      <c r="K28" s="375"/>
      <c r="L28" s="375"/>
      <c r="M28" s="376"/>
      <c r="N28" s="126"/>
      <c r="O28" s="126"/>
      <c r="P28" s="126"/>
      <c r="Q28" s="126"/>
      <c r="R28" s="126"/>
      <c r="S28" s="126"/>
      <c r="T28" s="126"/>
      <c r="U28" s="126"/>
      <c r="V28" s="126"/>
      <c r="W28" s="126"/>
      <c r="X28" s="126"/>
      <c r="Y28" s="126"/>
      <c r="Z28" s="126"/>
    </row>
    <row r="29" spans="1:256" x14ac:dyDescent="0.2">
      <c r="A29" s="218"/>
      <c r="B29" s="219"/>
      <c r="C29" s="375"/>
      <c r="D29" s="375"/>
      <c r="E29" s="375"/>
      <c r="F29" s="375"/>
      <c r="G29" s="375"/>
      <c r="H29" s="375"/>
      <c r="I29" s="375"/>
      <c r="J29" s="375"/>
      <c r="K29" s="375"/>
      <c r="L29" s="375"/>
      <c r="M29" s="376"/>
      <c r="N29" s="211"/>
      <c r="O29" s="211"/>
      <c r="P29" s="381"/>
      <c r="Q29" s="381"/>
      <c r="R29" s="381"/>
      <c r="S29" s="381"/>
      <c r="T29" s="381"/>
      <c r="U29" s="381"/>
      <c r="V29" s="381"/>
      <c r="W29" s="381"/>
      <c r="X29" s="381"/>
      <c r="Y29" s="381"/>
      <c r="Z29" s="381"/>
      <c r="AA29" s="207"/>
      <c r="AB29" s="207"/>
      <c r="AC29" s="380"/>
      <c r="AD29" s="380"/>
      <c r="AE29" s="380"/>
      <c r="AF29" s="380"/>
      <c r="AG29" s="380"/>
      <c r="AH29" s="380"/>
      <c r="AI29" s="380"/>
      <c r="AJ29" s="380"/>
      <c r="AK29" s="380"/>
      <c r="AL29" s="380"/>
      <c r="AM29" s="380"/>
      <c r="AN29" s="207"/>
      <c r="AO29" s="207"/>
      <c r="AP29" s="380"/>
      <c r="AQ29" s="380"/>
      <c r="AR29" s="380"/>
      <c r="AS29" s="380"/>
      <c r="AT29" s="380"/>
      <c r="AU29" s="380"/>
      <c r="AV29" s="380"/>
      <c r="AW29" s="380"/>
      <c r="AX29" s="380"/>
      <c r="AY29" s="380"/>
      <c r="AZ29" s="380"/>
      <c r="BA29" s="207"/>
      <c r="BB29" s="207"/>
      <c r="BC29" s="380"/>
      <c r="BD29" s="380"/>
      <c r="BE29" s="380"/>
      <c r="BF29" s="380"/>
      <c r="BG29" s="380"/>
      <c r="BH29" s="380"/>
      <c r="BI29" s="380"/>
      <c r="BJ29" s="380"/>
      <c r="BK29" s="380"/>
      <c r="BL29" s="380"/>
      <c r="BM29" s="380"/>
      <c r="BN29" s="207"/>
      <c r="BO29" s="207"/>
      <c r="BP29" s="380"/>
      <c r="BQ29" s="380"/>
      <c r="BR29" s="380"/>
      <c r="BS29" s="380"/>
      <c r="BT29" s="380"/>
      <c r="BU29" s="380"/>
      <c r="BV29" s="380"/>
      <c r="BW29" s="380"/>
      <c r="BX29" s="380"/>
      <c r="BY29" s="380"/>
      <c r="BZ29" s="380"/>
      <c r="CA29" s="207"/>
      <c r="CB29" s="207"/>
      <c r="CC29" s="380"/>
      <c r="CD29" s="380"/>
      <c r="CE29" s="380"/>
      <c r="CF29" s="380"/>
      <c r="CG29" s="380"/>
      <c r="CH29" s="380"/>
      <c r="CI29" s="380"/>
      <c r="CJ29" s="380"/>
      <c r="CK29" s="380"/>
      <c r="CL29" s="380"/>
      <c r="CM29" s="380"/>
      <c r="CN29" s="207"/>
      <c r="CO29" s="207"/>
      <c r="CP29" s="380"/>
      <c r="CQ29" s="380"/>
      <c r="CR29" s="380"/>
      <c r="CS29" s="380"/>
      <c r="CT29" s="380"/>
      <c r="CU29" s="380"/>
      <c r="CV29" s="380"/>
      <c r="CW29" s="380"/>
      <c r="CX29" s="380"/>
      <c r="CY29" s="380"/>
      <c r="CZ29" s="380"/>
      <c r="DA29" s="207"/>
      <c r="DB29" s="207"/>
      <c r="DC29" s="380"/>
      <c r="DD29" s="380"/>
      <c r="DE29" s="380"/>
      <c r="DF29" s="380"/>
      <c r="DG29" s="380"/>
      <c r="DH29" s="380"/>
      <c r="DI29" s="380"/>
      <c r="DJ29" s="380"/>
      <c r="DK29" s="380"/>
      <c r="DL29" s="380"/>
      <c r="DM29" s="380"/>
      <c r="DN29" s="207"/>
      <c r="DO29" s="207"/>
      <c r="DP29" s="380"/>
      <c r="DQ29" s="380"/>
      <c r="DR29" s="380"/>
      <c r="DS29" s="380"/>
      <c r="DT29" s="380"/>
      <c r="DU29" s="380"/>
      <c r="DV29" s="380"/>
      <c r="DW29" s="380"/>
      <c r="DX29" s="380"/>
      <c r="DY29" s="380"/>
      <c r="DZ29" s="380"/>
      <c r="EA29" s="207"/>
      <c r="EB29" s="207"/>
      <c r="EC29" s="380"/>
      <c r="ED29" s="380"/>
      <c r="EE29" s="380"/>
      <c r="EF29" s="380"/>
      <c r="EG29" s="380"/>
      <c r="EH29" s="380"/>
      <c r="EI29" s="380"/>
      <c r="EJ29" s="380"/>
      <c r="EK29" s="380"/>
      <c r="EL29" s="380"/>
      <c r="EM29" s="380"/>
      <c r="EN29" s="207"/>
      <c r="EO29" s="207"/>
      <c r="EP29" s="380"/>
      <c r="EQ29" s="380"/>
      <c r="ER29" s="380"/>
      <c r="ES29" s="380"/>
      <c r="ET29" s="380"/>
      <c r="EU29" s="380"/>
      <c r="EV29" s="380"/>
      <c r="EW29" s="380"/>
      <c r="EX29" s="380"/>
      <c r="EY29" s="380"/>
      <c r="EZ29" s="380"/>
      <c r="FA29" s="207"/>
      <c r="FB29" s="207"/>
      <c r="FC29" s="380"/>
      <c r="FD29" s="380"/>
      <c r="FE29" s="380"/>
      <c r="FF29" s="380"/>
      <c r="FG29" s="380"/>
      <c r="FH29" s="380"/>
      <c r="FI29" s="380"/>
      <c r="FJ29" s="380"/>
      <c r="FK29" s="380"/>
      <c r="FL29" s="380"/>
      <c r="FM29" s="380"/>
      <c r="FN29" s="207"/>
      <c r="FO29" s="207"/>
      <c r="FP29" s="380"/>
      <c r="FQ29" s="380"/>
      <c r="FR29" s="380"/>
      <c r="FS29" s="380"/>
      <c r="FT29" s="380"/>
      <c r="FU29" s="380"/>
      <c r="FV29" s="380"/>
      <c r="FW29" s="380"/>
      <c r="FX29" s="380"/>
      <c r="FY29" s="380"/>
      <c r="FZ29" s="380"/>
      <c r="GA29" s="207"/>
      <c r="GB29" s="207"/>
      <c r="GC29" s="380"/>
      <c r="GD29" s="380"/>
      <c r="GE29" s="380"/>
      <c r="GF29" s="380"/>
      <c r="GG29" s="380"/>
      <c r="GH29" s="380"/>
      <c r="GI29" s="380"/>
      <c r="GJ29" s="380"/>
      <c r="GK29" s="380"/>
      <c r="GL29" s="380"/>
      <c r="GM29" s="380"/>
      <c r="GN29" s="207"/>
      <c r="GO29" s="207"/>
      <c r="GP29" s="380"/>
      <c r="GQ29" s="380"/>
      <c r="GR29" s="380"/>
      <c r="GS29" s="380"/>
      <c r="GT29" s="380"/>
      <c r="GU29" s="380"/>
      <c r="GV29" s="380"/>
      <c r="GW29" s="380"/>
      <c r="GX29" s="380"/>
      <c r="GY29" s="380"/>
      <c r="GZ29" s="380"/>
      <c r="HA29" s="207"/>
      <c r="HB29" s="207"/>
      <c r="HC29" s="380"/>
      <c r="HD29" s="380"/>
      <c r="HE29" s="380"/>
      <c r="HF29" s="380"/>
      <c r="HG29" s="380"/>
      <c r="HH29" s="380"/>
      <c r="HI29" s="380"/>
      <c r="HJ29" s="380"/>
      <c r="HK29" s="380"/>
      <c r="HL29" s="380"/>
      <c r="HM29" s="380"/>
      <c r="HN29" s="207"/>
      <c r="HO29" s="207"/>
      <c r="HP29" s="380"/>
      <c r="HQ29" s="380"/>
      <c r="HR29" s="380"/>
      <c r="HS29" s="380"/>
      <c r="HT29" s="380"/>
      <c r="HU29" s="380"/>
      <c r="HV29" s="380"/>
      <c r="HW29" s="380"/>
      <c r="HX29" s="380"/>
      <c r="HY29" s="380"/>
      <c r="HZ29" s="380"/>
      <c r="IA29" s="207"/>
      <c r="IB29" s="207"/>
      <c r="IC29" s="380"/>
      <c r="ID29" s="380"/>
      <c r="IE29" s="380"/>
      <c r="IF29" s="380"/>
      <c r="IG29" s="380"/>
      <c r="IH29" s="380"/>
      <c r="II29" s="380"/>
      <c r="IJ29" s="380"/>
      <c r="IK29" s="380"/>
      <c r="IL29" s="380"/>
      <c r="IM29" s="380"/>
      <c r="IN29" s="207"/>
      <c r="IO29" s="207"/>
      <c r="IP29" s="380"/>
      <c r="IQ29" s="380"/>
      <c r="IR29" s="380"/>
      <c r="IS29" s="380"/>
      <c r="IT29" s="380"/>
      <c r="IU29" s="380"/>
      <c r="IV29" s="380"/>
    </row>
    <row r="30" spans="1:256" x14ac:dyDescent="0.2">
      <c r="A30" s="218"/>
      <c r="B30" s="219"/>
      <c r="C30" s="375"/>
      <c r="D30" s="375"/>
      <c r="E30" s="375"/>
      <c r="F30" s="375"/>
      <c r="G30" s="375"/>
      <c r="H30" s="375"/>
      <c r="I30" s="375"/>
      <c r="J30" s="375"/>
      <c r="K30" s="375"/>
      <c r="L30" s="375"/>
      <c r="M30" s="376"/>
      <c r="N30" s="211"/>
      <c r="O30" s="211"/>
      <c r="P30" s="381"/>
      <c r="Q30" s="381"/>
      <c r="R30" s="381"/>
      <c r="S30" s="381"/>
      <c r="T30" s="381"/>
      <c r="U30" s="381"/>
      <c r="V30" s="381"/>
      <c r="W30" s="381"/>
      <c r="X30" s="381"/>
      <c r="Y30" s="381"/>
      <c r="Z30" s="381"/>
      <c r="AA30" s="207"/>
      <c r="AB30" s="207"/>
      <c r="AC30" s="380"/>
      <c r="AD30" s="380"/>
      <c r="AE30" s="380"/>
      <c r="AF30" s="380"/>
      <c r="AG30" s="380"/>
      <c r="AH30" s="380"/>
      <c r="AI30" s="380"/>
      <c r="AJ30" s="380"/>
      <c r="AK30" s="380"/>
      <c r="AL30" s="380"/>
      <c r="AM30" s="380"/>
      <c r="AN30" s="207"/>
      <c r="AO30" s="207"/>
      <c r="AP30" s="380"/>
      <c r="AQ30" s="380"/>
      <c r="AR30" s="380"/>
      <c r="AS30" s="380"/>
      <c r="AT30" s="380"/>
      <c r="AU30" s="380"/>
      <c r="AV30" s="380"/>
      <c r="AW30" s="380"/>
      <c r="AX30" s="380"/>
      <c r="AY30" s="380"/>
      <c r="AZ30" s="380"/>
      <c r="BA30" s="207"/>
      <c r="BB30" s="207"/>
      <c r="BC30" s="380"/>
      <c r="BD30" s="380"/>
      <c r="BE30" s="380"/>
      <c r="BF30" s="380"/>
      <c r="BG30" s="380"/>
      <c r="BH30" s="380"/>
      <c r="BI30" s="380"/>
      <c r="BJ30" s="380"/>
      <c r="BK30" s="380"/>
      <c r="BL30" s="380"/>
      <c r="BM30" s="380"/>
      <c r="BN30" s="207"/>
      <c r="BO30" s="207"/>
      <c r="BP30" s="380"/>
      <c r="BQ30" s="380"/>
      <c r="BR30" s="380"/>
      <c r="BS30" s="380"/>
      <c r="BT30" s="380"/>
      <c r="BU30" s="380"/>
      <c r="BV30" s="380"/>
      <c r="BW30" s="380"/>
      <c r="BX30" s="380"/>
      <c r="BY30" s="380"/>
      <c r="BZ30" s="380"/>
      <c r="CA30" s="207"/>
      <c r="CB30" s="207"/>
      <c r="CC30" s="380"/>
      <c r="CD30" s="380"/>
      <c r="CE30" s="380"/>
      <c r="CF30" s="380"/>
      <c r="CG30" s="380"/>
      <c r="CH30" s="380"/>
      <c r="CI30" s="380"/>
      <c r="CJ30" s="380"/>
      <c r="CK30" s="380"/>
      <c r="CL30" s="380"/>
      <c r="CM30" s="380"/>
      <c r="CN30" s="207"/>
      <c r="CO30" s="207"/>
      <c r="CP30" s="380"/>
      <c r="CQ30" s="380"/>
      <c r="CR30" s="380"/>
      <c r="CS30" s="380"/>
      <c r="CT30" s="380"/>
      <c r="CU30" s="380"/>
      <c r="CV30" s="380"/>
      <c r="CW30" s="380"/>
      <c r="CX30" s="380"/>
      <c r="CY30" s="380"/>
      <c r="CZ30" s="380"/>
      <c r="DA30" s="207"/>
      <c r="DB30" s="207"/>
      <c r="DC30" s="380"/>
      <c r="DD30" s="380"/>
      <c r="DE30" s="380"/>
      <c r="DF30" s="380"/>
      <c r="DG30" s="380"/>
      <c r="DH30" s="380"/>
      <c r="DI30" s="380"/>
      <c r="DJ30" s="380"/>
      <c r="DK30" s="380"/>
      <c r="DL30" s="380"/>
      <c r="DM30" s="380"/>
      <c r="DN30" s="207"/>
      <c r="DO30" s="207"/>
      <c r="DP30" s="380"/>
      <c r="DQ30" s="380"/>
      <c r="DR30" s="380"/>
      <c r="DS30" s="380"/>
      <c r="DT30" s="380"/>
      <c r="DU30" s="380"/>
      <c r="DV30" s="380"/>
      <c r="DW30" s="380"/>
      <c r="DX30" s="380"/>
      <c r="DY30" s="380"/>
      <c r="DZ30" s="380"/>
      <c r="EA30" s="207"/>
      <c r="EB30" s="207"/>
      <c r="EC30" s="380"/>
      <c r="ED30" s="380"/>
      <c r="EE30" s="380"/>
      <c r="EF30" s="380"/>
      <c r="EG30" s="380"/>
      <c r="EH30" s="380"/>
      <c r="EI30" s="380"/>
      <c r="EJ30" s="380"/>
      <c r="EK30" s="380"/>
      <c r="EL30" s="380"/>
      <c r="EM30" s="380"/>
      <c r="EN30" s="207"/>
      <c r="EO30" s="207"/>
      <c r="EP30" s="380"/>
      <c r="EQ30" s="380"/>
      <c r="ER30" s="380"/>
      <c r="ES30" s="380"/>
      <c r="ET30" s="380"/>
      <c r="EU30" s="380"/>
      <c r="EV30" s="380"/>
      <c r="EW30" s="380"/>
      <c r="EX30" s="380"/>
      <c r="EY30" s="380"/>
      <c r="EZ30" s="380"/>
      <c r="FA30" s="207"/>
      <c r="FB30" s="207"/>
      <c r="FC30" s="380"/>
      <c r="FD30" s="380"/>
      <c r="FE30" s="380"/>
      <c r="FF30" s="380"/>
      <c r="FG30" s="380"/>
      <c r="FH30" s="380"/>
      <c r="FI30" s="380"/>
      <c r="FJ30" s="380"/>
      <c r="FK30" s="380"/>
      <c r="FL30" s="380"/>
      <c r="FM30" s="380"/>
      <c r="FN30" s="207"/>
      <c r="FO30" s="207"/>
      <c r="FP30" s="380"/>
      <c r="FQ30" s="380"/>
      <c r="FR30" s="380"/>
      <c r="FS30" s="380"/>
      <c r="FT30" s="380"/>
      <c r="FU30" s="380"/>
      <c r="FV30" s="380"/>
      <c r="FW30" s="380"/>
      <c r="FX30" s="380"/>
      <c r="FY30" s="380"/>
      <c r="FZ30" s="380"/>
      <c r="GA30" s="207"/>
      <c r="GB30" s="207"/>
      <c r="GC30" s="380"/>
      <c r="GD30" s="380"/>
      <c r="GE30" s="380"/>
      <c r="GF30" s="380"/>
      <c r="GG30" s="380"/>
      <c r="GH30" s="380"/>
      <c r="GI30" s="380"/>
      <c r="GJ30" s="380"/>
      <c r="GK30" s="380"/>
      <c r="GL30" s="380"/>
      <c r="GM30" s="380"/>
      <c r="GN30" s="207"/>
      <c r="GO30" s="207"/>
      <c r="GP30" s="380"/>
      <c r="GQ30" s="380"/>
      <c r="GR30" s="380"/>
      <c r="GS30" s="380"/>
      <c r="GT30" s="380"/>
      <c r="GU30" s="380"/>
      <c r="GV30" s="380"/>
      <c r="GW30" s="380"/>
      <c r="GX30" s="380"/>
      <c r="GY30" s="380"/>
      <c r="GZ30" s="380"/>
      <c r="HA30" s="207"/>
      <c r="HB30" s="207"/>
      <c r="HC30" s="380"/>
      <c r="HD30" s="380"/>
      <c r="HE30" s="380"/>
      <c r="HF30" s="380"/>
      <c r="HG30" s="380"/>
      <c r="HH30" s="380"/>
      <c r="HI30" s="380"/>
      <c r="HJ30" s="380"/>
      <c r="HK30" s="380"/>
      <c r="HL30" s="380"/>
      <c r="HM30" s="380"/>
      <c r="HN30" s="207"/>
      <c r="HO30" s="207"/>
      <c r="HP30" s="380"/>
      <c r="HQ30" s="380"/>
      <c r="HR30" s="380"/>
      <c r="HS30" s="380"/>
      <c r="HT30" s="380"/>
      <c r="HU30" s="380"/>
      <c r="HV30" s="380"/>
      <c r="HW30" s="380"/>
      <c r="HX30" s="380"/>
      <c r="HY30" s="380"/>
      <c r="HZ30" s="380"/>
      <c r="IA30" s="207"/>
      <c r="IB30" s="207"/>
      <c r="IC30" s="380"/>
      <c r="ID30" s="380"/>
      <c r="IE30" s="380"/>
      <c r="IF30" s="380"/>
      <c r="IG30" s="380"/>
      <c r="IH30" s="380"/>
      <c r="II30" s="380"/>
      <c r="IJ30" s="380"/>
      <c r="IK30" s="380"/>
      <c r="IL30" s="380"/>
      <c r="IM30" s="380"/>
      <c r="IN30" s="207"/>
      <c r="IO30" s="207"/>
      <c r="IP30" s="380"/>
      <c r="IQ30" s="380"/>
      <c r="IR30" s="380"/>
      <c r="IS30" s="380"/>
      <c r="IT30" s="380"/>
      <c r="IU30" s="380"/>
      <c r="IV30" s="380"/>
    </row>
    <row r="31" spans="1:256" x14ac:dyDescent="0.2">
      <c r="A31" s="218"/>
      <c r="B31" s="219"/>
      <c r="C31" s="375"/>
      <c r="D31" s="375"/>
      <c r="E31" s="375"/>
      <c r="F31" s="375"/>
      <c r="G31" s="375"/>
      <c r="H31" s="375"/>
      <c r="I31" s="375"/>
      <c r="J31" s="375"/>
      <c r="K31" s="375"/>
      <c r="L31" s="375"/>
      <c r="M31" s="376"/>
      <c r="N31" s="211"/>
      <c r="O31" s="211"/>
      <c r="P31" s="381"/>
      <c r="Q31" s="381"/>
      <c r="R31" s="381"/>
      <c r="S31" s="381"/>
      <c r="T31" s="381"/>
      <c r="U31" s="381"/>
      <c r="V31" s="381"/>
      <c r="W31" s="381"/>
      <c r="X31" s="381"/>
      <c r="Y31" s="381"/>
      <c r="Z31" s="381"/>
      <c r="AA31" s="207"/>
      <c r="AB31" s="207"/>
      <c r="AC31" s="380"/>
      <c r="AD31" s="380"/>
      <c r="AE31" s="380"/>
      <c r="AF31" s="380"/>
      <c r="AG31" s="380"/>
      <c r="AH31" s="380"/>
      <c r="AI31" s="380"/>
      <c r="AJ31" s="380"/>
      <c r="AK31" s="380"/>
      <c r="AL31" s="380"/>
      <c r="AM31" s="380"/>
      <c r="AN31" s="207"/>
      <c r="AO31" s="207"/>
      <c r="AP31" s="380"/>
      <c r="AQ31" s="380"/>
      <c r="AR31" s="380"/>
      <c r="AS31" s="380"/>
      <c r="AT31" s="380"/>
      <c r="AU31" s="380"/>
      <c r="AV31" s="380"/>
      <c r="AW31" s="380"/>
      <c r="AX31" s="380"/>
      <c r="AY31" s="380"/>
      <c r="AZ31" s="380"/>
      <c r="BA31" s="207"/>
      <c r="BB31" s="207"/>
      <c r="BC31" s="380"/>
      <c r="BD31" s="380"/>
      <c r="BE31" s="380"/>
      <c r="BF31" s="380"/>
      <c r="BG31" s="380"/>
      <c r="BH31" s="380"/>
      <c r="BI31" s="380"/>
      <c r="BJ31" s="380"/>
      <c r="BK31" s="380"/>
      <c r="BL31" s="380"/>
      <c r="BM31" s="380"/>
      <c r="BN31" s="207"/>
      <c r="BO31" s="207"/>
      <c r="BP31" s="380"/>
      <c r="BQ31" s="380"/>
      <c r="BR31" s="380"/>
      <c r="BS31" s="380"/>
      <c r="BT31" s="380"/>
      <c r="BU31" s="380"/>
      <c r="BV31" s="380"/>
      <c r="BW31" s="380"/>
      <c r="BX31" s="380"/>
      <c r="BY31" s="380"/>
      <c r="BZ31" s="380"/>
      <c r="CA31" s="207"/>
      <c r="CB31" s="207"/>
      <c r="CC31" s="380"/>
      <c r="CD31" s="380"/>
      <c r="CE31" s="380"/>
      <c r="CF31" s="380"/>
      <c r="CG31" s="380"/>
      <c r="CH31" s="380"/>
      <c r="CI31" s="380"/>
      <c r="CJ31" s="380"/>
      <c r="CK31" s="380"/>
      <c r="CL31" s="380"/>
      <c r="CM31" s="380"/>
      <c r="CN31" s="207"/>
      <c r="CO31" s="207"/>
      <c r="CP31" s="380"/>
      <c r="CQ31" s="380"/>
      <c r="CR31" s="380"/>
      <c r="CS31" s="380"/>
      <c r="CT31" s="380"/>
      <c r="CU31" s="380"/>
      <c r="CV31" s="380"/>
      <c r="CW31" s="380"/>
      <c r="CX31" s="380"/>
      <c r="CY31" s="380"/>
      <c r="CZ31" s="380"/>
      <c r="DA31" s="207"/>
      <c r="DB31" s="207"/>
      <c r="DC31" s="380"/>
      <c r="DD31" s="380"/>
      <c r="DE31" s="380"/>
      <c r="DF31" s="380"/>
      <c r="DG31" s="380"/>
      <c r="DH31" s="380"/>
      <c r="DI31" s="380"/>
      <c r="DJ31" s="380"/>
      <c r="DK31" s="380"/>
      <c r="DL31" s="380"/>
      <c r="DM31" s="380"/>
      <c r="DN31" s="207"/>
      <c r="DO31" s="207"/>
      <c r="DP31" s="380"/>
      <c r="DQ31" s="380"/>
      <c r="DR31" s="380"/>
      <c r="DS31" s="380"/>
      <c r="DT31" s="380"/>
      <c r="DU31" s="380"/>
      <c r="DV31" s="380"/>
      <c r="DW31" s="380"/>
      <c r="DX31" s="380"/>
      <c r="DY31" s="380"/>
      <c r="DZ31" s="380"/>
      <c r="EA31" s="207"/>
      <c r="EB31" s="207"/>
      <c r="EC31" s="380"/>
      <c r="ED31" s="380"/>
      <c r="EE31" s="380"/>
      <c r="EF31" s="380"/>
      <c r="EG31" s="380"/>
      <c r="EH31" s="380"/>
      <c r="EI31" s="380"/>
      <c r="EJ31" s="380"/>
      <c r="EK31" s="380"/>
      <c r="EL31" s="380"/>
      <c r="EM31" s="380"/>
      <c r="EN31" s="207"/>
      <c r="EO31" s="207"/>
      <c r="EP31" s="380"/>
      <c r="EQ31" s="380"/>
      <c r="ER31" s="380"/>
      <c r="ES31" s="380"/>
      <c r="ET31" s="380"/>
      <c r="EU31" s="380"/>
      <c r="EV31" s="380"/>
      <c r="EW31" s="380"/>
      <c r="EX31" s="380"/>
      <c r="EY31" s="380"/>
      <c r="EZ31" s="380"/>
      <c r="FA31" s="207"/>
      <c r="FB31" s="207"/>
      <c r="FC31" s="380"/>
      <c r="FD31" s="380"/>
      <c r="FE31" s="380"/>
      <c r="FF31" s="380"/>
      <c r="FG31" s="380"/>
      <c r="FH31" s="380"/>
      <c r="FI31" s="380"/>
      <c r="FJ31" s="380"/>
      <c r="FK31" s="380"/>
      <c r="FL31" s="380"/>
      <c r="FM31" s="380"/>
      <c r="FN31" s="207"/>
      <c r="FO31" s="207"/>
      <c r="FP31" s="380"/>
      <c r="FQ31" s="380"/>
      <c r="FR31" s="380"/>
      <c r="FS31" s="380"/>
      <c r="FT31" s="380"/>
      <c r="FU31" s="380"/>
      <c r="FV31" s="380"/>
      <c r="FW31" s="380"/>
      <c r="FX31" s="380"/>
      <c r="FY31" s="380"/>
      <c r="FZ31" s="380"/>
      <c r="GA31" s="207"/>
      <c r="GB31" s="207"/>
      <c r="GC31" s="380"/>
      <c r="GD31" s="380"/>
      <c r="GE31" s="380"/>
      <c r="GF31" s="380"/>
      <c r="GG31" s="380"/>
      <c r="GH31" s="380"/>
      <c r="GI31" s="380"/>
      <c r="GJ31" s="380"/>
      <c r="GK31" s="380"/>
      <c r="GL31" s="380"/>
      <c r="GM31" s="380"/>
      <c r="GN31" s="207"/>
      <c r="GO31" s="207"/>
      <c r="GP31" s="380"/>
      <c r="GQ31" s="380"/>
      <c r="GR31" s="380"/>
      <c r="GS31" s="380"/>
      <c r="GT31" s="380"/>
      <c r="GU31" s="380"/>
      <c r="GV31" s="380"/>
      <c r="GW31" s="380"/>
      <c r="GX31" s="380"/>
      <c r="GY31" s="380"/>
      <c r="GZ31" s="380"/>
      <c r="HA31" s="207"/>
      <c r="HB31" s="207"/>
      <c r="HC31" s="380"/>
      <c r="HD31" s="380"/>
      <c r="HE31" s="380"/>
      <c r="HF31" s="380"/>
      <c r="HG31" s="380"/>
      <c r="HH31" s="380"/>
      <c r="HI31" s="380"/>
      <c r="HJ31" s="380"/>
      <c r="HK31" s="380"/>
      <c r="HL31" s="380"/>
      <c r="HM31" s="380"/>
      <c r="HN31" s="207"/>
      <c r="HO31" s="207"/>
      <c r="HP31" s="380"/>
      <c r="HQ31" s="380"/>
      <c r="HR31" s="380"/>
      <c r="HS31" s="380"/>
      <c r="HT31" s="380"/>
      <c r="HU31" s="380"/>
      <c r="HV31" s="380"/>
      <c r="HW31" s="380"/>
      <c r="HX31" s="380"/>
      <c r="HY31" s="380"/>
      <c r="HZ31" s="380"/>
      <c r="IA31" s="207"/>
      <c r="IB31" s="207"/>
      <c r="IC31" s="380"/>
      <c r="ID31" s="380"/>
      <c r="IE31" s="380"/>
      <c r="IF31" s="380"/>
      <c r="IG31" s="380"/>
      <c r="IH31" s="380"/>
      <c r="II31" s="380"/>
      <c r="IJ31" s="380"/>
      <c r="IK31" s="380"/>
      <c r="IL31" s="380"/>
      <c r="IM31" s="380"/>
      <c r="IN31" s="207"/>
      <c r="IO31" s="207"/>
      <c r="IP31" s="380"/>
      <c r="IQ31" s="380"/>
      <c r="IR31" s="380"/>
      <c r="IS31" s="380"/>
      <c r="IT31" s="380"/>
      <c r="IU31" s="380"/>
      <c r="IV31" s="380"/>
    </row>
    <row r="32" spans="1:256" x14ac:dyDescent="0.2">
      <c r="A32" s="218"/>
      <c r="B32" s="219"/>
      <c r="C32" s="375"/>
      <c r="D32" s="375"/>
      <c r="E32" s="375"/>
      <c r="F32" s="375"/>
      <c r="G32" s="375"/>
      <c r="H32" s="375"/>
      <c r="I32" s="375"/>
      <c r="J32" s="375"/>
      <c r="K32" s="375"/>
      <c r="L32" s="375"/>
      <c r="M32" s="376"/>
      <c r="N32" s="223"/>
      <c r="O32" s="223"/>
      <c r="P32" s="382"/>
      <c r="Q32" s="382"/>
      <c r="R32" s="382"/>
      <c r="S32" s="382"/>
      <c r="T32" s="382"/>
      <c r="U32" s="382"/>
      <c r="V32" s="382"/>
      <c r="W32" s="382"/>
      <c r="X32" s="382"/>
      <c r="Y32" s="382"/>
      <c r="Z32" s="383"/>
      <c r="AA32" s="218"/>
      <c r="AB32" s="219"/>
      <c r="AC32" s="375"/>
      <c r="AD32" s="375"/>
      <c r="AE32" s="375"/>
      <c r="AF32" s="375"/>
      <c r="AG32" s="375"/>
      <c r="AH32" s="375"/>
      <c r="AI32" s="375"/>
      <c r="AJ32" s="375"/>
      <c r="AK32" s="375"/>
      <c r="AL32" s="375"/>
      <c r="AM32" s="376"/>
      <c r="AN32" s="218"/>
      <c r="AO32" s="219"/>
      <c r="AP32" s="375"/>
      <c r="AQ32" s="375"/>
      <c r="AR32" s="375"/>
      <c r="AS32" s="375"/>
      <c r="AT32" s="375"/>
      <c r="AU32" s="375"/>
      <c r="AV32" s="375"/>
      <c r="AW32" s="375"/>
      <c r="AX32" s="375"/>
      <c r="AY32" s="375"/>
      <c r="AZ32" s="376"/>
      <c r="BA32" s="218"/>
      <c r="BB32" s="219"/>
      <c r="BC32" s="375"/>
      <c r="BD32" s="375"/>
      <c r="BE32" s="375"/>
      <c r="BF32" s="375"/>
      <c r="BG32" s="375"/>
      <c r="BH32" s="375"/>
      <c r="BI32" s="375"/>
      <c r="BJ32" s="375"/>
      <c r="BK32" s="375"/>
      <c r="BL32" s="375"/>
      <c r="BM32" s="376"/>
      <c r="BN32" s="218"/>
      <c r="BO32" s="219"/>
      <c r="BP32" s="375"/>
      <c r="BQ32" s="375"/>
      <c r="BR32" s="375"/>
      <c r="BS32" s="375"/>
      <c r="BT32" s="375"/>
      <c r="BU32" s="375"/>
      <c r="BV32" s="375"/>
      <c r="BW32" s="375"/>
      <c r="BX32" s="375"/>
      <c r="BY32" s="375"/>
      <c r="BZ32" s="376"/>
      <c r="CA32" s="218"/>
      <c r="CB32" s="219"/>
      <c r="CC32" s="375"/>
      <c r="CD32" s="375"/>
      <c r="CE32" s="375"/>
      <c r="CF32" s="375"/>
      <c r="CG32" s="375"/>
      <c r="CH32" s="375"/>
      <c r="CI32" s="375"/>
      <c r="CJ32" s="375"/>
      <c r="CK32" s="375"/>
      <c r="CL32" s="375"/>
      <c r="CM32" s="376"/>
      <c r="CN32" s="218"/>
      <c r="CO32" s="219"/>
      <c r="CP32" s="375"/>
      <c r="CQ32" s="375"/>
      <c r="CR32" s="375"/>
      <c r="CS32" s="375"/>
      <c r="CT32" s="375"/>
      <c r="CU32" s="375"/>
      <c r="CV32" s="375"/>
      <c r="CW32" s="375"/>
      <c r="CX32" s="375"/>
      <c r="CY32" s="375"/>
      <c r="CZ32" s="376"/>
      <c r="DA32" s="218"/>
      <c r="DB32" s="219"/>
      <c r="DC32" s="375"/>
      <c r="DD32" s="375"/>
      <c r="DE32" s="375"/>
      <c r="DF32" s="375"/>
      <c r="DG32" s="375"/>
      <c r="DH32" s="375"/>
      <c r="DI32" s="375"/>
      <c r="DJ32" s="375"/>
      <c r="DK32" s="375"/>
      <c r="DL32" s="375"/>
      <c r="DM32" s="376"/>
      <c r="DN32" s="218"/>
      <c r="DO32" s="219"/>
      <c r="DP32" s="375"/>
      <c r="DQ32" s="375"/>
      <c r="DR32" s="375"/>
      <c r="DS32" s="375"/>
      <c r="DT32" s="375"/>
      <c r="DU32" s="375"/>
      <c r="DV32" s="375"/>
      <c r="DW32" s="375"/>
      <c r="DX32" s="375"/>
      <c r="DY32" s="375"/>
      <c r="DZ32" s="376"/>
      <c r="EA32" s="218"/>
      <c r="EB32" s="219"/>
      <c r="EC32" s="375"/>
      <c r="ED32" s="375"/>
      <c r="EE32" s="375"/>
      <c r="EF32" s="375"/>
      <c r="EG32" s="375"/>
      <c r="EH32" s="375"/>
      <c r="EI32" s="375"/>
      <c r="EJ32" s="375"/>
      <c r="EK32" s="375"/>
      <c r="EL32" s="375"/>
      <c r="EM32" s="376"/>
      <c r="EN32" s="218"/>
      <c r="EO32" s="219"/>
      <c r="EP32" s="375"/>
      <c r="EQ32" s="375"/>
      <c r="ER32" s="375"/>
      <c r="ES32" s="375"/>
      <c r="ET32" s="375"/>
      <c r="EU32" s="375"/>
      <c r="EV32" s="375"/>
      <c r="EW32" s="375"/>
      <c r="EX32" s="375"/>
      <c r="EY32" s="375"/>
      <c r="EZ32" s="376"/>
      <c r="FA32" s="218"/>
      <c r="FB32" s="219"/>
      <c r="FC32" s="375"/>
      <c r="FD32" s="375"/>
      <c r="FE32" s="375"/>
      <c r="FF32" s="375"/>
      <c r="FG32" s="375"/>
      <c r="FH32" s="375"/>
      <c r="FI32" s="375"/>
      <c r="FJ32" s="375"/>
      <c r="FK32" s="375"/>
      <c r="FL32" s="375"/>
      <c r="FM32" s="376"/>
      <c r="FN32" s="218"/>
      <c r="FO32" s="219"/>
      <c r="FP32" s="375"/>
      <c r="FQ32" s="375"/>
      <c r="FR32" s="375"/>
      <c r="FS32" s="375"/>
      <c r="FT32" s="375"/>
      <c r="FU32" s="375"/>
      <c r="FV32" s="375"/>
      <c r="FW32" s="375"/>
      <c r="FX32" s="375"/>
      <c r="FY32" s="375"/>
      <c r="FZ32" s="376"/>
      <c r="GA32" s="218"/>
      <c r="GB32" s="219"/>
      <c r="GC32" s="375"/>
      <c r="GD32" s="375"/>
      <c r="GE32" s="375"/>
      <c r="GF32" s="375"/>
      <c r="GG32" s="375"/>
      <c r="GH32" s="375"/>
      <c r="GI32" s="375"/>
      <c r="GJ32" s="375"/>
      <c r="GK32" s="375"/>
      <c r="GL32" s="375"/>
      <c r="GM32" s="376"/>
      <c r="GN32" s="218"/>
      <c r="GO32" s="219"/>
      <c r="GP32" s="375"/>
      <c r="GQ32" s="375"/>
      <c r="GR32" s="375"/>
      <c r="GS32" s="375"/>
      <c r="GT32" s="375"/>
      <c r="GU32" s="375"/>
      <c r="GV32" s="375"/>
      <c r="GW32" s="375"/>
      <c r="GX32" s="375"/>
      <c r="GY32" s="375"/>
      <c r="GZ32" s="376"/>
      <c r="HA32" s="218"/>
      <c r="HB32" s="219"/>
      <c r="HC32" s="375"/>
      <c r="HD32" s="375"/>
      <c r="HE32" s="375"/>
      <c r="HF32" s="375"/>
      <c r="HG32" s="375"/>
      <c r="HH32" s="375"/>
      <c r="HI32" s="375"/>
      <c r="HJ32" s="375"/>
      <c r="HK32" s="375"/>
      <c r="HL32" s="375"/>
      <c r="HM32" s="376"/>
      <c r="HN32" s="218"/>
      <c r="HO32" s="219"/>
      <c r="HP32" s="375"/>
      <c r="HQ32" s="375"/>
      <c r="HR32" s="375"/>
      <c r="HS32" s="375"/>
      <c r="HT32" s="375"/>
      <c r="HU32" s="375"/>
      <c r="HV32" s="375"/>
      <c r="HW32" s="375"/>
      <c r="HX32" s="375"/>
      <c r="HY32" s="375"/>
      <c r="HZ32" s="376"/>
      <c r="IA32" s="218"/>
      <c r="IB32" s="219"/>
      <c r="IC32" s="375"/>
      <c r="ID32" s="375"/>
      <c r="IE32" s="375"/>
      <c r="IF32" s="375"/>
      <c r="IG32" s="375"/>
      <c r="IH32" s="375"/>
      <c r="II32" s="375"/>
      <c r="IJ32" s="375"/>
      <c r="IK32" s="375"/>
      <c r="IL32" s="375"/>
      <c r="IM32" s="376"/>
      <c r="IN32" s="218"/>
      <c r="IO32" s="219"/>
      <c r="IP32" s="375"/>
      <c r="IQ32" s="375"/>
      <c r="IR32" s="375"/>
      <c r="IS32" s="375"/>
      <c r="IT32" s="375"/>
      <c r="IU32" s="375"/>
      <c r="IV32" s="375"/>
    </row>
    <row r="33" spans="1:256" x14ac:dyDescent="0.2">
      <c r="A33" s="218"/>
      <c r="B33" s="219"/>
      <c r="C33" s="375"/>
      <c r="D33" s="375"/>
      <c r="E33" s="375"/>
      <c r="F33" s="375"/>
      <c r="G33" s="375"/>
      <c r="H33" s="375"/>
      <c r="I33" s="375"/>
      <c r="J33" s="375"/>
      <c r="K33" s="375"/>
      <c r="L33" s="375"/>
      <c r="M33" s="37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5"/>
      <c r="D34" s="375"/>
      <c r="E34" s="375"/>
      <c r="F34" s="375"/>
      <c r="G34" s="375"/>
      <c r="H34" s="375"/>
      <c r="I34" s="375"/>
      <c r="J34" s="375"/>
      <c r="K34" s="375"/>
      <c r="L34" s="375"/>
      <c r="M34" s="37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5"/>
      <c r="D35" s="375"/>
      <c r="E35" s="375"/>
      <c r="F35" s="375"/>
      <c r="G35" s="375"/>
      <c r="H35" s="375"/>
      <c r="I35" s="375"/>
      <c r="J35" s="375"/>
      <c r="K35" s="375"/>
      <c r="L35" s="375"/>
      <c r="M35" s="37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5"/>
      <c r="D36" s="375"/>
      <c r="E36" s="375"/>
      <c r="F36" s="375"/>
      <c r="G36" s="375"/>
      <c r="H36" s="375"/>
      <c r="I36" s="375"/>
      <c r="J36" s="375"/>
      <c r="K36" s="375"/>
      <c r="L36" s="375"/>
      <c r="M36" s="37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5"/>
      <c r="D37" s="375"/>
      <c r="E37" s="375"/>
      <c r="F37" s="375"/>
      <c r="G37" s="375"/>
      <c r="H37" s="375"/>
      <c r="I37" s="375"/>
      <c r="J37" s="375"/>
      <c r="K37" s="375"/>
      <c r="L37" s="375"/>
      <c r="M37" s="37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5"/>
      <c r="D38" s="375"/>
      <c r="E38" s="375"/>
      <c r="F38" s="375"/>
      <c r="G38" s="375"/>
      <c r="H38" s="375"/>
      <c r="I38" s="375"/>
      <c r="J38" s="375"/>
      <c r="K38" s="375"/>
      <c r="L38" s="375"/>
      <c r="M38" s="376"/>
      <c r="N38" s="211"/>
      <c r="O38" s="211"/>
      <c r="P38" s="381"/>
      <c r="Q38" s="381"/>
      <c r="R38" s="381"/>
      <c r="S38" s="381"/>
      <c r="T38" s="381"/>
      <c r="U38" s="381"/>
      <c r="V38" s="381"/>
      <c r="W38" s="381"/>
      <c r="X38" s="381"/>
      <c r="Y38" s="381"/>
      <c r="Z38" s="381"/>
      <c r="AA38" s="207"/>
      <c r="AB38" s="207"/>
      <c r="AC38" s="380"/>
      <c r="AD38" s="380"/>
      <c r="AE38" s="380"/>
      <c r="AF38" s="380"/>
      <c r="AG38" s="380"/>
      <c r="AH38" s="380"/>
      <c r="AI38" s="380"/>
      <c r="AJ38" s="380"/>
      <c r="AK38" s="380"/>
      <c r="AL38" s="380"/>
      <c r="AM38" s="380"/>
      <c r="AN38" s="207"/>
      <c r="AO38" s="207"/>
      <c r="AP38" s="380"/>
      <c r="AQ38" s="380"/>
      <c r="AR38" s="380"/>
      <c r="AS38" s="380"/>
      <c r="AT38" s="380"/>
      <c r="AU38" s="380"/>
      <c r="AV38" s="380"/>
      <c r="AW38" s="380"/>
      <c r="AX38" s="380"/>
      <c r="AY38" s="380"/>
      <c r="AZ38" s="380"/>
      <c r="BA38" s="207"/>
      <c r="BB38" s="207"/>
      <c r="BC38" s="380"/>
      <c r="BD38" s="380"/>
      <c r="BE38" s="380"/>
      <c r="BF38" s="380"/>
      <c r="BG38" s="380"/>
      <c r="BH38" s="380"/>
      <c r="BI38" s="380"/>
      <c r="BJ38" s="380"/>
      <c r="BK38" s="380"/>
      <c r="BL38" s="380"/>
      <c r="BM38" s="380"/>
      <c r="BN38" s="207"/>
      <c r="BO38" s="207"/>
      <c r="BP38" s="380"/>
      <c r="BQ38" s="380"/>
      <c r="BR38" s="380"/>
      <c r="BS38" s="380"/>
      <c r="BT38" s="380"/>
      <c r="BU38" s="380"/>
      <c r="BV38" s="380"/>
      <c r="BW38" s="380"/>
      <c r="BX38" s="380"/>
      <c r="BY38" s="380"/>
      <c r="BZ38" s="380"/>
      <c r="CA38" s="207"/>
      <c r="CB38" s="207"/>
      <c r="CC38" s="380"/>
      <c r="CD38" s="380"/>
      <c r="CE38" s="380"/>
      <c r="CF38" s="380"/>
      <c r="CG38" s="380"/>
      <c r="CH38" s="380"/>
      <c r="CI38" s="380"/>
      <c r="CJ38" s="380"/>
      <c r="CK38" s="380"/>
      <c r="CL38" s="380"/>
      <c r="CM38" s="380"/>
      <c r="CN38" s="207"/>
      <c r="CO38" s="207"/>
      <c r="CP38" s="380"/>
      <c r="CQ38" s="380"/>
      <c r="CR38" s="380"/>
      <c r="CS38" s="380"/>
      <c r="CT38" s="380"/>
      <c r="CU38" s="380"/>
      <c r="CV38" s="380"/>
      <c r="CW38" s="380"/>
      <c r="CX38" s="380"/>
      <c r="CY38" s="380"/>
      <c r="CZ38" s="380"/>
      <c r="DA38" s="207"/>
      <c r="DB38" s="207"/>
      <c r="DC38" s="380"/>
      <c r="DD38" s="380"/>
      <c r="DE38" s="380"/>
      <c r="DF38" s="380"/>
      <c r="DG38" s="380"/>
      <c r="DH38" s="380"/>
      <c r="DI38" s="380"/>
      <c r="DJ38" s="380"/>
      <c r="DK38" s="380"/>
      <c r="DL38" s="380"/>
      <c r="DM38" s="380"/>
      <c r="DN38" s="207"/>
      <c r="DO38" s="207"/>
      <c r="DP38" s="380"/>
      <c r="DQ38" s="380"/>
      <c r="DR38" s="380"/>
      <c r="DS38" s="380"/>
      <c r="DT38" s="380"/>
      <c r="DU38" s="380"/>
      <c r="DV38" s="380"/>
      <c r="DW38" s="380"/>
      <c r="DX38" s="380"/>
      <c r="DY38" s="380"/>
      <c r="DZ38" s="380"/>
      <c r="EA38" s="207"/>
      <c r="EB38" s="207"/>
      <c r="EC38" s="380"/>
      <c r="ED38" s="380"/>
      <c r="EE38" s="380"/>
      <c r="EF38" s="380"/>
      <c r="EG38" s="380"/>
      <c r="EH38" s="380"/>
      <c r="EI38" s="380"/>
      <c r="EJ38" s="380"/>
      <c r="EK38" s="380"/>
      <c r="EL38" s="380"/>
      <c r="EM38" s="380"/>
      <c r="EN38" s="207"/>
      <c r="EO38" s="207"/>
      <c r="EP38" s="380"/>
      <c r="EQ38" s="380"/>
      <c r="ER38" s="380"/>
      <c r="ES38" s="380"/>
      <c r="ET38" s="380"/>
      <c r="EU38" s="380"/>
      <c r="EV38" s="380"/>
      <c r="EW38" s="380"/>
      <c r="EX38" s="380"/>
      <c r="EY38" s="380"/>
      <c r="EZ38" s="380"/>
      <c r="FA38" s="207"/>
      <c r="FB38" s="207"/>
      <c r="FC38" s="380"/>
      <c r="FD38" s="380"/>
      <c r="FE38" s="380"/>
      <c r="FF38" s="380"/>
      <c r="FG38" s="380"/>
      <c r="FH38" s="380"/>
      <c r="FI38" s="380"/>
      <c r="FJ38" s="380"/>
      <c r="FK38" s="380"/>
      <c r="FL38" s="380"/>
      <c r="FM38" s="380"/>
      <c r="FN38" s="207"/>
      <c r="FO38" s="207"/>
      <c r="FP38" s="380"/>
      <c r="FQ38" s="380"/>
      <c r="FR38" s="380"/>
      <c r="FS38" s="380"/>
      <c r="FT38" s="380"/>
      <c r="FU38" s="380"/>
      <c r="FV38" s="380"/>
      <c r="FW38" s="380"/>
      <c r="FX38" s="380"/>
      <c r="FY38" s="380"/>
      <c r="FZ38" s="380"/>
      <c r="GA38" s="207"/>
      <c r="GB38" s="207"/>
      <c r="GC38" s="380"/>
      <c r="GD38" s="380"/>
      <c r="GE38" s="380"/>
      <c r="GF38" s="380"/>
      <c r="GG38" s="380"/>
      <c r="GH38" s="380"/>
      <c r="GI38" s="380"/>
      <c r="GJ38" s="380"/>
      <c r="GK38" s="380"/>
      <c r="GL38" s="380"/>
      <c r="GM38" s="380"/>
      <c r="GN38" s="207"/>
      <c r="GO38" s="207"/>
      <c r="GP38" s="380"/>
      <c r="GQ38" s="380"/>
      <c r="GR38" s="380"/>
      <c r="GS38" s="380"/>
      <c r="GT38" s="380"/>
      <c r="GU38" s="380"/>
      <c r="GV38" s="380"/>
      <c r="GW38" s="380"/>
      <c r="GX38" s="380"/>
      <c r="GY38" s="380"/>
      <c r="GZ38" s="380"/>
      <c r="HA38" s="207"/>
      <c r="HB38" s="207"/>
      <c r="HC38" s="380"/>
      <c r="HD38" s="380"/>
      <c r="HE38" s="380"/>
      <c r="HF38" s="380"/>
      <c r="HG38" s="380"/>
      <c r="HH38" s="380"/>
      <c r="HI38" s="380"/>
      <c r="HJ38" s="380"/>
      <c r="HK38" s="380"/>
      <c r="HL38" s="380"/>
      <c r="HM38" s="380"/>
      <c r="HN38" s="207"/>
      <c r="HO38" s="207"/>
      <c r="HP38" s="380"/>
      <c r="HQ38" s="380"/>
      <c r="HR38" s="380"/>
      <c r="HS38" s="380"/>
      <c r="HT38" s="380"/>
      <c r="HU38" s="380"/>
      <c r="HV38" s="380"/>
      <c r="HW38" s="380"/>
      <c r="HX38" s="380"/>
      <c r="HY38" s="380"/>
      <c r="HZ38" s="380"/>
      <c r="IA38" s="207"/>
      <c r="IB38" s="207"/>
      <c r="IC38" s="380"/>
      <c r="ID38" s="380"/>
      <c r="IE38" s="380"/>
      <c r="IF38" s="380"/>
      <c r="IG38" s="380"/>
      <c r="IH38" s="380"/>
      <c r="II38" s="380"/>
      <c r="IJ38" s="380"/>
      <c r="IK38" s="380"/>
      <c r="IL38" s="380"/>
      <c r="IM38" s="380"/>
      <c r="IN38" s="207"/>
      <c r="IO38" s="207"/>
      <c r="IP38" s="380"/>
      <c r="IQ38" s="380"/>
      <c r="IR38" s="380"/>
      <c r="IS38" s="380"/>
      <c r="IT38" s="380"/>
      <c r="IU38" s="380"/>
      <c r="IV38" s="380"/>
    </row>
    <row r="39" spans="1:256" x14ac:dyDescent="0.2">
      <c r="A39" s="218"/>
      <c r="B39" s="219"/>
      <c r="C39" s="375"/>
      <c r="D39" s="375"/>
      <c r="E39" s="375"/>
      <c r="F39" s="375"/>
      <c r="G39" s="375"/>
      <c r="H39" s="375"/>
      <c r="I39" s="375"/>
      <c r="J39" s="375"/>
      <c r="K39" s="375"/>
      <c r="L39" s="375"/>
      <c r="M39" s="376"/>
      <c r="N39" s="211"/>
      <c r="O39" s="211"/>
      <c r="P39" s="381"/>
      <c r="Q39" s="381"/>
      <c r="R39" s="381"/>
      <c r="S39" s="381"/>
      <c r="T39" s="381"/>
      <c r="U39" s="381"/>
      <c r="V39" s="381"/>
      <c r="W39" s="381"/>
      <c r="X39" s="381"/>
      <c r="Y39" s="381"/>
      <c r="Z39" s="381"/>
      <c r="AA39" s="207"/>
      <c r="AB39" s="207"/>
      <c r="AC39" s="380"/>
      <c r="AD39" s="380"/>
      <c r="AE39" s="380"/>
      <c r="AF39" s="380"/>
      <c r="AG39" s="380"/>
      <c r="AH39" s="380"/>
      <c r="AI39" s="380"/>
      <c r="AJ39" s="380"/>
      <c r="AK39" s="380"/>
      <c r="AL39" s="380"/>
      <c r="AM39" s="380"/>
      <c r="AN39" s="207"/>
      <c r="AO39" s="207"/>
      <c r="AP39" s="380"/>
      <c r="AQ39" s="380"/>
      <c r="AR39" s="380"/>
      <c r="AS39" s="380"/>
      <c r="AT39" s="380"/>
      <c r="AU39" s="380"/>
      <c r="AV39" s="380"/>
      <c r="AW39" s="380"/>
      <c r="AX39" s="380"/>
      <c r="AY39" s="380"/>
      <c r="AZ39" s="380"/>
      <c r="BA39" s="207"/>
      <c r="BB39" s="207"/>
      <c r="BC39" s="380"/>
      <c r="BD39" s="380"/>
      <c r="BE39" s="380"/>
      <c r="BF39" s="380"/>
      <c r="BG39" s="380"/>
      <c r="BH39" s="380"/>
      <c r="BI39" s="380"/>
      <c r="BJ39" s="380"/>
      <c r="BK39" s="380"/>
      <c r="BL39" s="380"/>
      <c r="BM39" s="380"/>
      <c r="BN39" s="207"/>
      <c r="BO39" s="207"/>
      <c r="BP39" s="380"/>
      <c r="BQ39" s="380"/>
      <c r="BR39" s="380"/>
      <c r="BS39" s="380"/>
      <c r="BT39" s="380"/>
      <c r="BU39" s="380"/>
      <c r="BV39" s="380"/>
      <c r="BW39" s="380"/>
      <c r="BX39" s="380"/>
      <c r="BY39" s="380"/>
      <c r="BZ39" s="380"/>
      <c r="CA39" s="207"/>
      <c r="CB39" s="207"/>
      <c r="CC39" s="380"/>
      <c r="CD39" s="380"/>
      <c r="CE39" s="380"/>
      <c r="CF39" s="380"/>
      <c r="CG39" s="380"/>
      <c r="CH39" s="380"/>
      <c r="CI39" s="380"/>
      <c r="CJ39" s="380"/>
      <c r="CK39" s="380"/>
      <c r="CL39" s="380"/>
      <c r="CM39" s="380"/>
      <c r="CN39" s="207"/>
      <c r="CO39" s="207"/>
      <c r="CP39" s="380"/>
      <c r="CQ39" s="380"/>
      <c r="CR39" s="380"/>
      <c r="CS39" s="380"/>
      <c r="CT39" s="380"/>
      <c r="CU39" s="380"/>
      <c r="CV39" s="380"/>
      <c r="CW39" s="380"/>
      <c r="CX39" s="380"/>
      <c r="CY39" s="380"/>
      <c r="CZ39" s="380"/>
      <c r="DA39" s="207"/>
      <c r="DB39" s="207"/>
      <c r="DC39" s="380"/>
      <c r="DD39" s="380"/>
      <c r="DE39" s="380"/>
      <c r="DF39" s="380"/>
      <c r="DG39" s="380"/>
      <c r="DH39" s="380"/>
      <c r="DI39" s="380"/>
      <c r="DJ39" s="380"/>
      <c r="DK39" s="380"/>
      <c r="DL39" s="380"/>
      <c r="DM39" s="380"/>
      <c r="DN39" s="207"/>
      <c r="DO39" s="207"/>
      <c r="DP39" s="380"/>
      <c r="DQ39" s="380"/>
      <c r="DR39" s="380"/>
      <c r="DS39" s="380"/>
      <c r="DT39" s="380"/>
      <c r="DU39" s="380"/>
      <c r="DV39" s="380"/>
      <c r="DW39" s="380"/>
      <c r="DX39" s="380"/>
      <c r="DY39" s="380"/>
      <c r="DZ39" s="380"/>
      <c r="EA39" s="207"/>
      <c r="EB39" s="207"/>
      <c r="EC39" s="380"/>
      <c r="ED39" s="380"/>
      <c r="EE39" s="380"/>
      <c r="EF39" s="380"/>
      <c r="EG39" s="380"/>
      <c r="EH39" s="380"/>
      <c r="EI39" s="380"/>
      <c r="EJ39" s="380"/>
      <c r="EK39" s="380"/>
      <c r="EL39" s="380"/>
      <c r="EM39" s="380"/>
      <c r="EN39" s="207"/>
      <c r="EO39" s="207"/>
      <c r="EP39" s="380"/>
      <c r="EQ39" s="380"/>
      <c r="ER39" s="380"/>
      <c r="ES39" s="380"/>
      <c r="ET39" s="380"/>
      <c r="EU39" s="380"/>
      <c r="EV39" s="380"/>
      <c r="EW39" s="380"/>
      <c r="EX39" s="380"/>
      <c r="EY39" s="380"/>
      <c r="EZ39" s="380"/>
      <c r="FA39" s="207"/>
      <c r="FB39" s="207"/>
      <c r="FC39" s="380"/>
      <c r="FD39" s="380"/>
      <c r="FE39" s="380"/>
      <c r="FF39" s="380"/>
      <c r="FG39" s="380"/>
      <c r="FH39" s="380"/>
      <c r="FI39" s="380"/>
      <c r="FJ39" s="380"/>
      <c r="FK39" s="380"/>
      <c r="FL39" s="380"/>
      <c r="FM39" s="380"/>
      <c r="FN39" s="207"/>
      <c r="FO39" s="207"/>
      <c r="FP39" s="380"/>
      <c r="FQ39" s="380"/>
      <c r="FR39" s="380"/>
      <c r="FS39" s="380"/>
      <c r="FT39" s="380"/>
      <c r="FU39" s="380"/>
      <c r="FV39" s="380"/>
      <c r="FW39" s="380"/>
      <c r="FX39" s="380"/>
      <c r="FY39" s="380"/>
      <c r="FZ39" s="380"/>
      <c r="GA39" s="207"/>
      <c r="GB39" s="207"/>
      <c r="GC39" s="380"/>
      <c r="GD39" s="380"/>
      <c r="GE39" s="380"/>
      <c r="GF39" s="380"/>
      <c r="GG39" s="380"/>
      <c r="GH39" s="380"/>
      <c r="GI39" s="380"/>
      <c r="GJ39" s="380"/>
      <c r="GK39" s="380"/>
      <c r="GL39" s="380"/>
      <c r="GM39" s="380"/>
      <c r="GN39" s="207"/>
      <c r="GO39" s="207"/>
      <c r="GP39" s="380"/>
      <c r="GQ39" s="380"/>
      <c r="GR39" s="380"/>
      <c r="GS39" s="380"/>
      <c r="GT39" s="380"/>
      <c r="GU39" s="380"/>
      <c r="GV39" s="380"/>
      <c r="GW39" s="380"/>
      <c r="GX39" s="380"/>
      <c r="GY39" s="380"/>
      <c r="GZ39" s="380"/>
      <c r="HA39" s="207"/>
      <c r="HB39" s="207"/>
      <c r="HC39" s="380"/>
      <c r="HD39" s="380"/>
      <c r="HE39" s="380"/>
      <c r="HF39" s="380"/>
      <c r="HG39" s="380"/>
      <c r="HH39" s="380"/>
      <c r="HI39" s="380"/>
      <c r="HJ39" s="380"/>
      <c r="HK39" s="380"/>
      <c r="HL39" s="380"/>
      <c r="HM39" s="380"/>
      <c r="HN39" s="207"/>
      <c r="HO39" s="207"/>
      <c r="HP39" s="380"/>
      <c r="HQ39" s="380"/>
      <c r="HR39" s="380"/>
      <c r="HS39" s="380"/>
      <c r="HT39" s="380"/>
      <c r="HU39" s="380"/>
      <c r="HV39" s="380"/>
      <c r="HW39" s="380"/>
      <c r="HX39" s="380"/>
      <c r="HY39" s="380"/>
      <c r="HZ39" s="380"/>
      <c r="IA39" s="207"/>
      <c r="IB39" s="207"/>
      <c r="IC39" s="380"/>
      <c r="ID39" s="380"/>
      <c r="IE39" s="380"/>
      <c r="IF39" s="380"/>
      <c r="IG39" s="380"/>
      <c r="IH39" s="380"/>
      <c r="II39" s="380"/>
      <c r="IJ39" s="380"/>
      <c r="IK39" s="380"/>
      <c r="IL39" s="380"/>
      <c r="IM39" s="380"/>
      <c r="IN39" s="207"/>
      <c r="IO39" s="207"/>
      <c r="IP39" s="380"/>
      <c r="IQ39" s="380"/>
      <c r="IR39" s="380"/>
      <c r="IS39" s="380"/>
      <c r="IT39" s="380"/>
      <c r="IU39" s="380"/>
      <c r="IV39" s="380"/>
    </row>
    <row r="40" spans="1:256" x14ac:dyDescent="0.2">
      <c r="A40" s="218"/>
      <c r="B40" s="219"/>
      <c r="C40" s="375"/>
      <c r="D40" s="375"/>
      <c r="E40" s="375"/>
      <c r="F40" s="375"/>
      <c r="G40" s="375"/>
      <c r="H40" s="375"/>
      <c r="I40" s="375"/>
      <c r="J40" s="375"/>
      <c r="K40" s="375"/>
      <c r="L40" s="375"/>
      <c r="M40" s="376"/>
      <c r="N40" s="211"/>
      <c r="O40" s="211"/>
      <c r="P40" s="381"/>
      <c r="Q40" s="381"/>
      <c r="R40" s="381"/>
      <c r="S40" s="381"/>
      <c r="T40" s="381"/>
      <c r="U40" s="381"/>
      <c r="V40" s="381"/>
      <c r="W40" s="381"/>
      <c r="X40" s="381"/>
      <c r="Y40" s="381"/>
      <c r="Z40" s="381"/>
      <c r="AA40" s="207"/>
      <c r="AB40" s="207"/>
      <c r="AC40" s="380"/>
      <c r="AD40" s="380"/>
      <c r="AE40" s="380"/>
      <c r="AF40" s="380"/>
      <c r="AG40" s="380"/>
      <c r="AH40" s="380"/>
      <c r="AI40" s="380"/>
      <c r="AJ40" s="380"/>
      <c r="AK40" s="380"/>
      <c r="AL40" s="380"/>
      <c r="AM40" s="380"/>
      <c r="AN40" s="207"/>
      <c r="AO40" s="207"/>
      <c r="AP40" s="380"/>
      <c r="AQ40" s="380"/>
      <c r="AR40" s="380"/>
      <c r="AS40" s="380"/>
      <c r="AT40" s="380"/>
      <c r="AU40" s="380"/>
      <c r="AV40" s="380"/>
      <c r="AW40" s="380"/>
      <c r="AX40" s="380"/>
      <c r="AY40" s="380"/>
      <c r="AZ40" s="380"/>
      <c r="BA40" s="207"/>
      <c r="BB40" s="207"/>
      <c r="BC40" s="380"/>
      <c r="BD40" s="380"/>
      <c r="BE40" s="380"/>
      <c r="BF40" s="380"/>
      <c r="BG40" s="380"/>
      <c r="BH40" s="380"/>
      <c r="BI40" s="380"/>
      <c r="BJ40" s="380"/>
      <c r="BK40" s="380"/>
      <c r="BL40" s="380"/>
      <c r="BM40" s="380"/>
      <c r="BN40" s="207"/>
      <c r="BO40" s="207"/>
      <c r="BP40" s="380"/>
      <c r="BQ40" s="380"/>
      <c r="BR40" s="380"/>
      <c r="BS40" s="380"/>
      <c r="BT40" s="380"/>
      <c r="BU40" s="380"/>
      <c r="BV40" s="380"/>
      <c r="BW40" s="380"/>
      <c r="BX40" s="380"/>
      <c r="BY40" s="380"/>
      <c r="BZ40" s="380"/>
      <c r="CA40" s="207"/>
      <c r="CB40" s="207"/>
      <c r="CC40" s="380"/>
      <c r="CD40" s="380"/>
      <c r="CE40" s="380"/>
      <c r="CF40" s="380"/>
      <c r="CG40" s="380"/>
      <c r="CH40" s="380"/>
      <c r="CI40" s="380"/>
      <c r="CJ40" s="380"/>
      <c r="CK40" s="380"/>
      <c r="CL40" s="380"/>
      <c r="CM40" s="380"/>
      <c r="CN40" s="207"/>
      <c r="CO40" s="207"/>
      <c r="CP40" s="380"/>
      <c r="CQ40" s="380"/>
      <c r="CR40" s="380"/>
      <c r="CS40" s="380"/>
      <c r="CT40" s="380"/>
      <c r="CU40" s="380"/>
      <c r="CV40" s="380"/>
      <c r="CW40" s="380"/>
      <c r="CX40" s="380"/>
      <c r="CY40" s="380"/>
      <c r="CZ40" s="380"/>
      <c r="DA40" s="207"/>
      <c r="DB40" s="207"/>
      <c r="DC40" s="380"/>
      <c r="DD40" s="380"/>
      <c r="DE40" s="380"/>
      <c r="DF40" s="380"/>
      <c r="DG40" s="380"/>
      <c r="DH40" s="380"/>
      <c r="DI40" s="380"/>
      <c r="DJ40" s="380"/>
      <c r="DK40" s="380"/>
      <c r="DL40" s="380"/>
      <c r="DM40" s="380"/>
      <c r="DN40" s="207"/>
      <c r="DO40" s="207"/>
      <c r="DP40" s="380"/>
      <c r="DQ40" s="380"/>
      <c r="DR40" s="380"/>
      <c r="DS40" s="380"/>
      <c r="DT40" s="380"/>
      <c r="DU40" s="380"/>
      <c r="DV40" s="380"/>
      <c r="DW40" s="380"/>
      <c r="DX40" s="380"/>
      <c r="DY40" s="380"/>
      <c r="DZ40" s="380"/>
      <c r="EA40" s="207"/>
      <c r="EB40" s="207"/>
      <c r="EC40" s="380"/>
      <c r="ED40" s="380"/>
      <c r="EE40" s="380"/>
      <c r="EF40" s="380"/>
      <c r="EG40" s="380"/>
      <c r="EH40" s="380"/>
      <c r="EI40" s="380"/>
      <c r="EJ40" s="380"/>
      <c r="EK40" s="380"/>
      <c r="EL40" s="380"/>
      <c r="EM40" s="380"/>
      <c r="EN40" s="207"/>
      <c r="EO40" s="207"/>
      <c r="EP40" s="380"/>
      <c r="EQ40" s="380"/>
      <c r="ER40" s="380"/>
      <c r="ES40" s="380"/>
      <c r="ET40" s="380"/>
      <c r="EU40" s="380"/>
      <c r="EV40" s="380"/>
      <c r="EW40" s="380"/>
      <c r="EX40" s="380"/>
      <c r="EY40" s="380"/>
      <c r="EZ40" s="380"/>
      <c r="FA40" s="207"/>
      <c r="FB40" s="207"/>
      <c r="FC40" s="380"/>
      <c r="FD40" s="380"/>
      <c r="FE40" s="380"/>
      <c r="FF40" s="380"/>
      <c r="FG40" s="380"/>
      <c r="FH40" s="380"/>
      <c r="FI40" s="380"/>
      <c r="FJ40" s="380"/>
      <c r="FK40" s="380"/>
      <c r="FL40" s="380"/>
      <c r="FM40" s="380"/>
      <c r="FN40" s="207"/>
      <c r="FO40" s="207"/>
      <c r="FP40" s="380"/>
      <c r="FQ40" s="380"/>
      <c r="FR40" s="380"/>
      <c r="FS40" s="380"/>
      <c r="FT40" s="380"/>
      <c r="FU40" s="380"/>
      <c r="FV40" s="380"/>
      <c r="FW40" s="380"/>
      <c r="FX40" s="380"/>
      <c r="FY40" s="380"/>
      <c r="FZ40" s="380"/>
      <c r="GA40" s="207"/>
      <c r="GB40" s="207"/>
      <c r="GC40" s="380"/>
      <c r="GD40" s="380"/>
      <c r="GE40" s="380"/>
      <c r="GF40" s="380"/>
      <c r="GG40" s="380"/>
      <c r="GH40" s="380"/>
      <c r="GI40" s="380"/>
      <c r="GJ40" s="380"/>
      <c r="GK40" s="380"/>
      <c r="GL40" s="380"/>
      <c r="GM40" s="380"/>
      <c r="GN40" s="207"/>
      <c r="GO40" s="207"/>
      <c r="GP40" s="380"/>
      <c r="GQ40" s="380"/>
      <c r="GR40" s="380"/>
      <c r="GS40" s="380"/>
      <c r="GT40" s="380"/>
      <c r="GU40" s="380"/>
      <c r="GV40" s="380"/>
      <c r="GW40" s="380"/>
      <c r="GX40" s="380"/>
      <c r="GY40" s="380"/>
      <c r="GZ40" s="380"/>
      <c r="HA40" s="207"/>
      <c r="HB40" s="207"/>
      <c r="HC40" s="380"/>
      <c r="HD40" s="380"/>
      <c r="HE40" s="380"/>
      <c r="HF40" s="380"/>
      <c r="HG40" s="380"/>
      <c r="HH40" s="380"/>
      <c r="HI40" s="380"/>
      <c r="HJ40" s="380"/>
      <c r="HK40" s="380"/>
      <c r="HL40" s="380"/>
      <c r="HM40" s="380"/>
      <c r="HN40" s="207"/>
      <c r="HO40" s="207"/>
      <c r="HP40" s="380"/>
      <c r="HQ40" s="380"/>
      <c r="HR40" s="380"/>
      <c r="HS40" s="380"/>
      <c r="HT40" s="380"/>
      <c r="HU40" s="380"/>
      <c r="HV40" s="380"/>
      <c r="HW40" s="380"/>
      <c r="HX40" s="380"/>
      <c r="HY40" s="380"/>
      <c r="HZ40" s="380"/>
      <c r="IA40" s="207"/>
      <c r="IB40" s="207"/>
      <c r="IC40" s="380"/>
      <c r="ID40" s="380"/>
      <c r="IE40" s="380"/>
      <c r="IF40" s="380"/>
      <c r="IG40" s="380"/>
      <c r="IH40" s="380"/>
      <c r="II40" s="380"/>
      <c r="IJ40" s="380"/>
      <c r="IK40" s="380"/>
      <c r="IL40" s="380"/>
      <c r="IM40" s="380"/>
      <c r="IN40" s="207"/>
      <c r="IO40" s="207"/>
      <c r="IP40" s="380"/>
      <c r="IQ40" s="380"/>
      <c r="IR40" s="380"/>
      <c r="IS40" s="380"/>
      <c r="IT40" s="380"/>
      <c r="IU40" s="380"/>
      <c r="IV40" s="380"/>
    </row>
    <row r="41" spans="1:256" x14ac:dyDescent="0.2">
      <c r="A41" s="218"/>
      <c r="B41" s="219"/>
      <c r="C41" s="375"/>
      <c r="D41" s="375"/>
      <c r="E41" s="375"/>
      <c r="F41" s="375"/>
      <c r="G41" s="375"/>
      <c r="H41" s="375"/>
      <c r="I41" s="375"/>
      <c r="J41" s="375"/>
      <c r="K41" s="375"/>
      <c r="L41" s="375"/>
      <c r="M41" s="37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5"/>
      <c r="D42" s="375"/>
      <c r="E42" s="375"/>
      <c r="F42" s="375"/>
      <c r="G42" s="375"/>
      <c r="H42" s="375"/>
      <c r="I42" s="375"/>
      <c r="J42" s="375"/>
      <c r="K42" s="375"/>
      <c r="L42" s="375"/>
      <c r="M42" s="37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5"/>
      <c r="D43" s="375"/>
      <c r="E43" s="375"/>
      <c r="F43" s="375"/>
      <c r="G43" s="375"/>
      <c r="H43" s="375"/>
      <c r="I43" s="375"/>
      <c r="J43" s="375"/>
      <c r="K43" s="375"/>
      <c r="L43" s="375"/>
      <c r="M43" s="37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5"/>
      <c r="D44" s="375"/>
      <c r="E44" s="375"/>
      <c r="F44" s="375"/>
      <c r="G44" s="375"/>
      <c r="H44" s="375"/>
      <c r="I44" s="375"/>
      <c r="J44" s="375"/>
      <c r="K44" s="375"/>
      <c r="L44" s="375"/>
      <c r="M44" s="37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5"/>
      <c r="D45" s="375"/>
      <c r="E45" s="375"/>
      <c r="F45" s="375"/>
      <c r="G45" s="375"/>
      <c r="H45" s="375"/>
      <c r="I45" s="375"/>
      <c r="J45" s="375"/>
      <c r="K45" s="375"/>
      <c r="L45" s="375"/>
      <c r="M45" s="37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5"/>
      <c r="D46" s="375"/>
      <c r="E46" s="375"/>
      <c r="F46" s="375"/>
      <c r="G46" s="375"/>
      <c r="H46" s="375"/>
      <c r="I46" s="375"/>
      <c r="J46" s="375"/>
      <c r="K46" s="375"/>
      <c r="L46" s="375"/>
      <c r="M46" s="37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5"/>
      <c r="D47" s="375"/>
      <c r="E47" s="375"/>
      <c r="F47" s="375"/>
      <c r="G47" s="375"/>
      <c r="H47" s="375"/>
      <c r="I47" s="375"/>
      <c r="J47" s="375"/>
      <c r="K47" s="375"/>
      <c r="L47" s="375"/>
      <c r="M47" s="37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5"/>
      <c r="D48" s="375"/>
      <c r="E48" s="375"/>
      <c r="F48" s="375"/>
      <c r="G48" s="375"/>
      <c r="H48" s="375"/>
      <c r="I48" s="375"/>
      <c r="J48" s="375"/>
      <c r="K48" s="375"/>
      <c r="L48" s="375"/>
      <c r="M48" s="37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5"/>
      <c r="D49" s="375"/>
      <c r="E49" s="375"/>
      <c r="F49" s="375"/>
      <c r="G49" s="375"/>
      <c r="H49" s="375"/>
      <c r="I49" s="375"/>
      <c r="J49" s="375"/>
      <c r="K49" s="375"/>
      <c r="L49" s="375"/>
      <c r="M49" s="37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5"/>
      <c r="D50" s="375"/>
      <c r="E50" s="375"/>
      <c r="F50" s="375"/>
      <c r="G50" s="375"/>
      <c r="H50" s="375"/>
      <c r="I50" s="375"/>
      <c r="J50" s="375"/>
      <c r="K50" s="375"/>
      <c r="L50" s="375"/>
      <c r="M50" s="376"/>
      <c r="N50" s="126"/>
      <c r="O50" s="126"/>
      <c r="P50" s="126"/>
      <c r="Q50" s="126"/>
      <c r="R50" s="126"/>
      <c r="S50" s="126"/>
      <c r="T50" s="126"/>
      <c r="U50" s="126"/>
      <c r="V50" s="126"/>
      <c r="W50" s="126"/>
      <c r="X50" s="126"/>
      <c r="Y50" s="126"/>
      <c r="Z50" s="126"/>
    </row>
    <row r="51" spans="1:256" x14ac:dyDescent="0.2">
      <c r="A51" s="218"/>
      <c r="B51" s="219"/>
      <c r="C51" s="375"/>
      <c r="D51" s="375"/>
      <c r="E51" s="375"/>
      <c r="F51" s="375"/>
      <c r="G51" s="375"/>
      <c r="H51" s="375"/>
      <c r="I51" s="375"/>
      <c r="J51" s="375"/>
      <c r="K51" s="375"/>
      <c r="L51" s="375"/>
      <c r="M51" s="376"/>
      <c r="N51" s="126"/>
      <c r="O51" s="126"/>
      <c r="P51" s="126"/>
      <c r="Q51" s="126"/>
      <c r="R51" s="126"/>
      <c r="S51" s="126"/>
      <c r="T51" s="126"/>
      <c r="U51" s="126"/>
      <c r="V51" s="126"/>
      <c r="W51" s="126"/>
      <c r="X51" s="126"/>
      <c r="Y51" s="126"/>
      <c r="Z51" s="126"/>
    </row>
    <row r="52" spans="1:256" x14ac:dyDescent="0.2">
      <c r="A52" s="218"/>
      <c r="B52" s="219"/>
      <c r="C52" s="375"/>
      <c r="D52" s="375"/>
      <c r="E52" s="375"/>
      <c r="F52" s="375"/>
      <c r="G52" s="375"/>
      <c r="H52" s="375"/>
      <c r="I52" s="375"/>
      <c r="J52" s="375"/>
      <c r="K52" s="375"/>
      <c r="L52" s="375"/>
      <c r="M52" s="376"/>
      <c r="N52" s="126"/>
      <c r="O52" s="126"/>
      <c r="P52" s="126"/>
      <c r="Q52" s="126"/>
      <c r="R52" s="126"/>
      <c r="S52" s="126"/>
      <c r="T52" s="126"/>
      <c r="U52" s="126"/>
      <c r="V52" s="126"/>
      <c r="W52" s="126"/>
      <c r="X52" s="126"/>
      <c r="Y52" s="126"/>
      <c r="Z52" s="126"/>
    </row>
    <row r="53" spans="1:256" x14ac:dyDescent="0.2">
      <c r="A53" s="218"/>
      <c r="B53" s="219"/>
      <c r="C53" s="375"/>
      <c r="D53" s="375"/>
      <c r="E53" s="375"/>
      <c r="F53" s="375"/>
      <c r="G53" s="375"/>
      <c r="H53" s="375"/>
      <c r="I53" s="375"/>
      <c r="J53" s="375"/>
      <c r="K53" s="375"/>
      <c r="L53" s="375"/>
      <c r="M53" s="376"/>
      <c r="N53" s="126"/>
      <c r="O53" s="126"/>
      <c r="P53" s="126"/>
      <c r="Q53" s="126"/>
      <c r="R53" s="126"/>
      <c r="S53" s="126"/>
      <c r="T53" s="126"/>
      <c r="U53" s="126"/>
      <c r="V53" s="126"/>
      <c r="W53" s="126"/>
      <c r="X53" s="126"/>
      <c r="Y53" s="126"/>
      <c r="Z53" s="126"/>
    </row>
    <row r="54" spans="1:256" x14ac:dyDescent="0.2">
      <c r="A54" s="218"/>
      <c r="B54" s="219"/>
      <c r="C54" s="375"/>
      <c r="D54" s="375"/>
      <c r="E54" s="375"/>
      <c r="F54" s="375"/>
      <c r="G54" s="375"/>
      <c r="H54" s="375"/>
      <c r="I54" s="375"/>
      <c r="J54" s="375"/>
      <c r="K54" s="375"/>
      <c r="L54" s="375"/>
      <c r="M54" s="376"/>
      <c r="N54" s="126"/>
      <c r="O54" s="126"/>
      <c r="P54" s="126"/>
      <c r="Q54" s="126"/>
      <c r="R54" s="126"/>
      <c r="S54" s="126"/>
      <c r="T54" s="126"/>
      <c r="U54" s="126"/>
      <c r="V54" s="126"/>
      <c r="W54" s="126"/>
      <c r="X54" s="126"/>
      <c r="Y54" s="126"/>
      <c r="Z54" s="126"/>
    </row>
    <row r="55" spans="1:256" x14ac:dyDescent="0.2">
      <c r="A55" s="218"/>
      <c r="B55" s="219"/>
      <c r="C55" s="375"/>
      <c r="D55" s="375"/>
      <c r="E55" s="375"/>
      <c r="F55" s="375"/>
      <c r="G55" s="375"/>
      <c r="H55" s="375"/>
      <c r="I55" s="375"/>
      <c r="J55" s="375"/>
      <c r="K55" s="375"/>
      <c r="L55" s="375"/>
      <c r="M55" s="376"/>
      <c r="N55" s="126"/>
      <c r="O55" s="126"/>
      <c r="P55" s="126"/>
      <c r="Q55" s="126"/>
      <c r="R55" s="126"/>
      <c r="S55" s="126"/>
      <c r="T55" s="126"/>
      <c r="U55" s="126"/>
      <c r="V55" s="126"/>
      <c r="W55" s="126"/>
      <c r="X55" s="126"/>
      <c r="Y55" s="126"/>
      <c r="Z55" s="126"/>
    </row>
    <row r="56" spans="1:256" x14ac:dyDescent="0.2">
      <c r="A56" s="218"/>
      <c r="B56" s="219"/>
      <c r="C56" s="375"/>
      <c r="D56" s="375"/>
      <c r="E56" s="375"/>
      <c r="F56" s="375"/>
      <c r="G56" s="375"/>
      <c r="H56" s="375"/>
      <c r="I56" s="375"/>
      <c r="J56" s="375"/>
      <c r="K56" s="375"/>
      <c r="L56" s="375"/>
      <c r="M56" s="376"/>
      <c r="N56" s="126"/>
      <c r="O56" s="126"/>
      <c r="P56" s="126"/>
      <c r="Q56" s="126"/>
      <c r="R56" s="126"/>
      <c r="S56" s="126"/>
      <c r="T56" s="126"/>
      <c r="U56" s="126"/>
      <c r="V56" s="126"/>
      <c r="W56" s="126"/>
      <c r="X56" s="126"/>
      <c r="Y56" s="126"/>
      <c r="Z56" s="126"/>
    </row>
    <row r="57" spans="1:256" x14ac:dyDescent="0.2">
      <c r="A57" s="218"/>
      <c r="B57" s="219"/>
      <c r="C57" s="375"/>
      <c r="D57" s="375"/>
      <c r="E57" s="375"/>
      <c r="F57" s="375"/>
      <c r="G57" s="375"/>
      <c r="H57" s="375"/>
      <c r="I57" s="375"/>
      <c r="J57" s="375"/>
      <c r="K57" s="375"/>
      <c r="L57" s="375"/>
      <c r="M57" s="376"/>
      <c r="N57" s="126"/>
      <c r="O57" s="126"/>
      <c r="P57" s="126"/>
      <c r="Q57" s="126"/>
      <c r="R57" s="126"/>
      <c r="S57" s="126"/>
      <c r="T57" s="126"/>
      <c r="U57" s="126"/>
      <c r="V57" s="126"/>
      <c r="W57" s="126"/>
      <c r="X57" s="126"/>
      <c r="Y57" s="126"/>
      <c r="Z57" s="126"/>
    </row>
    <row r="58" spans="1:256" x14ac:dyDescent="0.2">
      <c r="A58" s="218"/>
      <c r="B58" s="219"/>
      <c r="C58" s="375"/>
      <c r="D58" s="375"/>
      <c r="E58" s="375"/>
      <c r="F58" s="375"/>
      <c r="G58" s="375"/>
      <c r="H58" s="375"/>
      <c r="I58" s="375"/>
      <c r="J58" s="375"/>
      <c r="K58" s="375"/>
      <c r="L58" s="375"/>
      <c r="M58" s="376"/>
      <c r="N58" s="126"/>
      <c r="O58" s="126"/>
      <c r="P58" s="126"/>
      <c r="Q58" s="126"/>
      <c r="R58" s="126"/>
      <c r="S58" s="126"/>
      <c r="T58" s="126"/>
      <c r="U58" s="126"/>
      <c r="V58" s="126"/>
      <c r="W58" s="126"/>
      <c r="X58" s="126"/>
      <c r="Y58" s="126"/>
      <c r="Z58" s="126"/>
    </row>
    <row r="59" spans="1:256" x14ac:dyDescent="0.2">
      <c r="A59" s="218"/>
      <c r="B59" s="219"/>
      <c r="C59" s="375"/>
      <c r="D59" s="375"/>
      <c r="E59" s="375"/>
      <c r="F59" s="375"/>
      <c r="G59" s="375"/>
      <c r="H59" s="375"/>
      <c r="I59" s="375"/>
      <c r="J59" s="375"/>
      <c r="K59" s="375"/>
      <c r="L59" s="375"/>
      <c r="M59" s="376"/>
    </row>
    <row r="60" spans="1:256" x14ac:dyDescent="0.2">
      <c r="A60" s="218"/>
      <c r="B60" s="219"/>
      <c r="C60" s="375"/>
      <c r="D60" s="375"/>
      <c r="E60" s="375"/>
      <c r="F60" s="375"/>
      <c r="G60" s="375"/>
      <c r="H60" s="375"/>
      <c r="I60" s="375"/>
      <c r="J60" s="375"/>
      <c r="K60" s="375"/>
      <c r="L60" s="375"/>
      <c r="M60" s="376"/>
    </row>
    <row r="61" spans="1:256" x14ac:dyDescent="0.2">
      <c r="A61" s="218"/>
      <c r="B61" s="219"/>
      <c r="C61" s="375"/>
      <c r="D61" s="375"/>
      <c r="E61" s="375"/>
      <c r="F61" s="375"/>
      <c r="G61" s="375"/>
      <c r="H61" s="375"/>
      <c r="I61" s="375"/>
      <c r="J61" s="375"/>
      <c r="K61" s="375"/>
      <c r="L61" s="375"/>
      <c r="M61" s="376"/>
    </row>
    <row r="62" spans="1:256" x14ac:dyDescent="0.2">
      <c r="A62" s="218"/>
      <c r="B62" s="219"/>
      <c r="C62" s="375"/>
      <c r="D62" s="375"/>
      <c r="E62" s="375"/>
      <c r="F62" s="375"/>
      <c r="G62" s="375"/>
      <c r="H62" s="375"/>
      <c r="I62" s="375"/>
      <c r="J62" s="375"/>
      <c r="K62" s="375"/>
      <c r="L62" s="375"/>
      <c r="M62" s="376"/>
    </row>
    <row r="63" spans="1:256" x14ac:dyDescent="0.2">
      <c r="A63" s="218"/>
      <c r="B63" s="219"/>
      <c r="C63" s="375"/>
      <c r="D63" s="375"/>
      <c r="E63" s="375"/>
      <c r="F63" s="375"/>
      <c r="G63" s="375"/>
      <c r="H63" s="375"/>
      <c r="I63" s="375"/>
      <c r="J63" s="375"/>
      <c r="K63" s="375"/>
      <c r="L63" s="375"/>
      <c r="M63" s="376"/>
    </row>
    <row r="64" spans="1:256" x14ac:dyDescent="0.2">
      <c r="A64" s="218"/>
      <c r="B64" s="219"/>
      <c r="C64" s="375"/>
      <c r="D64" s="375"/>
      <c r="E64" s="375"/>
      <c r="F64" s="375"/>
      <c r="G64" s="375"/>
      <c r="H64" s="375"/>
      <c r="I64" s="375"/>
      <c r="J64" s="375"/>
      <c r="K64" s="375"/>
      <c r="L64" s="375"/>
      <c r="M64" s="376"/>
    </row>
    <row r="65" spans="1:13" x14ac:dyDescent="0.2">
      <c r="A65" s="218"/>
      <c r="B65" s="219"/>
      <c r="C65" s="375"/>
      <c r="D65" s="375"/>
      <c r="E65" s="375"/>
      <c r="F65" s="375"/>
      <c r="G65" s="375"/>
      <c r="H65" s="375"/>
      <c r="I65" s="375"/>
      <c r="J65" s="375"/>
      <c r="K65" s="375"/>
      <c r="L65" s="375"/>
      <c r="M65" s="376"/>
    </row>
    <row r="66" spans="1:13" x14ac:dyDescent="0.2">
      <c r="A66" s="218"/>
      <c r="B66" s="219"/>
      <c r="C66" s="375"/>
      <c r="D66" s="375"/>
      <c r="E66" s="375"/>
      <c r="F66" s="375"/>
      <c r="G66" s="375"/>
      <c r="H66" s="375"/>
      <c r="I66" s="375"/>
      <c r="J66" s="375"/>
      <c r="K66" s="375"/>
      <c r="L66" s="375"/>
      <c r="M66" s="376"/>
    </row>
    <row r="67" spans="1:13" x14ac:dyDescent="0.2">
      <c r="A67" s="218"/>
      <c r="B67" s="219"/>
      <c r="C67" s="375"/>
      <c r="D67" s="375"/>
      <c r="E67" s="375"/>
      <c r="F67" s="375"/>
      <c r="G67" s="375"/>
      <c r="H67" s="375"/>
      <c r="I67" s="375"/>
      <c r="J67" s="375"/>
      <c r="K67" s="375"/>
      <c r="L67" s="375"/>
      <c r="M67" s="376"/>
    </row>
    <row r="68" spans="1:13" x14ac:dyDescent="0.2">
      <c r="A68" s="218"/>
      <c r="B68" s="219"/>
      <c r="C68" s="375"/>
      <c r="D68" s="375"/>
      <c r="E68" s="375"/>
      <c r="F68" s="375"/>
      <c r="G68" s="375"/>
      <c r="H68" s="375"/>
      <c r="I68" s="375"/>
      <c r="J68" s="375"/>
      <c r="K68" s="375"/>
      <c r="L68" s="375"/>
      <c r="M68" s="376"/>
    </row>
    <row r="69" spans="1:13" x14ac:dyDescent="0.2">
      <c r="A69" s="218"/>
      <c r="B69" s="219"/>
      <c r="C69" s="375"/>
      <c r="D69" s="375"/>
      <c r="E69" s="375"/>
      <c r="F69" s="375"/>
      <c r="G69" s="375"/>
      <c r="H69" s="375"/>
      <c r="I69" s="375"/>
      <c r="J69" s="375"/>
      <c r="K69" s="375"/>
      <c r="L69" s="375"/>
      <c r="M69" s="376"/>
    </row>
    <row r="70" spans="1:13" ht="12" thickBot="1" x14ac:dyDescent="0.25">
      <c r="A70" s="220"/>
      <c r="B70" s="221"/>
      <c r="C70" s="377"/>
      <c r="D70" s="377"/>
      <c r="E70" s="377"/>
      <c r="F70" s="377"/>
      <c r="G70" s="377"/>
      <c r="H70" s="377"/>
      <c r="I70" s="377"/>
      <c r="J70" s="377"/>
      <c r="K70" s="377"/>
      <c r="L70" s="377"/>
      <c r="M70" s="378"/>
    </row>
    <row r="71" spans="1:13" ht="12" thickTop="1" x14ac:dyDescent="0.2">
      <c r="A71" s="208"/>
      <c r="B71" s="208"/>
      <c r="C71" s="209"/>
      <c r="D71" s="209"/>
      <c r="E71" s="209"/>
      <c r="F71" s="209"/>
      <c r="G71" s="209"/>
      <c r="H71" s="209"/>
      <c r="I71" s="209"/>
      <c r="J71" s="209"/>
      <c r="K71" s="209"/>
      <c r="L71" s="209"/>
    </row>
    <row r="72" spans="1:13" ht="12.75" x14ac:dyDescent="0.2">
      <c r="A72" s="379" t="s">
        <v>832</v>
      </c>
      <c r="B72" s="379"/>
      <c r="C72" s="379"/>
      <c r="D72" s="379"/>
      <c r="E72" s="379"/>
      <c r="F72" s="126"/>
      <c r="G72" s="126"/>
      <c r="H72" s="126"/>
      <c r="I72" s="126"/>
      <c r="J72" s="126"/>
      <c r="K72" s="126"/>
      <c r="L72" s="126"/>
      <c r="M72" s="126"/>
    </row>
    <row r="73" spans="1:13" x14ac:dyDescent="0.2">
      <c r="A73" s="210" t="s">
        <v>764</v>
      </c>
      <c r="B73" s="210" t="s">
        <v>765</v>
      </c>
      <c r="C73" s="374"/>
      <c r="D73" s="374"/>
      <c r="E73" s="374"/>
      <c r="F73" s="374"/>
      <c r="G73" s="374"/>
      <c r="H73" s="374"/>
      <c r="I73" s="374"/>
      <c r="J73" s="374"/>
      <c r="K73" s="374"/>
      <c r="L73" s="374"/>
      <c r="M73" s="374"/>
    </row>
    <row r="74" spans="1:13" x14ac:dyDescent="0.2">
      <c r="A74" s="211"/>
      <c r="B74" s="211"/>
      <c r="C74" s="374"/>
      <c r="D74" s="374"/>
      <c r="E74" s="374"/>
      <c r="F74" s="374"/>
      <c r="G74" s="374"/>
      <c r="H74" s="374"/>
      <c r="I74" s="374"/>
      <c r="J74" s="374"/>
      <c r="K74" s="374"/>
      <c r="L74" s="374"/>
      <c r="M74" s="374"/>
    </row>
    <row r="75" spans="1:13" x14ac:dyDescent="0.2">
      <c r="A75" s="211"/>
      <c r="B75" s="211"/>
      <c r="C75" s="374"/>
      <c r="D75" s="374"/>
      <c r="E75" s="374"/>
      <c r="F75" s="374"/>
      <c r="G75" s="374"/>
      <c r="H75" s="374"/>
      <c r="I75" s="374"/>
      <c r="J75" s="374"/>
      <c r="K75" s="374"/>
      <c r="L75" s="374"/>
      <c r="M75" s="374"/>
    </row>
    <row r="76" spans="1:13" x14ac:dyDescent="0.2">
      <c r="A76" s="211"/>
      <c r="B76" s="211"/>
      <c r="C76" s="374"/>
      <c r="D76" s="374"/>
      <c r="E76" s="374"/>
      <c r="F76" s="374"/>
      <c r="G76" s="374"/>
      <c r="H76" s="374"/>
      <c r="I76" s="374"/>
      <c r="J76" s="374"/>
      <c r="K76" s="374"/>
      <c r="L76" s="374"/>
      <c r="M76" s="374"/>
    </row>
    <row r="77" spans="1:13" x14ac:dyDescent="0.2">
      <c r="A77" s="211"/>
      <c r="B77" s="211"/>
      <c r="C77" s="374"/>
      <c r="D77" s="374"/>
      <c r="E77" s="374"/>
      <c r="F77" s="374"/>
      <c r="G77" s="374"/>
      <c r="H77" s="374"/>
      <c r="I77" s="374"/>
      <c r="J77" s="374"/>
      <c r="K77" s="374"/>
      <c r="L77" s="374"/>
      <c r="M77" s="374"/>
    </row>
    <row r="78" spans="1:13" x14ac:dyDescent="0.2">
      <c r="A78" s="211"/>
      <c r="B78" s="211"/>
      <c r="C78" s="374"/>
      <c r="D78" s="374"/>
      <c r="E78" s="374"/>
      <c r="F78" s="374"/>
      <c r="G78" s="374"/>
      <c r="H78" s="374"/>
      <c r="I78" s="374"/>
      <c r="J78" s="374"/>
      <c r="K78" s="374"/>
      <c r="L78" s="374"/>
      <c r="M78" s="374"/>
    </row>
    <row r="79" spans="1:13" x14ac:dyDescent="0.2">
      <c r="A79" s="211"/>
      <c r="B79" s="211"/>
      <c r="C79" s="374"/>
      <c r="D79" s="374"/>
      <c r="E79" s="374"/>
      <c r="F79" s="374"/>
      <c r="G79" s="374"/>
      <c r="H79" s="374"/>
      <c r="I79" s="374"/>
      <c r="J79" s="374"/>
      <c r="K79" s="374"/>
      <c r="L79" s="374"/>
      <c r="M79" s="374"/>
    </row>
    <row r="80" spans="1:13" x14ac:dyDescent="0.2">
      <c r="A80" s="211"/>
      <c r="B80" s="211"/>
      <c r="C80" s="374"/>
      <c r="D80" s="374"/>
      <c r="E80" s="374"/>
      <c r="F80" s="374"/>
      <c r="G80" s="374"/>
      <c r="H80" s="374"/>
      <c r="I80" s="374"/>
      <c r="J80" s="374"/>
      <c r="K80" s="374"/>
      <c r="L80" s="374"/>
      <c r="M80" s="374"/>
    </row>
    <row r="81" spans="1:13" x14ac:dyDescent="0.2">
      <c r="A81" s="211"/>
      <c r="B81" s="211"/>
      <c r="C81" s="374"/>
      <c r="D81" s="374"/>
      <c r="E81" s="374"/>
      <c r="F81" s="374"/>
      <c r="G81" s="374"/>
      <c r="H81" s="374"/>
      <c r="I81" s="374"/>
      <c r="J81" s="374"/>
      <c r="K81" s="374"/>
      <c r="L81" s="374"/>
      <c r="M81" s="374"/>
    </row>
    <row r="82" spans="1:13" x14ac:dyDescent="0.2">
      <c r="A82" s="211"/>
      <c r="B82" s="211"/>
      <c r="C82" s="374"/>
      <c r="D82" s="374"/>
      <c r="E82" s="374"/>
      <c r="F82" s="374"/>
      <c r="G82" s="374"/>
      <c r="H82" s="374"/>
      <c r="I82" s="374"/>
      <c r="J82" s="374"/>
      <c r="K82" s="374"/>
      <c r="L82" s="374"/>
      <c r="M82" s="374"/>
    </row>
    <row r="83" spans="1:13" x14ac:dyDescent="0.2">
      <c r="A83" s="211"/>
      <c r="B83" s="211"/>
      <c r="C83" s="374"/>
      <c r="D83" s="374"/>
      <c r="E83" s="374"/>
      <c r="F83" s="374"/>
      <c r="G83" s="374"/>
      <c r="H83" s="374"/>
      <c r="I83" s="374"/>
      <c r="J83" s="374"/>
      <c r="K83" s="374"/>
      <c r="L83" s="374"/>
      <c r="M83" s="374"/>
    </row>
    <row r="84" spans="1:13" x14ac:dyDescent="0.2">
      <c r="A84" s="211"/>
      <c r="B84" s="211"/>
      <c r="C84" s="374"/>
      <c r="D84" s="374"/>
      <c r="E84" s="374"/>
      <c r="F84" s="374"/>
      <c r="G84" s="374"/>
      <c r="H84" s="374"/>
      <c r="I84" s="374"/>
      <c r="J84" s="374"/>
      <c r="K84" s="374"/>
      <c r="L84" s="374"/>
      <c r="M84" s="374"/>
    </row>
    <row r="85" spans="1:13" x14ac:dyDescent="0.2">
      <c r="A85" s="211"/>
      <c r="B85" s="211"/>
      <c r="C85" s="374"/>
      <c r="D85" s="374"/>
      <c r="E85" s="374"/>
      <c r="F85" s="374"/>
      <c r="G85" s="374"/>
      <c r="H85" s="374"/>
      <c r="I85" s="374"/>
      <c r="J85" s="374"/>
      <c r="K85" s="374"/>
      <c r="L85" s="374"/>
      <c r="M85" s="374"/>
    </row>
    <row r="86" spans="1:13" x14ac:dyDescent="0.2">
      <c r="A86" s="211"/>
      <c r="B86" s="211"/>
      <c r="C86" s="374"/>
      <c r="D86" s="374"/>
      <c r="E86" s="374"/>
      <c r="F86" s="374"/>
      <c r="G86" s="374"/>
      <c r="H86" s="374"/>
      <c r="I86" s="374"/>
      <c r="J86" s="374"/>
      <c r="K86" s="374"/>
      <c r="L86" s="374"/>
      <c r="M86" s="374"/>
    </row>
    <row r="87" spans="1:13" x14ac:dyDescent="0.2">
      <c r="A87" s="211"/>
      <c r="B87" s="211"/>
      <c r="C87" s="374"/>
      <c r="D87" s="374"/>
      <c r="E87" s="374"/>
      <c r="F87" s="374"/>
      <c r="G87" s="374"/>
      <c r="H87" s="374"/>
      <c r="I87" s="374"/>
      <c r="J87" s="374"/>
      <c r="K87" s="374"/>
      <c r="L87" s="374"/>
      <c r="M87" s="374"/>
    </row>
    <row r="88" spans="1:13" x14ac:dyDescent="0.2">
      <c r="A88" s="211"/>
      <c r="B88" s="211"/>
      <c r="C88" s="374"/>
      <c r="D88" s="374"/>
      <c r="E88" s="374"/>
      <c r="F88" s="374"/>
      <c r="G88" s="374"/>
      <c r="H88" s="374"/>
      <c r="I88" s="374"/>
      <c r="J88" s="374"/>
      <c r="K88" s="374"/>
      <c r="L88" s="374"/>
      <c r="M88" s="374"/>
    </row>
    <row r="89" spans="1:13" x14ac:dyDescent="0.2">
      <c r="A89" s="211"/>
      <c r="B89" s="211"/>
      <c r="C89" s="374"/>
      <c r="D89" s="374"/>
      <c r="E89" s="374"/>
      <c r="F89" s="374"/>
      <c r="G89" s="374"/>
      <c r="H89" s="374"/>
      <c r="I89" s="374"/>
      <c r="J89" s="374"/>
      <c r="K89" s="374"/>
      <c r="L89" s="374"/>
      <c r="M89" s="374"/>
    </row>
    <row r="90" spans="1:13" x14ac:dyDescent="0.2">
      <c r="A90" s="211"/>
      <c r="B90" s="211"/>
      <c r="C90" s="374"/>
      <c r="D90" s="374"/>
      <c r="E90" s="374"/>
      <c r="F90" s="374"/>
      <c r="G90" s="374"/>
      <c r="H90" s="374"/>
      <c r="I90" s="374"/>
      <c r="J90" s="374"/>
      <c r="K90" s="374"/>
      <c r="L90" s="374"/>
      <c r="M90" s="37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2021-05-05T12:20:34Z</cp:lastPrinted>
  <dcterms:created xsi:type="dcterms:W3CDTF">1997-12-04T19:04:30Z</dcterms:created>
  <dcterms:modified xsi:type="dcterms:W3CDTF">2021-12-14T20:01:00Z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