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35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'DOE25'!$A$1:$L$673</definedName>
    <definedName name="_xlnm.Print_Area" localSheetId="2">'Food Service Attachment W'!$A$1:$E$39</definedName>
    <definedName name="_xlnm.Print_Area" localSheetId="4">'Indirect Cost Rate'!$A$1:$I$54</definedName>
    <definedName name="_xlnm.Print_Area" localSheetId="6">'MS-25'!$A$1:$G$164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H198" i="1"/>
  <c r="H234" i="1" l="1"/>
  <c r="H216"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H409" i="1" s="1"/>
  <c r="H645" i="1" s="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G477" i="1"/>
  <c r="J652" i="1" l="1"/>
  <c r="H663" i="1"/>
  <c r="C120" i="2"/>
  <c r="E123" i="2"/>
  <c r="J572" i="1"/>
  <c r="E110" i="2"/>
  <c r="J258" i="1"/>
  <c r="H140" i="1"/>
  <c r="E119" i="2"/>
  <c r="D6" i="13"/>
  <c r="C6" i="13" s="1"/>
  <c r="E13" i="13"/>
  <c r="C13" i="13" s="1"/>
  <c r="K353" i="1"/>
  <c r="G339" i="1"/>
  <c r="G353" i="1" s="1"/>
  <c r="E131" i="2"/>
  <c r="F258" i="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H661" i="1" l="1"/>
  <c r="H665" i="1" s="1"/>
  <c r="H668" i="1" s="1"/>
  <c r="G24" i="14"/>
  <c r="H24" i="14" s="1"/>
  <c r="I24" i="14" s="1"/>
  <c r="C81" i="2"/>
  <c r="F194" i="1"/>
  <c r="G628" i="1" s="1"/>
  <c r="J628" i="1" s="1"/>
  <c r="L572" i="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<sst xmlns="http://schemas.openxmlformats.org/spreadsheetml/2006/main" count="5577" uniqueCount="1676">
  <si>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</si>
  <si>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</si>
  <si>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</si>
  <si>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</si>
  <si>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</si>
  <si>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</si>
  <si>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</si>
  <si>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</si>
  <si>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</si>
  <si>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</si>
  <si>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</si>
  <si>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</si>
  <si>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</si>
  <si>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</si>
  <si>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</si>
  <si>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</si>
  <si>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</si>
  <si>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</si>
  <si>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</si>
  <si>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</si>
  <si>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</si>
  <si>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</si>
  <si>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</si>
  <si>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</si>
  <si>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</si>
  <si>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</si>
  <si>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</si>
  <si>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</si>
  <si>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</si>
  <si>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</si>
  <si>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</si>
  <si>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</si>
  <si>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</si>
  <si>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</si>
  <si>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</si>
  <si>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</si>
  <si>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</si>
  <si>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</si>
  <si>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</si>
  <si>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</si>
  <si>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</si>
  <si>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</si>
  <si>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</si>
  <si>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</si>
  <si>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</si>
  <si>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</si>
  <si>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</si>
  <si>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</si>
  <si>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</si>
  <si>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</si>
  <si>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</si>
  <si>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</si>
  <si>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</si>
  <si>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</si>
  <si>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</si>
  <si>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</si>
  <si>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</si>
  <si>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</si>
  <si>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</si>
  <si>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</si>
  <si>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</si>
  <si>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</si>
  <si>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</si>
  <si>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</si>
  <si>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</si>
  <si>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</si>
  <si>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</si>
  <si>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</si>
  <si>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</si>
  <si>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</si>
  <si>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</si>
  <si>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</si>
  <si>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</si>
  <si>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</si>
  <si>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</si>
  <si>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</si>
  <si>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</si>
  <si>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</si>
  <si>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</si>
  <si>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</si>
  <si>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</si>
  <si>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</si>
  <si>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</si>
  <si>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</si>
  <si>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</si>
  <si>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</si>
  <si>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</si>
  <si>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</si>
  <si>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</si>
  <si>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</si>
  <si>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</si>
  <si>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</si>
  <si>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</si>
  <si>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</si>
  <si>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</si>
  <si>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</si>
  <si>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</si>
  <si>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</si>
  <si>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</si>
  <si>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</si>
  <si>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</si>
  <si>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</si>
  <si>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</si>
  <si>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</si>
  <si>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</si>
  <si>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</si>
  <si>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</si>
  <si>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</si>
  <si>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</si>
  <si>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</si>
  <si>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</si>
  <si>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</si>
  <si>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</si>
  <si>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</si>
  <si>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</si>
  <si>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</si>
  <si>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</si>
  <si>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</si>
  <si>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</si>
  <si>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</si>
  <si>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</si>
  <si>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</si>
  <si>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</si>
  <si>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</si>
  <si>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</si>
  <si>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</si>
  <si>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</si>
  <si>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</si>
  <si>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</si>
  <si>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</si>
  <si>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</si>
  <si>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</si>
  <si>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</si>
  <si>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</si>
  <si>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</si>
  <si>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</si>
  <si>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</si>
  <si>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</si>
  <si>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</si>
  <si>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</si>
  <si>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</si>
  <si>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</si>
  <si>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</si>
  <si>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</si>
  <si>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</si>
  <si>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</si>
  <si>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</si>
  <si>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</si>
  <si>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</si>
  <si>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</si>
  <si>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</si>
  <si>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</si>
  <si>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</si>
  <si>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</si>
  <si>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</si>
  <si>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</si>
  <si>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</si>
  <si>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</si>
  <si>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</si>
  <si>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</si>
  <si>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</si>
  <si>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</si>
  <si>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</si>
  <si>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</si>
  <si>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</si>
  <si>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</si>
  <si>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</si>
  <si>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</si>
  <si>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</si>
  <si>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</si>
  <si>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</si>
  <si>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</si>
  <si>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</si>
  <si>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</si>
  <si>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</si>
  <si>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</si>
  <si>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</si>
  <si>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</si>
  <si>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</si>
  <si>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</si>
  <si>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</si>
  <si>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</si>
  <si>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</si>
  <si>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</si>
  <si>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</si>
  <si>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</si>
  <si>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</si>
  <si>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</si>
  <si>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</si>
  <si>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</si>
  <si>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</si>
  <si>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</si>
  <si>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</si>
  <si>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</si>
  <si>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</si>
  <si>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</si>
  <si>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</si>
  <si>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</si>
  <si>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</si>
  <si>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</si>
  <si>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</si>
  <si>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</si>
  <si>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</si>
  <si>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</si>
  <si>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</si>
  <si>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</si>
  <si>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</si>
  <si>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</si>
  <si>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</si>
  <si>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</si>
  <si>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</si>
  <si>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</si>
  <si>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</si>
  <si>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</si>
  <si>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</si>
  <si>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</si>
  <si>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</si>
  <si>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</si>
  <si>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</si>
  <si>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</si>
  <si>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</si>
  <si>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</si>
  <si>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</si>
  <si>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</si>
  <si>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</si>
  <si>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</si>
  <si>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</si>
  <si>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</si>
  <si>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</si>
  <si>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</si>
  <si>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</si>
  <si>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</si>
  <si>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</si>
  <si>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</si>
  <si>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</si>
  <si>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</si>
  <si>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</si>
  <si>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</si>
  <si>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</si>
  <si>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</si>
  <si>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</si>
  <si>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</si>
  <si>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</si>
  <si>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</si>
  <si>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</si>
  <si>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</si>
  <si>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</si>
  <si>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</si>
  <si>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</si>
  <si>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</si>
  <si>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</si>
  <si>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</si>
  <si>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</si>
  <si>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</si>
  <si>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</si>
  <si>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</si>
  <si>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</si>
  <si>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</si>
  <si>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</si>
  <si>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</si>
  <si>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</si>
  <si>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</si>
  <si>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</si>
  <si>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</si>
  <si>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</si>
  <si>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</si>
  <si>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</si>
  <si>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</si>
  <si>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</si>
  <si>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</si>
  <si>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</si>
  <si>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</si>
  <si>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</si>
  <si>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</si>
  <si>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</si>
  <si>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</si>
  <si>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</si>
  <si>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</si>
  <si>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</si>
  <si>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</si>
  <si>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</si>
  <si>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</si>
  <si>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</si>
  <si>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</si>
  <si>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</si>
  <si>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</si>
  <si>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</si>
  <si>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</si>
  <si>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</si>
  <si>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</si>
  <si>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</si>
  <si>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</si>
  <si>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</si>
  <si>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</si>
  <si>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</si>
  <si>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</si>
  <si>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</si>
  <si>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</si>
  <si>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</si>
  <si>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</si>
  <si>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</si>
  <si>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</si>
  <si>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</si>
  <si>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</si>
  <si>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</si>
  <si>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</si>
  <si>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</si>
  <si>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</si>
  <si>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</si>
  <si>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</si>
  <si>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</si>
  <si>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</si>
  <si>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</si>
  <si>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</si>
  <si>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</si>
  <si>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</si>
  <si>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</si>
  <si>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</si>
  <si>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</si>
  <si>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</si>
  <si>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</si>
  <si>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</si>
  <si>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</si>
  <si>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</si>
  <si>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</si>
  <si>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</si>
  <si>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</si>
  <si>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</si>
  <si>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</si>
  <si>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</si>
  <si>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</si>
  <si>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</si>
  <si>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</si>
  <si>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</si>
  <si>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</si>
  <si>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</si>
  <si>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</si>
  <si>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</si>
  <si>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</si>
  <si>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</si>
  <si>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</si>
  <si>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</si>
  <si>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</si>
  <si>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</si>
  <si>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</si>
  <si>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</si>
  <si>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</si>
  <si>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</si>
  <si>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</si>
  <si>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</si>
  <si>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</si>
  <si>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</si>
  <si>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</si>
  <si>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</si>
  <si>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</si>
  <si>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</si>
  <si>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</si>
  <si>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</si>
  <si>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</si>
  <si>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</si>
  <si>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</si>
  <si>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</si>
  <si>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</si>
  <si>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</si>
  <si>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</si>
  <si>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</si>
  <si>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</si>
  <si>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</si>
  <si>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</si>
  <si>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</si>
  <si>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</si>
  <si>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</si>
  <si>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</si>
  <si>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</si>
  <si>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</si>
  <si>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</si>
  <si>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</si>
  <si>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</si>
  <si>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</si>
  <si>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</si>
  <si>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</si>
  <si>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</si>
  <si>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</si>
  <si>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</si>
  <si>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</si>
  <si>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</si>
  <si>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</si>
  <si>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</si>
  <si>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</si>
  <si>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</si>
  <si>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</si>
  <si>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</si>
  <si>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</si>
  <si>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</si>
  <si>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</si>
  <si>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</si>
  <si>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</si>
  <si>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</si>
  <si>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</si>
  <si>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</si>
  <si>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</si>
  <si>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</si>
  <si>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</si>
  <si>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</si>
  <si>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</si>
  <si>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</si>
  <si>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</si>
  <si>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</si>
  <si>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</si>
  <si>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</si>
  <si>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</si>
  <si>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</si>
  <si>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</si>
  <si>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</si>
  <si>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</si>
  <si>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</si>
  <si>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</si>
  <si>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</si>
  <si>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</si>
  <si>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</si>
  <si>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</si>
  <si>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</si>
  <si>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</si>
  <si>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</si>
  <si>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</si>
  <si>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</si>
  <si>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</si>
  <si>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</si>
  <si>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</si>
  <si>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</si>
  <si>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</si>
  <si>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</si>
  <si>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</si>
  <si>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</si>
  <si>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</si>
  <si>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</si>
  <si>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</si>
  <si>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</si>
  <si>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</si>
  <si>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</si>
  <si>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</si>
  <si>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</si>
  <si>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</si>
  <si>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</si>
  <si>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</si>
  <si>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</si>
  <si>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</si>
  <si>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</si>
  <si>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</si>
  <si>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</si>
  <si>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</si>
  <si>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</si>
  <si>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</si>
  <si>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</si>
  <si>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</si>
  <si>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</si>
  <si>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</si>
  <si>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</si>
  <si>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</si>
  <si>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</si>
  <si>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</si>
  <si>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</si>
  <si>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</si>
  <si>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</si>
  <si>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</si>
  <si>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</si>
  <si>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</si>
  <si>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</si>
  <si>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</si>
  <si>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</si>
  <si>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</si>
  <si>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</si>
  <si>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</si>
  <si>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</si>
  <si>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</si>
  <si>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</si>
  <si>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</si>
  <si>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</si>
  <si>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</si>
  <si>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</si>
  <si>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</si>
  <si>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</si>
  <si>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</si>
  <si>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</si>
  <si>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</si>
  <si>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</si>
  <si>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</si>
  <si>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</si>
  <si>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</si>
  <si>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</si>
  <si>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</si>
  <si>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</si>
  <si>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</si>
  <si>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</si>
  <si>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</si>
  <si>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</si>
  <si>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</si>
  <si>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</si>
  <si>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</si>
  <si>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</si>
  <si>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</si>
  <si>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</si>
  <si>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</si>
  <si>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</si>
  <si>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</si>
  <si>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</si>
  <si>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</si>
  <si>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</si>
  <si>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</si>
  <si>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</si>
  <si>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</si>
  <si>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</si>
  <si>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</si>
  <si>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</si>
  <si>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</si>
  <si>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</si>
  <si>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</si>
  <si>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</si>
  <si>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</si>
  <si>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</si>
  <si>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</si>
  <si>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</si>
  <si>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</si>
  <si>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</si>
  <si>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</si>
  <si>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</si>
  <si>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</si>
  <si>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</si>
  <si>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</si>
  <si>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</si>
  <si>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</si>
  <si>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</si>
  <si>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</si>
  <si>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</si>
  <si>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</si>
  <si>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</si>
  <si>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</si>
  <si>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</si>
  <si>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</si>
  <si>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</si>
  <si>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</si>
  <si>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</si>
  <si>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</si>
  <si>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</si>
  <si>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</si>
  <si>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</si>
  <si>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</si>
  <si>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</si>
  <si>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</si>
  <si>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</si>
  <si>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</si>
  <si>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</si>
  <si>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</si>
  <si>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</si>
  <si>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</si>
  <si>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</si>
  <si>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</si>
  <si>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</si>
  <si>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</si>
  <si>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</si>
  <si>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</si>
  <si>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</si>
  <si>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</si>
  <si>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</si>
  <si>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</si>
  <si>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</si>
  <si>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</si>
  <si>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</si>
  <si>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</si>
  <si>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</si>
  <si>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</si>
  <si>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</si>
  <si>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</si>
  <si>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</si>
  <si>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</si>
  <si>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</si>
  <si>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</si>
  <si>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</si>
  <si>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</si>
  <si>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</si>
  <si>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</si>
  <si>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</si>
  <si>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</si>
  <si>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</si>
  <si>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</si>
  <si>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</si>
  <si>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</si>
  <si>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</si>
  <si>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</si>
  <si>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</si>
  <si>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</si>
  <si>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</si>
  <si>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</si>
  <si>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</si>
  <si>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</si>
  <si>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</si>
  <si>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</si>
  <si>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</si>
  <si>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</si>
  <si>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</si>
  <si>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</si>
  <si>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</si>
  <si>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</si>
  <si>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</si>
  <si>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</si>
  <si>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</si>
  <si>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</si>
  <si>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</si>
  <si>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</si>
  <si>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</si>
  <si>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</si>
  <si>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</si>
  <si>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</si>
  <si>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</si>
  <si>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</si>
  <si>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</si>
  <si>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</si>
  <si>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</si>
  <si>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</si>
  <si>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</si>
  <si>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</si>
  <si>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</si>
  <si>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</si>
  <si>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</si>
  <si>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</si>
  <si>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</si>
  <si>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</si>
  <si>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</si>
  <si>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</si>
  <si>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</si>
  <si>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</si>
  <si>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</si>
  <si>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</si>
  <si>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</si>
  <si>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</si>
  <si>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</si>
  <si>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</si>
  <si>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</si>
  <si>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</si>
  <si>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</si>
  <si>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</si>
  <si>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</si>
  <si>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</si>
  <si>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</si>
  <si>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</si>
  <si>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</si>
  <si>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</si>
  <si>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</si>
  <si>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</si>
  <si>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</si>
  <si>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</si>
  <si>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</si>
  <si>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</si>
  <si>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</si>
  <si>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</si>
  <si>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</si>
  <si>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</si>
  <si>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</si>
  <si>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</si>
  <si>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</si>
  <si>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</si>
  <si>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</si>
  <si>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</si>
  <si>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</si>
  <si>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</si>
  <si>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</si>
  <si>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</si>
  <si>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</si>
  <si>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</si>
  <si>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</si>
  <si>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</si>
  <si>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</si>
  <si>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</si>
  <si>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</si>
  <si>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</si>
  <si>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</si>
  <si>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</si>
  <si>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</si>
  <si>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</si>
  <si>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</si>
  <si>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</si>
  <si>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</si>
  <si>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</si>
  <si>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</si>
  <si>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</si>
  <si>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</si>
  <si>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</si>
  <si>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</si>
  <si>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</si>
  <si>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</si>
  <si>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</si>
  <si>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</si>
  <si>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</si>
  <si>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</si>
  <si>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</si>
  <si>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</si>
  <si>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</si>
  <si>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</si>
  <si>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</si>
  <si>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</si>
  <si>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</si>
  <si>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</si>
  <si>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</si>
  <si>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</si>
  <si>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</si>
  <si>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</si>
  <si>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</si>
  <si>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</si>
  <si>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</si>
  <si>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</si>
  <si>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</si>
  <si>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</si>
  <si>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</si>
  <si>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</si>
  <si>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</si>
  <si>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</si>
  <si>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</si>
  <si>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</si>
  <si>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</si>
  <si>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</si>
  <si>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</si>
  <si>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</si>
  <si>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</si>
  <si>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</si>
  <si>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</si>
  <si>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</si>
  <si>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</si>
  <si>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</si>
  <si>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</si>
  <si>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</si>
  <si>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</si>
  <si>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</si>
  <si>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</si>
  <si>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</si>
  <si>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</si>
  <si>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</si>
  <si>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</si>
  <si>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</si>
  <si>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</si>
  <si>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</si>
  <si>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</si>
  <si>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</si>
  <si>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</si>
  <si>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</si>
  <si>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</si>
  <si>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</si>
  <si>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</si>
  <si>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</si>
  <si>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</si>
  <si>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</si>
  <si>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</si>
  <si>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</si>
  <si>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</si>
  <si>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</si>
  <si>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</si>
  <si>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</si>
  <si>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</si>
  <si>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</si>
  <si>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</si>
  <si>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</si>
  <si>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</si>
  <si>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</si>
  <si>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</si>
  <si>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</si>
  <si>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</si>
  <si>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</si>
  <si>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</si>
  <si>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</si>
  <si>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</si>
  <si>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</si>
  <si>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</si>
  <si>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</si>
  <si>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</si>
  <si>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</si>
  <si>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</si>
  <si>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</si>
  <si>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</si>
  <si>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</si>
  <si>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</si>
  <si>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</si>
  <si>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</si>
  <si>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</si>
  <si>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</si>
  <si>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</si>
  <si>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</si>
  <si>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</si>
  <si>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</si>
  <si>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</si>
  <si>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</si>
  <si>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</si>
  <si>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</si>
  <si>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</si>
  <si>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</si>
  <si>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</si>
  <si>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</si>
  <si>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</si>
  <si>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</si>
  <si>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</si>
  <si>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</si>
  <si>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</si>
  <si>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</si>
  <si>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</si>
  <si>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</si>
  <si>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</si>
  <si>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</si>
  <si>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</si>
  <si>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</si>
  <si>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</si>
  <si>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</si>
  <si>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</si>
  <si>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</si>
  <si>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</si>
  <si>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</si>
  <si>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</si>
  <si>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</si>
  <si>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</si>
  <si>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</si>
  <si>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</si>
  <si>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</si>
  <si>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</si>
  <si>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</si>
  <si>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</si>
  <si>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</si>
  <si>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</si>
  <si>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</si>
  <si>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</si>
  <si>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</si>
  <si>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</si>
  <si>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</si>
  <si>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</si>
  <si>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</si>
  <si>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</si>
  <si>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</si>
  <si>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</si>
  <si>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</si>
  <si>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</si>
  <si>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</si>
  <si>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</si>
  <si>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</si>
  <si>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</si>
  <si>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</si>
  <si>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</si>
  <si>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</si>
  <si>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</si>
  <si>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</si>
  <si>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</si>
  <si>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</si>
  <si>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</si>
  <si>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</si>
  <si>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</si>
  <si>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</si>
  <si>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</si>
  <si>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</si>
  <si>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</si>
  <si>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</si>
  <si>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</si>
  <si>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</si>
  <si>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</si>
  <si>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</si>
  <si>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</si>
  <si>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</si>
  <si>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</si>
  <si>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</si>
  <si>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</si>
  <si>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</si>
  <si>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</si>
  <si>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</si>
  <si>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</si>
  <si>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</si>
  <si>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</si>
  <si>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</si>
  <si>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</si>
  <si>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</si>
  <si>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</si>
  <si>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</si>
  <si>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</si>
  <si>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</si>
  <si>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</si>
  <si>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</si>
  <si>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</si>
  <si>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</si>
  <si>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</si>
  <si>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</si>
  <si>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</si>
  <si>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</si>
  <si>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</si>
  <si>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</si>
  <si>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</si>
  <si>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</si>
  <si>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</si>
  <si>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</si>
  <si>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</si>
  <si>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</si>
  <si>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</si>
  <si>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</si>
  <si>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</si>
  <si>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</si>
  <si>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</si>
  <si>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</si>
  <si>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</si>
  <si>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</si>
  <si>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</si>
  <si>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</si>
  <si>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</si>
  <si>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</si>
  <si>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</si>
  <si>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</si>
  <si>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</si>
  <si>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</si>
  <si>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</si>
  <si>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</si>
  <si>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</si>
  <si>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</si>
  <si>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</si>
  <si>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</si>
  <si>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</si>
  <si>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</si>
  <si>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</si>
  <si>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</si>
  <si>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</si>
  <si>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</si>
  <si>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</si>
  <si>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</si>
  <si>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</si>
  <si>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</si>
  <si>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</si>
  <si>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</si>
  <si>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</si>
  <si>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</si>
  <si>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</si>
  <si>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</si>
  <si>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</si>
  <si>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</si>
  <si>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</si>
  <si>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</si>
  <si>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</si>
  <si>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</si>
  <si>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</si>
  <si>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</si>
  <si>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</si>
  <si>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</si>
  <si>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</si>
  <si>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</si>
  <si>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</si>
  <si>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</si>
  <si>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</si>
  <si>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</si>
  <si>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</si>
  <si>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</si>
  <si>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</si>
  <si>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</si>
  <si>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</si>
  <si>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</si>
  <si>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</si>
  <si>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</si>
  <si>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</si>
  <si>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</si>
  <si>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</si>
  <si>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</si>
  <si>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</si>
  <si>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</si>
  <si>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</si>
  <si>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</si>
  <si>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</si>
  <si>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</si>
  <si>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</si>
  <si>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</si>
  <si>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</si>
  <si>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</si>
  <si>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</si>
  <si>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</si>
  <si>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</si>
  <si>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</si>
  <si>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</si>
  <si>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</si>
  <si>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</si>
  <si>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</si>
  <si>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</si>
  <si>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</si>
  <si>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</si>
  <si>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</si>
  <si>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</si>
  <si>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</si>
  <si>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</si>
  <si>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</si>
  <si>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</si>
  <si>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</si>
  <si>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</si>
  <si>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</si>
  <si>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</si>
  <si>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</si>
  <si>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</si>
  <si>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</si>
  <si>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</si>
  <si>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</si>
  <si>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</si>
  <si>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</si>
  <si>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</si>
  <si>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</si>
  <si>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</si>
  <si>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</si>
  <si>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</si>
  <si>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</si>
  <si>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</si>
  <si>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</si>
  <si>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</si>
  <si>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</si>
  <si>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</si>
  <si>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</si>
  <si>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</si>
  <si>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</si>
  <si>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</si>
  <si>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</si>
  <si>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</si>
  <si>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</si>
  <si>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</si>
  <si>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</si>
  <si>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</si>
  <si>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</si>
  <si>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</si>
  <si>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</si>
  <si>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</si>
  <si>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</si>
  <si>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</si>
  <si>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</si>
  <si>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</si>
  <si>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</si>
  <si>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</si>
  <si>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</si>
  <si>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</si>
  <si>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</si>
  <si>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</si>
  <si>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</si>
  <si>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</si>
  <si>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</si>
  <si>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</si>
  <si>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</si>
  <si>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</si>
  <si>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</si>
  <si>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</si>
  <si>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</si>
  <si>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</si>
  <si>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</si>
  <si>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</si>
  <si>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</si>
  <si>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</si>
  <si>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</si>
  <si>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</si>
  <si>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</si>
  <si>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</si>
  <si>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</si>
  <si>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</si>
  <si>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</si>
  <si>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</si>
  <si>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</si>
  <si>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</si>
  <si>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</si>
  <si>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</si>
  <si>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</si>
  <si>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</si>
  <si>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</si>
  <si>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</si>
  <si>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</si>
  <si>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</si>
  <si>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</si>
  <si>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</si>
  <si>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</si>
  <si>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</si>
  <si>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</si>
  <si>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</si>
  <si>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</si>
  <si>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</si>
  <si>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</si>
  <si>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</si>
  <si>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</si>
  <si>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</si>
  <si>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</si>
  <si>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</si>
  <si>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</si>
  <si>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</si>
  <si>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</si>
  <si>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</si>
  <si>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</si>
  <si>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</si>
  <si>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</si>
  <si>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</si>
  <si>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</si>
  <si>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</si>
  <si>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</si>
  <si>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</si>
  <si>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</si>
  <si>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</si>
  <si>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</si>
  <si>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</si>
  <si>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</si>
  <si>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</si>
  <si>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</si>
  <si>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</si>
  <si>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</si>
  <si>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</si>
  <si>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</si>
  <si>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</si>
  <si>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</si>
  <si>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</si>
  <si>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</si>
  <si>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</si>
  <si>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</si>
  <si>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</si>
  <si>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</si>
  <si>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</si>
  <si>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</si>
  <si>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</si>
  <si>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</si>
  <si>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</si>
  <si>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</si>
  <si>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</si>
  <si>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</si>
  <si>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</si>
  <si>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</si>
  <si>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</si>
  <si>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</si>
  <si>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</si>
  <si>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</si>
  <si>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</si>
  <si>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</si>
  <si>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</si>
  <si>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</si>
  <si>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</si>
  <si>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</si>
  <si>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</si>
  <si>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</si>
  <si>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</si>
  <si>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</si>
  <si>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</si>
  <si>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</si>
  <si>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</si>
  <si>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</si>
  <si>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</si>
  <si>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</si>
  <si>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</si>
  <si>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</si>
  <si>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</si>
  <si>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</si>
  <si>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</si>
  <si>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</si>
  <si>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</si>
  <si>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</si>
  <si>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</si>
  <si>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</si>
  <si>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</si>
  <si>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</si>
  <si>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</si>
  <si>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</si>
  <si>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</si>
  <si>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</si>
  <si>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</si>
  <si>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</si>
  <si>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</si>
  <si>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</si>
  <si>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</si>
  <si>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</si>
  <si>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</si>
  <si>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</si>
  <si>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</si>
  <si>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</si>
  <si>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</si>
  <si>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</si>
  <si>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</si>
  <si>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</si>
  <si>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</si>
  <si>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</si>
  <si>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</si>
  <si>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</si>
  <si>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</si>
  <si>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</si>
  <si>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</si>
  <si>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</si>
  <si>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</si>
  <si>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</si>
  <si>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</si>
  <si>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</si>
  <si>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</si>
  <si>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</si>
  <si>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</si>
  <si>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</si>
  <si>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</si>
  <si>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</si>
  <si>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</si>
  <si>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</si>
  <si>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</si>
  <si>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</si>
  <si>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</si>
  <si>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</si>
  <si>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</si>
  <si>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</si>
  <si>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</si>
  <si>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</si>
  <si>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</si>
  <si>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</si>
  <si>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</si>
  <si>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</si>
  <si>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</si>
  <si>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</si>
  <si>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</si>
  <si>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</si>
  <si>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</si>
  <si>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</si>
  <si>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</si>
  <si>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</si>
  <si>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</si>
  <si>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</si>
  <si>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</si>
  <si>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</si>
  <si>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</si>
  <si>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</si>
  <si>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</si>
  <si>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</si>
  <si>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</si>
  <si>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</si>
  <si>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</si>
  <si>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</si>
  <si>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</si>
  <si>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</si>
  <si>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</si>
  <si>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</si>
  <si>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</si>
  <si>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</si>
  <si>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</si>
  <si>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</si>
  <si>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</si>
  <si>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</si>
  <si>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</si>
  <si>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</si>
  <si>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</si>
  <si>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</si>
  <si>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</si>
  <si>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</si>
  <si>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</si>
  <si>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</si>
  <si>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</si>
  <si>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</si>
  <si>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</si>
  <si>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</si>
  <si>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</si>
  <si>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</si>
  <si>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</si>
  <si>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</si>
  <si>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</si>
  <si>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</si>
  <si>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</si>
  <si>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</si>
  <si>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</si>
  <si>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</si>
  <si>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</si>
  <si>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</si>
  <si>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</si>
  <si>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</si>
  <si>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</si>
  <si>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</si>
  <si>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</si>
  <si>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</si>
  <si>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</si>
  <si>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</si>
  <si>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</si>
  <si>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</si>
  <si>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</si>
  <si>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</si>
  <si>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</si>
  <si>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</si>
  <si>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</si>
  <si>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</si>
  <si>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</si>
  <si>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</si>
  <si>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</si>
  <si>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</si>
  <si>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</si>
  <si>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</si>
  <si>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</si>
  <si>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</si>
  <si>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</si>
  <si>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</si>
  <si>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</si>
  <si>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</si>
  <si>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</si>
  <si>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</si>
  <si>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</si>
  <si>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</si>
  <si>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</si>
  <si>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</si>
  <si>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</si>
  <si>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</si>
  <si>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</si>
  <si>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</si>
  <si>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</si>
  <si>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</si>
  <si>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</si>
  <si>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</si>
  <si>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</si>
  <si>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</si>
  <si>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</si>
  <si>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</si>
  <si>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</si>
  <si>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</si>
  <si>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</si>
  <si>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</si>
  <si>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</si>
  <si>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</si>
  <si>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</si>
  <si>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</si>
  <si>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</si>
  <si>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</si>
  <si>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</si>
  <si>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</si>
  <si>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</si>
  <si>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</si>
  <si>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</si>
  <si>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</si>
  <si>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</si>
  <si>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</si>
  <si>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</si>
  <si>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</si>
  <si>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</si>
  <si>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</si>
  <si>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</si>
  <si>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</si>
  <si>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</si>
  <si>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</si>
  <si>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</si>
  <si>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</si>
  <si>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</si>
  <si>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</si>
  <si>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</si>
  <si>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</si>
  <si>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</si>
  <si>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</si>
  <si>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</si>
  <si>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</si>
  <si>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</si>
  <si>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</si>
  <si>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</si>
  <si>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</si>
  <si>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</si>
  <si>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</si>
  <si>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</si>
  <si>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</si>
  <si>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</si>
  <si>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</si>
  <si>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</si>
  <si>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</si>
  <si>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</si>
  <si>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</si>
  <si>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</si>
  <si>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</si>
  <si>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</si>
  <si>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</si>
  <si>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</si>
  <si>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</si>
  <si>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</si>
  <si>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</si>
  <si>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</si>
  <si>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</si>
  <si>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</si>
  <si>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</si>
  <si>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</si>
  <si>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</si>
  <si>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</si>
  <si>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</si>
  <si>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</si>
  <si>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</si>
  <si>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</si>
  <si>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</si>
  <si>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</si>
  <si>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</si>
  <si>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</si>
  <si>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</si>
  <si>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</si>
  <si>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</si>
  <si>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</si>
  <si>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</si>
  <si>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</si>
  <si>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</si>
  <si>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</si>
  <si>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</si>
  <si>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</si>
  <si>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</si>
  <si>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</si>
  <si>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</si>
  <si>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</si>
  <si>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</si>
  <si>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</si>
  <si>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</si>
  <si>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</si>
  <si>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</si>
  <si>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</si>
  <si>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</si>
  <si>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</si>
  <si>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</si>
  <si>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</si>
  <si>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</si>
  <si>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</si>
  <si>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</si>
  <si>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</si>
  <si>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</si>
  <si>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</si>
  <si>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</si>
  <si>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</si>
  <si>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</si>
  <si>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</si>
  <si>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</si>
  <si>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</si>
  <si>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</si>
  <si>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</si>
  <si>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</si>
  <si>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</si>
  <si>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</si>
  <si>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</si>
  <si>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</si>
  <si>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</si>
  <si>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</si>
  <si>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</si>
  <si>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</si>
  <si>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</si>
  <si>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</si>
  <si>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</si>
  <si>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</si>
  <si>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</si>
  <si>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</si>
  <si>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</si>
  <si>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</si>
  <si>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</si>
  <si>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</si>
  <si>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</si>
  <si>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</si>
  <si>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</si>
  <si>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</si>
  <si>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</si>
  <si>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</si>
  <si>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</si>
  <si>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</si>
  <si>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</si>
  <si>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</si>
  <si>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</si>
  <si>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</si>
  <si>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</si>
  <si>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</si>
  <si>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</si>
  <si>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</si>
  <si>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</si>
  <si>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</si>
  <si>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</si>
  <si>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</si>
  <si>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</si>
  <si>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</si>
  <si>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</si>
  <si>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</si>
  <si>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</si>
  <si>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</si>
  <si>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</si>
  <si>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</si>
  <si>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</si>
  <si>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</si>
  <si>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</si>
  <si>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</si>
  <si>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</si>
  <si>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</si>
  <si>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</si>
  <si>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</si>
  <si>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</si>
  <si>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</si>
  <si>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</si>
  <si>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</si>
  <si>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</si>
  <si>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</si>
  <si>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</si>
  <si>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</si>
  <si>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</si>
  <si>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</si>
  <si>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</si>
  <si>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</si>
  <si>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</si>
  <si>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</si>
  <si>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</si>
  <si>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</si>
  <si>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</si>
  <si>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</si>
  <si>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</si>
  <si>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</si>
  <si>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</si>
  <si>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</si>
  <si>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</si>
  <si>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</si>
  <si>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</si>
  <si>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</si>
  <si>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</si>
  <si>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</si>
  <si>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</si>
  <si>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</si>
  <si>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</si>
  <si>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</si>
  <si>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</si>
  <si>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</si>
  <si>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</si>
  <si>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</si>
  <si>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</si>
  <si>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</si>
  <si>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</si>
  <si>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</si>
  <si>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</si>
  <si>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</si>
  <si>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</si>
  <si>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</si>
  <si>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</si>
  <si>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</si>
  <si>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</si>
  <si>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</si>
  <si>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</si>
  <si>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</si>
  <si>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</si>
  <si>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</si>
  <si>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</si>
  <si>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</si>
  <si>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</si>
  <si>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</si>
  <si>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</si>
  <si>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</si>
  <si>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</si>
  <si>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</si>
  <si>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</si>
  <si>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</si>
  <si>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</si>
  <si>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</si>
  <si>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</si>
  <si>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</si>
  <si>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</si>
  <si>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</si>
  <si>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</si>
  <si>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</si>
  <si>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</si>
  <si>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</si>
  <si>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</si>
  <si>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</si>
  <si>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</si>
  <si>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</si>
  <si>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</si>
  <si>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</si>
  <si>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</si>
  <si>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</si>
  <si>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</si>
  <si>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</si>
  <si>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</si>
  <si>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</si>
  <si>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</si>
  <si>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</si>
  <si>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</si>
  <si>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</si>
  <si>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</si>
  <si>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</si>
  <si>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</si>
  <si>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</si>
  <si>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</si>
  <si>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</si>
  <si>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</si>
  <si>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</si>
  <si>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</si>
  <si>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</si>
  <si>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</si>
  <si>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</si>
  <si>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</si>
  <si>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</si>
  <si>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</si>
  <si>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</si>
  <si>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</si>
  <si>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</si>
  <si>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</si>
  <si>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</si>
  <si>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</si>
  <si>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</si>
  <si>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</si>
  <si>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</si>
  <si>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</si>
  <si>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</si>
  <si>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</si>
  <si>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</si>
  <si>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</si>
  <si>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</si>
  <si>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</si>
  <si>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</si>
  <si>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</si>
  <si>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</si>
  <si>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</si>
  <si>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</si>
  <si>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</si>
  <si>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</si>
  <si>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</si>
  <si>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</si>
  <si>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</si>
  <si>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</si>
  <si>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</si>
  <si>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</si>
  <si>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</si>
  <si>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</si>
  <si>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</si>
  <si>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</si>
  <si>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</si>
  <si>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</si>
  <si>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</si>
  <si>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</si>
  <si>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</si>
  <si>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</si>
  <si>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</si>
  <si>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</si>
  <si>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</si>
  <si>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</si>
  <si>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</si>
  <si>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</si>
  <si>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</si>
  <si>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</si>
  <si>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</si>
  <si>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</si>
  <si>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</si>
  <si>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</si>
  <si>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</si>
  <si>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</si>
  <si>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</si>
  <si>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</si>
  <si>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</si>
  <si>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</si>
  <si>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</si>
  <si>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</si>
  <si>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</si>
  <si>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</si>
  <si>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</si>
  <si>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</si>
  <si>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</si>
  <si>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</si>
  <si>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</si>
  <si>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</si>
  <si>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</si>
  <si>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</si>
  <si>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</si>
  <si>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</si>
  <si>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</si>
  <si>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</si>
  <si>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</si>
  <si>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</si>
  <si>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</si>
  <si>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</si>
  <si>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</si>
  <si>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</si>
  <si>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</si>
  <si>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</si>
  <si>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</si>
  <si>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</si>
  <si>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</si>
  <si>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</si>
  <si>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</si>
  <si>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</si>
  <si>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</si>
  <si>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</si>
  <si>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</si>
  <si>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</si>
  <si>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</si>
  <si>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</si>
  <si>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</si>
  <si>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</si>
  <si>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</si>
  <si>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</si>
  <si>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</si>
  <si>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</si>
  <si>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</si>
  <si>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</si>
  <si>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</si>
  <si>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N/A Tutioned students</t>
  </si>
  <si>
    <t>Per Phone Call with Mary Henry on 11.19.21, the 3400 was added to row 24 - MPM</t>
  </si>
  <si>
    <t>Per Phone Call With Mary Henry on 11.19.21,"No" was put for if the food service numbers were audited. - MPM</t>
  </si>
  <si>
    <t>Windsor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</si>
</sst>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pageSetUpPr fitToPage="1"/>
  </sheetPr>
  <dimension ref="A1:CH677"/>
  <sheetViews>
    <sheetView tabSelected="1" zoomScale="110" zoomScaleNormal="110" workbookViewId="0">
      <pane xSplit="5" ySplit="3" topLeftCell="F4" activePane="bottomRight" state="frozen"/>
      <selection pane="topRight" activeCell="F1" sqref="F1"/>
      <selection pane="bottomLeft" activeCell="A4" sqref="A4"/>
      <selection pane="bottomRight" activeCell="A3" sqref="A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579</v>
      </c>
      <c r="C2" s="21">
        <v>579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208752.37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208752.37</v>
      </c>
      <c r="G19" s="41">
        <f>SUM(G9:G18)</f>
        <v>0</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124982.67</v>
      </c>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124982.67</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6044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77726-0.3</f>
        <v>77725.7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83769.7</v>
      </c>
      <c r="G51" s="41">
        <f>SUM(G35:G50)</f>
        <v>0</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208752.37</v>
      </c>
      <c r="G52" s="41">
        <f>G51+G32</f>
        <v>0</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184869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184869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159.46</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159.46</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185028.46</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94453.47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56901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151354.47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151354.47</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3400</v>
      </c>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3400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3400</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339782.93</v>
      </c>
      <c r="G194" s="47">
        <f>G112+G140+G170+G193</f>
        <v>0</v>
      </c>
      <c r="H194" s="47">
        <f>H112+H140+H170+H193</f>
        <v>0</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f>116756.9+1637.17</f>
        <v>118394.06999999999</v>
      </c>
      <c r="I198" s="18"/>
      <c r="J198" s="18"/>
      <c r="K198" s="18"/>
      <c r="L198" s="19">
        <f>SUM(F198:K198)</f>
        <v>118394.06999999999</v>
      </c>
      <c r="M198" s="8"/>
      <c r="N198" s="266"/>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v>9230.49</v>
      </c>
      <c r="I205" s="18"/>
      <c r="J205" s="18"/>
      <c r="K205" s="18"/>
      <c r="L205" s="19">
        <f t="shared" si="0"/>
        <v>9230.49</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4506.24</v>
      </c>
      <c r="I209" s="18"/>
      <c r="J209" s="18"/>
      <c r="K209" s="18"/>
      <c r="L209" s="19">
        <f t="shared" si="0"/>
        <v>4506.24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132130.79999999999</v>
      </c>
      <c r="I212" s="41">
        <f t="shared" si="1"/>
        <v>0</v>
      </c>
      <c r="J212" s="41">
        <f t="shared" si="1"/>
        <v>0</v>
      </c>
      <c r="K212" s="41">
        <f t="shared" si="1"/>
        <v>0</v>
      </c>
      <c r="L212" s="41">
        <f t="shared" si="1"/>
        <v>132130.79999999999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f>42874.12+601.18</f>
        <v>43475.3</v>
      </c>
      <c r="I216" s="18"/>
      <c r="J216" s="18"/>
      <c r="K216" s="18"/>
      <c r="L216" s="19">
        <f>SUM(F216:K216)</f>
        <v>43475.3</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3461.43</v>
      </c>
      <c r="I223" s="18"/>
      <c r="J223" s="18"/>
      <c r="K223" s="18"/>
      <c r="L223" s="19">
        <f t="shared" si="2"/>
        <v>3461.43</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1689.84</v>
      </c>
      <c r="I227" s="18"/>
      <c r="J227" s="18"/>
      <c r="K227" s="18"/>
      <c r="L227" s="19">
        <f t="shared" si="2"/>
        <v>1689.84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48626.57</v>
      </c>
      <c r="I230" s="41">
        <f>SUM(I216:I229)</f>
        <v>0</v>
      </c>
      <c r="J230" s="41">
        <f>SUM(J216:J229)</f>
        <v>0</v>
      </c>
      <c r="K230" s="41">
        <f t="shared" si="3"/>
        <v>0</v>
      </c>
      <c r="L230" s="41">
        <f t="shared" si="3"/>
        <v>48626.57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82844.59+1161.65</f>
        <v>84006.239999999991</v>
      </c>
      <c r="I234" s="18"/>
      <c r="J234" s="18"/>
      <c r="K234" s="18"/>
      <c r="L234" s="19">
        <f>SUM(F234:K234)</f>
        <v>84006.239999999991</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v>6538.26</v>
      </c>
      <c r="I241" s="18"/>
      <c r="J241" s="18"/>
      <c r="K241" s="18"/>
      <c r="L241" s="19">
        <f t="shared" si="4"/>
        <v>6538.26</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3191.92</v>
      </c>
      <c r="I245" s="18"/>
      <c r="J245" s="18"/>
      <c r="K245" s="18"/>
      <c r="L245" s="19">
        <f t="shared" si="4"/>
        <v>3191.92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93736.419999999984</v>
      </c>
      <c r="I248" s="41">
        <f t="shared" si="5"/>
        <v>0</v>
      </c>
      <c r="J248" s="41">
        <f t="shared" si="5"/>
        <v>0</v>
      </c>
      <c r="K248" s="41">
        <f t="shared" si="5"/>
        <v>0</v>
      </c>
      <c r="L248" s="41">
        <f t="shared" si="5"/>
        <v>93736.419999999984</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274493.78999999998</v>
      </c>
      <c r="I258" s="41">
        <f t="shared" si="8"/>
        <v>0</v>
      </c>
      <c r="J258" s="41">
        <f t="shared" si="8"/>
        <v>0</v>
      </c>
      <c r="K258" s="41">
        <f t="shared" si="8"/>
        <v>0</v>
      </c>
      <c r="L258" s="41">
        <f t="shared" si="8"/>
        <v>274493.78999999998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274493.78999999998</v>
      </c>
      <c r="I272" s="42">
        <f t="shared" si="11"/>
        <v>0</v>
      </c>
      <c r="J272" s="42">
        <f t="shared" si="11"/>
        <v>0</v>
      </c>
      <c r="K272" s="42">
        <f t="shared" si="11"/>
        <v>0</v>
      </c>
      <c r="L272" s="42">
        <f t="shared" si="11"/>
        <v>274493.78999999998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18480.560000000001</v>
      </c>
      <c r="G466" s="18"/>
      <c r="H466" s="18"/>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339782.93</v>
      </c>
      <c r="G469" s="18"/>
      <c r="H469" s="18"/>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339782.93</v>
      </c>
      <c r="G471" s="53">
        <f>SUM(G469:G470)</f>
        <v>0</v>
      </c>
      <c r="H471" s="53">
        <f>SUM(H469:H470)</f>
        <v>0</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274493.78999999998</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274493.78999999998</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83769.700000000012</v>
      </c>
      <c r="G477" s="53">
        <f>(G466+G471)- G475</f>
        <v>0</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0</v>
      </c>
      <c r="I525" s="108">
        <f t="shared" si="36"/>
        <v>0</v>
      </c>
      <c r="J525" s="108">
        <f t="shared" si="36"/>
        <v>0</v>
      </c>
      <c r="K525" s="108">
        <f t="shared" si="36"/>
        <v>0</v>
      </c>
      <c r="L525" s="89">
        <f t="shared" si="36"/>
        <v>0</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116756.9</v>
      </c>
      <c r="G576" s="18">
        <v>42874.12</v>
      </c>
      <c r="H576" s="18">
        <v>82844.59</v>
      </c>
      <c r="I576" s="87">
        <f>SUM(F576:H576)</f>
        <v>242475.61</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4506.24</v>
      </c>
      <c r="I592" s="18">
        <v>1689.84</v>
      </c>
      <c r="J592" s="18">
        <v>3191.92</v>
      </c>
      <c r="K592" s="104">
        <f t="shared" ref="K592:K598" si="48">SUM(H592:J592)</f>
        <v>9388</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4506.24</v>
      </c>
      <c r="I599" s="108">
        <f>SUM(I592:I598)</f>
        <v>1689.84</v>
      </c>
      <c r="J599" s="108">
        <f>SUM(J592:J598)</f>
        <v>3191.92</v>
      </c>
      <c r="K599" s="108">
        <f>SUM(K592:K598)</f>
        <v>9388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208752.37</v>
      </c>
      <c r="H618" s="109">
        <f>SUM(F52)</f>
        <v>208752.37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83769.7</v>
      </c>
      <c r="H623" s="109">
        <f>F477</f>
        <v>83769.700000000012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339782.93</v>
      </c>
      <c r="H628" s="104">
        <f>SUM(F469)</f>
        <v>339782.93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274493.78999999998</v>
      </c>
      <c r="H633" s="104">
        <f>SUM(F473)</f>
        <v>274493.78999999998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9388</v>
      </c>
      <c r="H648" s="104">
        <f>L209+L227+L245</f>
        <v>9388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4506.24</v>
      </c>
      <c r="H650" s="104">
        <f>H599</f>
        <v>4506.24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1689.84</v>
      </c>
      <c r="H651" s="104">
        <f>I599</f>
        <v>1689.84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3191.92</v>
      </c>
      <c r="H652" s="104">
        <f>J599</f>
        <v>3191.92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132130.79999999999</v>
      </c>
      <c r="G661" s="19">
        <f>(L230+L310+L360)</f>
        <v>48626.57</v>
      </c>
      <c r="H661" s="19">
        <f>(L248+L329+L361)</f>
        <v>93736.419999999984</v>
      </c>
      <c r="I661" s="19">
        <f>SUM(F661:H661)</f>
        <v>274493.78999999998</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4506.24</v>
      </c>
      <c r="G663" s="19">
        <f>(L227+L307)-(J227+J307)</f>
        <v>1689.84</v>
      </c>
      <c r="H663" s="19">
        <f>(L245+L326)-(J245+J326)</f>
        <v>3191.92</v>
      </c>
      <c r="I663" s="19">
        <f>SUM(F663:H663)</f>
        <v>9388</v>
      </c>
      <c r="J663"/>
      <c r="K663" s="13"/>
      <c r="L663" s="13"/>
      <c r="M663" s="9"/>
    </row>
    <row r="664" spans="1:13" s="3" customFormat="1" ht="12.2" customHeight="1" x14ac:dyDescent="0.15">
      <c r="A664" s="198" t="s">
        <v>129</v>
      </c>
      <c r="B664" s="169"/>
      <c r="C664" s="169"/>
      <c r="D664" s="169"/>
      <c r="E664" s="169"/>
      <c r="F664" s="199">
        <f>SUM(F576:F588)+SUM(H603:H605)+SUM(L612)</f>
        <v>116756.9</v>
      </c>
      <c r="G664" s="199">
        <f>SUM(G576:G588)+SUM(I603:I605)+L613</f>
        <v>42874.12</v>
      </c>
      <c r="H664" s="199">
        <f>SUM(H576:H588)+SUM(J603:J605)+L614</f>
        <v>82844.59</v>
      </c>
      <c r="I664" s="19">
        <f>SUM(F664:H664)</f>
        <v>242475.61</v>
      </c>
      <c r="J664" s="13"/>
      <c r="K664" s="13"/>
      <c r="L664" s="13"/>
      <c r="M664" s="9"/>
    </row>
    <row r="665" spans="1:13" s="3" customFormat="1" ht="12.2" customHeight="1" x14ac:dyDescent="0.15">
      <c r="A665" s="1" t="s">
        <v>130</v>
      </c>
      <c r="F665" s="19">
        <f>F661-SUM(F662:F664)</f>
        <v>10867.659999999989</v>
      </c>
      <c r="G665" s="19">
        <f>G661-SUM(G662:G664)</f>
        <v>4062.6100000000006</v>
      </c>
      <c r="H665" s="19">
        <f>H661-SUM(H662:H664)</f>
        <v>7699.9099999999889</v>
      </c>
      <c r="I665" s="19">
        <f>I661-SUM(I662:I664)</f>
        <v>22630.179999999993</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-10867.66</v>
      </c>
      <c r="G670" s="18">
        <v>-4062.61</v>
      </c>
      <c r="H670" s="18">
        <v>-7699.91</v>
      </c>
      <c r="I670" s="19">
        <f>SUM(F670:H670)</f>
        <v>-22630.18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horizontalCentered="1" gridLines="1" gridLinesSet="0"/>
  <pageMargins left="0.3" right="0.3" top="0.75" bottom="0.5" header="0.5" footer="0.5"/>
  <pageSetup scale="70" fitToHeight="0"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11" man="1"/>
    <brk id="170" max="11" man="1"/>
    <brk id="194" max="11" man="1"/>
    <brk id="212" max="11" man="1"/>
    <brk id="230" max="11" man="1"/>
    <brk id="248" max="11" man="1"/>
    <brk id="272" max="11" man="1"/>
    <brk id="291" max="11" man="1"/>
    <brk id="310" max="11" man="1"/>
    <brk id="329" max="11" man="1"/>
    <brk id="353" max="11" man="1"/>
    <brk id="383" max="11" man="1"/>
    <brk id="409" max="11" man="1"/>
    <brk id="435" max="11" man="1"/>
    <brk id="462" max="11" man="1"/>
    <brk id="486" max="11" man="1"/>
    <brk id="518" max="11" man="1"/>
    <brk id="553" max="11" man="1"/>
    <brk id="589" max="11" man="1"/>
    <brk id="616" max="11" man="1"/>
    <brk id="657" max="11"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C22" sqref="C22"/>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3400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3400</v>
      </c>
      <c r="F22" s="348"/>
    </row>
    <row r="23" spans="2:8" x14ac:dyDescent="0.25">
      <c r="B23" s="348"/>
      <c r="C23" s="348"/>
      <c r="D23" s="348"/>
      <c r="E23" s="348"/>
      <c r="F23" s="348"/>
    </row>
    <row r="24" spans="2:8" ht="26.25" customHeight="1" x14ac:dyDescent="0.25">
      <c r="B24" s="348"/>
      <c r="C24" s="350" t="s">
        <v>1661</v>
      </c>
      <c r="D24" s="348"/>
      <c r="E24" s="343">
        <v>3400</v>
      </c>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Windsor</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t="s">
        <v>1672</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Windsor</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Windsor</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245875.61</v>
      </c>
      <c r="D5" s="20">
        <f>SUM('DOE25'!L198:L201)+SUM('DOE25'!L216:L219)+SUM('DOE25'!L234:L237)-F5-G5-H5</f>
        <v>245875.61</v>
      </c>
      <c r="E5" s="243"/>
      <c r="F5" s="244"/>
      <c r="G5" s="53">
        <f>SUM('DOE25'!J198:J201)+SUM('DOE25'!J216:J219)+SUM('DOE25'!J234:J237)</f>
        <v>0</v>
      </c>
      <c r="H5" s="53">
        <f>SUM('DOE25'!K198:K201)+SUM('DOE25'!K216:K219)+SUM('DOE25'!K234:K237)</f>
        <v>0</v>
      </c>
      <c r="I5" s="256"/>
    </row>
    <row r="6" spans="1:9" x14ac:dyDescent="0.2">
      <c r="A6" s="32">
        <v>2100</v>
      </c>
      <c r="B6" t="s">
        <v>796</v>
      </c>
      <c r="C6" s="275">
        <f t="shared" si="0"/>
        <v>0</v>
      </c>
      <c r="D6" s="20">
        <f>'DOE25'!L203+'DOE25'!L221+'DOE25'!L239-F6-G6-H6</f>
        <v>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19230.18</v>
      </c>
      <c r="D8" s="243"/>
      <c r="E8" s="20">
        <f>'DOE25'!L205+'DOE25'!L223+'DOE25'!L241-F8-G8-H8-D9-D11</f>
        <v>19230.18</v>
      </c>
      <c r="F8" s="244"/>
      <c r="G8" s="53">
        <f>'DOE25'!J205+'DOE25'!J223+'DOE25'!J241</f>
        <v>0</v>
      </c>
      <c r="H8" s="53">
        <f>'DOE25'!K205+'DOE25'!K223+'DOE25'!K241</f>
        <v>0</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9388</v>
      </c>
      <c r="D15" s="20">
        <f>'DOE25'!L209+'DOE25'!L227+'DOE25'!L245-F15-G15-H15</f>
        <v>9388</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255263.61</v>
      </c>
      <c r="E33" s="245">
        <f t="shared" si="1"/>
        <v>19230.18</v>
      </c>
      <c r="F33" s="245">
        <f t="shared" si="1"/>
        <v>0</v>
      </c>
      <c r="G33" s="245">
        <f t="shared" si="1"/>
        <v>0</v>
      </c>
      <c r="H33" s="245">
        <f t="shared" si="1"/>
        <v>0</v>
      </c>
      <c r="I33" s="245">
        <f t="shared" si="1"/>
        <v>0</v>
      </c>
    </row>
    <row r="35" spans="1:9" ht="12" thickBot="1" x14ac:dyDescent="0.25">
      <c r="B35" s="251" t="s">
        <v>831</v>
      </c>
      <c r="D35" s="252">
        <f>E33</f>
        <v>19230.18</v>
      </c>
      <c r="E35" s="248"/>
      <c r="F35" s="335" t="s">
        <v>1632</v>
      </c>
      <c r="G35" s="336"/>
      <c r="H35" s="336"/>
      <c r="I35" s="336"/>
    </row>
    <row r="36" spans="1:9" ht="12" thickTop="1" x14ac:dyDescent="0.2">
      <c r="B36" t="s">
        <v>810</v>
      </c>
      <c r="D36" s="20">
        <f>D33</f>
        <v>255263.61</v>
      </c>
      <c r="F36" s="338" t="s">
        <v>1622</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110" zoomScaleNormal="11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Windsor</v>
      </c>
      <c r="B2" s="126">
        <f>'DOE25'!B2</f>
        <v>579</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132130.80000000002</v>
      </c>
      <c r="G4" s="302">
        <f>'DOE25'!L212+'DOE25'!L291</f>
        <v>132130.79999999999</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130493.63</v>
      </c>
      <c r="E5" s="293">
        <v>1637.17</v>
      </c>
      <c r="F5" s="306">
        <f>D5+E5</f>
        <v>132130.80000000002</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130493.63</v>
      </c>
      <c r="E21" s="353">
        <f>SUM(E5:E20)</f>
        <v>1637.17</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48626.57</v>
      </c>
      <c r="G24" s="302">
        <f>'DOE25'!L230+'DOE25'!L310</f>
        <v>48626.57</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48025.39</v>
      </c>
      <c r="E25" s="293">
        <v>601.17999999999995</v>
      </c>
      <c r="F25" s="306">
        <f>D25+E25</f>
        <v>48626.57</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48025.39</v>
      </c>
      <c r="E33" s="353">
        <f>SUM(E25:E32)</f>
        <v>601.17999999999995</v>
      </c>
      <c r="F33" s="305"/>
      <c r="G33" s="305"/>
      <c r="H33" s="305"/>
      <c r="I33" s="126"/>
      <c r="N33"/>
    </row>
    <row r="34" spans="1:14" ht="12.75" thickTop="1" thickBot="1" x14ac:dyDescent="0.25">
      <c r="A34" s="21"/>
      <c r="B34" s="304"/>
      <c r="C34" s="305"/>
      <c r="D34" s="293"/>
      <c r="E34" s="293"/>
      <c r="F34" s="305"/>
      <c r="G34" s="305"/>
      <c r="H34" s="305"/>
      <c r="I34" s="126"/>
      <c r="N34"/>
    </row>
    <row r="35" spans="1:14" ht="23.2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93736.42</v>
      </c>
      <c r="G36" s="302">
        <f>'DOE25'!L248+'DOE25'!L329</f>
        <v>93736.419999999984</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92574.77</v>
      </c>
      <c r="E37" s="293">
        <v>1161.6500000000001</v>
      </c>
      <c r="F37" s="306">
        <f t="shared" ref="F37:F42" si="2">D37+E37</f>
        <v>93736.42</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92574.77</v>
      </c>
      <c r="E43" s="354">
        <f>SUM(E37:E42)</f>
        <v>1161.6500000000001</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pageSetUpPr fitToPage="1"/>
  </sheetPr>
  <dimension ref="A1:I164"/>
  <sheetViews>
    <sheetView zoomScaleNormal="100" workbookViewId="0">
      <pane ySplit="2" topLeftCell="A148" activePane="bottomLeft" state="frozen"/>
      <selection activeCell="F46" sqref="F46"/>
      <selection pane="bottomLeft" sqref="A1:G1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Windsor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208752.37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208752.37</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124982.67</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124982.67</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6044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77725.7</v>
      </c>
      <c r="D49" s="24" t="s">
        <v>288</v>
      </c>
      <c r="E49" s="24" t="s">
        <v>288</v>
      </c>
      <c r="F49" s="24" t="s">
        <v>288</v>
      </c>
      <c r="G49" s="24" t="s">
        <v>288</v>
      </c>
      <c r="H49" s="124"/>
      <c r="I49" s="124"/>
    </row>
    <row r="50" spans="1:9" ht="12.75" thickTop="1" thickBot="1" x14ac:dyDescent="0.25">
      <c r="A50" s="38" t="s">
        <v>884</v>
      </c>
      <c r="B50" s="48"/>
      <c r="C50" s="41">
        <f>SUM(C34:C49)</f>
        <v>83769.7</v>
      </c>
      <c r="D50" s="41">
        <f>SUM(D34:D49)</f>
        <v>0</v>
      </c>
      <c r="E50" s="41">
        <f>SUM(E34:E49)</f>
        <v>0</v>
      </c>
      <c r="F50" s="41">
        <f>SUM(F34:F49)</f>
        <v>0</v>
      </c>
      <c r="G50" s="41">
        <f>SUM(G34:G49)</f>
        <v>0</v>
      </c>
      <c r="H50" s="124"/>
      <c r="I50" s="124"/>
    </row>
    <row r="51" spans="1:9" ht="12" thickTop="1" x14ac:dyDescent="0.2">
      <c r="A51" s="38" t="s">
        <v>885</v>
      </c>
      <c r="B51" s="2"/>
      <c r="C51" s="41">
        <f>C50+C31</f>
        <v>208752.37</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184869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159.46</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159.46</v>
      </c>
      <c r="D62" s="130">
        <f>SUM(D57:D61)</f>
        <v>0</v>
      </c>
      <c r="E62" s="130">
        <f>SUM(E57:E61)</f>
        <v>0</v>
      </c>
      <c r="F62" s="130">
        <f>SUM(F57:F61)</f>
        <v>0</v>
      </c>
      <c r="G62" s="130">
        <f>SUM(G57:G61)</f>
        <v>0</v>
      </c>
      <c r="H62"/>
      <c r="I62"/>
    </row>
    <row r="63" spans="1:9" ht="12" thickTop="1" x14ac:dyDescent="0.2">
      <c r="A63" s="29" t="s">
        <v>175</v>
      </c>
      <c r="B63" s="6"/>
      <c r="C63" s="22">
        <f>C56+C62</f>
        <v>185028.46</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94453.47</v>
      </c>
      <c r="D66" s="24" t="s">
        <v>288</v>
      </c>
      <c r="E66" s="24" t="s">
        <v>288</v>
      </c>
      <c r="F66" s="24" t="s">
        <v>288</v>
      </c>
      <c r="G66" s="24" t="s">
        <v>288</v>
      </c>
      <c r="H66"/>
      <c r="I66"/>
    </row>
    <row r="67" spans="1:9" x14ac:dyDescent="0.2">
      <c r="A67" s="1" t="s">
        <v>770</v>
      </c>
      <c r="B67" s="6">
        <v>3112</v>
      </c>
      <c r="C67" s="95">
        <f>'DOE25'!F118</f>
        <v>56901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151354.47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151354.47</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3400</v>
      </c>
      <c r="D88" s="333">
        <f>SUM('DOE25'!G153:G162)</f>
        <v>0</v>
      </c>
      <c r="E88" s="333">
        <f>SUM('DOE25'!H153:H162)</f>
        <v>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3400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339782.93</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245875.61</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245875.61</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19230.18</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9388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28618.18</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274493.78999999998</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68" fitToHeight="0" orientation="portrait"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Windsor</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245876</v>
      </c>
      <c r="D10" s="182">
        <f>ROUND((C10/$C$28)*100,1)</f>
        <v>89.6</v>
      </c>
    </row>
    <row r="11" spans="1:4" x14ac:dyDescent="0.2">
      <c r="A11">
        <v>1200</v>
      </c>
      <c r="B11" t="s">
        <v>703</v>
      </c>
      <c r="C11" s="179">
        <f>ROUND('DOE25'!L199+'DOE25'!L217+'DOE25'!L235+'DOE25'!L278+'DOE25'!L297+'DOE25'!L316,0)</f>
        <v>0</v>
      </c>
      <c r="D11" s="182">
        <f>ROUND((C11/$C$28)*100,1)</f>
        <v>0</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19230</v>
      </c>
      <c r="D17" s="182">
        <f t="shared" si="0"/>
        <v>7</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9388</v>
      </c>
      <c r="D21" s="182">
        <f t="shared" si="0"/>
        <v>3.4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274494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274494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184869</v>
      </c>
      <c r="D35" s="182">
        <f t="shared" ref="D35:D40" si="1">ROUND((C35/$C$41)*100,1)</f>
        <v>54.4</v>
      </c>
    </row>
    <row r="36" spans="1:4" x14ac:dyDescent="0.2">
      <c r="B36" s="185" t="s">
        <v>739</v>
      </c>
      <c r="C36" s="179">
        <f>SUM('DOE25'!F112:J112)-SUM('DOE25'!G97:G110)+('DOE25'!F175+'DOE25'!F176+'DOE25'!I175+'DOE25'!I176)-C35</f>
        <v>159.45999999999185</v>
      </c>
      <c r="D36" s="182">
        <f t="shared" si="1"/>
        <v>0</v>
      </c>
    </row>
    <row r="37" spans="1:4" x14ac:dyDescent="0.2">
      <c r="A37" s="183" t="s">
        <v>835</v>
      </c>
      <c r="B37" s="185" t="s">
        <v>728</v>
      </c>
      <c r="C37" s="179">
        <f>ROUND('DOE25'!F117+'DOE25'!F118,0)</f>
        <v>151354</v>
      </c>
      <c r="D37" s="182">
        <f t="shared" si="1"/>
        <v>44.5</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3400</v>
      </c>
      <c r="D39" s="182">
        <f t="shared" si="1"/>
        <v>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339782.45999999996</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Windsor</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t="s">
        <v>1673</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t="s">
        <v>1674</v>
      </c>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2021-11-12T19:56:44Z</cp:lastPrinted>
  <dcterms:created xsi:type="dcterms:W3CDTF">1997-12-04T19:04:30Z</dcterms:created>
  <dcterms:modified xsi:type="dcterms:W3CDTF">2021-12-16T13:26:57Z</dcterms:modified>
</cp:coreProperties>
</file>