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19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469" i="1"/>
  <c r="F128" i="1"/>
  <c r="I244" i="1"/>
  <c r="H162" i="1"/>
  <c r="I605" i="1" l="1"/>
  <c r="H592" i="1"/>
  <c r="G205" i="1"/>
  <c r="G210" i="1"/>
  <c r="G228" i="1"/>
  <c r="G246" i="1"/>
  <c r="I209" i="1"/>
  <c r="F208" i="1"/>
  <c r="J208" i="1"/>
  <c r="J226" i="1"/>
  <c r="J244" i="1"/>
  <c r="I208" i="1"/>
  <c r="I226" i="1"/>
  <c r="H208" i="1"/>
  <c r="H226" i="1"/>
  <c r="H244" i="1"/>
  <c r="G208" i="1"/>
  <c r="G226" i="1"/>
  <c r="G244" i="1"/>
  <c r="F244" i="1"/>
  <c r="F226" i="1"/>
  <c r="G225" i="1"/>
  <c r="G242" i="1"/>
  <c r="J223" i="1"/>
  <c r="J205" i="1"/>
  <c r="J241" i="1"/>
  <c r="I241" i="1"/>
  <c r="I223" i="1"/>
  <c r="I205" i="1"/>
  <c r="H205" i="1"/>
  <c r="H223" i="1"/>
  <c r="H241" i="1"/>
  <c r="G223" i="1"/>
  <c r="G241" i="1"/>
  <c r="F241" i="1"/>
  <c r="F205" i="1"/>
  <c r="F223" i="1"/>
  <c r="K205" i="1"/>
  <c r="K223" i="1"/>
  <c r="K241" i="1"/>
  <c r="G240" i="1"/>
  <c r="I240" i="1"/>
  <c r="H240" i="1"/>
  <c r="F240" i="1"/>
  <c r="I222" i="1"/>
  <c r="J222" i="1"/>
  <c r="H222" i="1"/>
  <c r="G222" i="1"/>
  <c r="F222" i="1"/>
  <c r="I204" i="1"/>
  <c r="H204" i="1"/>
  <c r="G204" i="1"/>
  <c r="F204" i="1"/>
  <c r="I239" i="1"/>
  <c r="H239" i="1"/>
  <c r="H203" i="1"/>
  <c r="H221" i="1"/>
  <c r="J239" i="1"/>
  <c r="G239" i="1"/>
  <c r="F239" i="1"/>
  <c r="I221" i="1"/>
  <c r="G203" i="1"/>
  <c r="G221" i="1"/>
  <c r="K221" i="1"/>
  <c r="F221" i="1"/>
  <c r="K203" i="1"/>
  <c r="I203" i="1"/>
  <c r="F203" i="1"/>
  <c r="G236" i="1"/>
  <c r="F236" i="1"/>
  <c r="K199" i="1"/>
  <c r="G199" i="1"/>
  <c r="F199" i="1"/>
  <c r="K235" i="1"/>
  <c r="K217" i="1"/>
  <c r="I235" i="1"/>
  <c r="H235" i="1"/>
  <c r="H217" i="1"/>
  <c r="H199" i="1"/>
  <c r="G217" i="1"/>
  <c r="G235" i="1"/>
  <c r="F235" i="1"/>
  <c r="J235" i="1"/>
  <c r="I217" i="1"/>
  <c r="F217" i="1"/>
  <c r="I199" i="1"/>
  <c r="I198" i="1"/>
  <c r="I216" i="1"/>
  <c r="I234" i="1"/>
  <c r="H234" i="1"/>
  <c r="G234" i="1"/>
  <c r="K234" i="1"/>
  <c r="J234" i="1"/>
  <c r="F234" i="1"/>
  <c r="K216" i="1"/>
  <c r="J216" i="1"/>
  <c r="H216" i="1"/>
  <c r="G216" i="1"/>
  <c r="F216" i="1"/>
  <c r="J198" i="1"/>
  <c r="G198" i="1"/>
  <c r="F198" i="1"/>
  <c r="G277" i="1"/>
  <c r="G296" i="1"/>
  <c r="G315" i="1"/>
  <c r="F315" i="1"/>
  <c r="F296" i="1"/>
  <c r="F277" i="1"/>
  <c r="I277" i="1"/>
  <c r="I296" i="1"/>
  <c r="I315" i="1"/>
  <c r="F320" i="1"/>
  <c r="G361" i="1" l="1"/>
  <c r="G360" i="1"/>
  <c r="G359" i="1"/>
  <c r="I361" i="1"/>
  <c r="I360" i="1"/>
  <c r="I359" i="1"/>
  <c r="F361" i="1"/>
  <c r="F359" i="1"/>
  <c r="F360" i="1"/>
  <c r="J284" i="1"/>
  <c r="J303" i="1"/>
  <c r="J322" i="1"/>
  <c r="H337" i="1"/>
  <c r="H327" i="1"/>
  <c r="H289" i="1"/>
  <c r="H308" i="1"/>
  <c r="H323" i="1"/>
  <c r="H304" i="1"/>
  <c r="H285" i="1"/>
  <c r="H277" i="1"/>
  <c r="H296" i="1"/>
  <c r="H315" i="1"/>
  <c r="H307" i="1"/>
  <c r="J287" i="1"/>
  <c r="I287" i="1"/>
  <c r="I306" i="1"/>
  <c r="I325" i="1"/>
  <c r="H322" i="1"/>
  <c r="F322" i="1"/>
  <c r="F303" i="1"/>
  <c r="F285" i="1"/>
  <c r="H284" i="1"/>
  <c r="H303" i="1"/>
  <c r="I283" i="1"/>
  <c r="H302" i="1"/>
  <c r="H283" i="1"/>
  <c r="H321" i="1"/>
  <c r="G321" i="1"/>
  <c r="G302" i="1"/>
  <c r="G283" i="1"/>
  <c r="F321" i="1"/>
  <c r="F302" i="1"/>
  <c r="F283" i="1"/>
  <c r="H333" i="1"/>
  <c r="F301" i="1"/>
  <c r="H282" i="1"/>
  <c r="G282" i="1"/>
  <c r="F282" i="1"/>
  <c r="H320" i="1"/>
  <c r="H301" i="1"/>
  <c r="J301" i="1"/>
  <c r="I320" i="1"/>
  <c r="I301" i="1"/>
  <c r="I282" i="1"/>
  <c r="I333" i="1"/>
  <c r="G320" i="1"/>
  <c r="G301" i="1"/>
  <c r="J333" i="1"/>
  <c r="G318" i="1"/>
  <c r="F318" i="1"/>
  <c r="G280" i="1"/>
  <c r="F280" i="1"/>
  <c r="I299" i="1"/>
  <c r="J299" i="1"/>
  <c r="I318" i="1"/>
  <c r="I280" i="1"/>
  <c r="H299" i="1"/>
  <c r="G299" i="1"/>
  <c r="F299" i="1"/>
  <c r="K317" i="1"/>
  <c r="J317" i="1"/>
  <c r="I317" i="1"/>
  <c r="H317" i="1"/>
  <c r="F317" i="1"/>
  <c r="J278" i="1"/>
  <c r="J297" i="1"/>
  <c r="J316" i="1"/>
  <c r="I278" i="1"/>
  <c r="I297" i="1"/>
  <c r="I316" i="1"/>
  <c r="H316" i="1"/>
  <c r="H297" i="1"/>
  <c r="H278" i="1"/>
  <c r="F316" i="1"/>
  <c r="F297" i="1"/>
  <c r="F278" i="1"/>
  <c r="K315" i="1"/>
  <c r="J315" i="1"/>
  <c r="J296" i="1"/>
  <c r="J277" i="1"/>
  <c r="K277" i="1"/>
  <c r="K304" i="1"/>
  <c r="H159" i="1"/>
  <c r="H156" i="1"/>
  <c r="H155" i="1"/>
  <c r="H154" i="1"/>
  <c r="H135" i="1"/>
  <c r="H130" i="1"/>
  <c r="G40" i="1" l="1"/>
  <c r="G9" i="1"/>
  <c r="J470" i="1"/>
  <c r="F117" i="1"/>
  <c r="F102" i="1"/>
  <c r="F29" i="1"/>
  <c r="F24" i="1"/>
  <c r="F28" i="1"/>
  <c r="F27"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L223" i="1"/>
  <c r="L241" i="1"/>
  <c r="D39" i="13"/>
  <c r="L225" i="1"/>
  <c r="L243" i="1"/>
  <c r="L228" i="1"/>
  <c r="L246" i="1"/>
  <c r="L216" i="1"/>
  <c r="L217" i="1"/>
  <c r="L218" i="1"/>
  <c r="L219" i="1"/>
  <c r="L234" i="1"/>
  <c r="L235" i="1"/>
  <c r="L236" i="1"/>
  <c r="L237" i="1"/>
  <c r="L221" i="1"/>
  <c r="L239" i="1"/>
  <c r="L222" i="1"/>
  <c r="L240" i="1"/>
  <c r="L224" i="1"/>
  <c r="L242" i="1"/>
  <c r="L226" i="1"/>
  <c r="L244"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E120" i="2" s="1"/>
  <c r="L323" i="1"/>
  <c r="L324" i="1"/>
  <c r="L325" i="1"/>
  <c r="L326" i="1"/>
  <c r="L327" i="1"/>
  <c r="L334" i="1"/>
  <c r="L335" i="1"/>
  <c r="L336" i="1"/>
  <c r="L261" i="1"/>
  <c r="C131" i="2" s="1"/>
  <c r="L262" i="1"/>
  <c r="C132" i="2" s="1"/>
  <c r="L342" i="1"/>
  <c r="E131" i="2" s="1"/>
  <c r="L343" i="1"/>
  <c r="L256" i="1"/>
  <c r="L337" i="1"/>
  <c r="E130" i="2" s="1"/>
  <c r="C11" i="13"/>
  <c r="C10" i="13"/>
  <c r="C9" i="13"/>
  <c r="L362" i="1"/>
  <c r="B4" i="12"/>
  <c r="B40" i="12"/>
  <c r="C40" i="12"/>
  <c r="B31" i="12"/>
  <c r="C31" i="12"/>
  <c r="B13" i="12"/>
  <c r="C13"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F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2" i="1"/>
  <c r="H633" i="1"/>
  <c r="H637" i="1"/>
  <c r="H638" i="1"/>
  <c r="H639" i="1"/>
  <c r="G644" i="1"/>
  <c r="G645" i="1"/>
  <c r="G651" i="1"/>
  <c r="H653" i="1"/>
  <c r="G654" i="1"/>
  <c r="H654" i="1"/>
  <c r="G655" i="1"/>
  <c r="H655" i="1"/>
  <c r="H656" i="1"/>
  <c r="J656" i="1" s="1"/>
  <c r="G62" i="2"/>
  <c r="I170" i="1"/>
  <c r="E125" i="2" l="1"/>
  <c r="K339" i="1"/>
  <c r="K353" i="1" s="1"/>
  <c r="J572" i="1"/>
  <c r="D18" i="13"/>
  <c r="C18" i="13" s="1"/>
  <c r="E124" i="2"/>
  <c r="G646" i="1"/>
  <c r="G409" i="1"/>
  <c r="H646" i="1" s="1"/>
  <c r="H409" i="1"/>
  <c r="H645" i="1" s="1"/>
  <c r="J645" i="1" s="1"/>
  <c r="J652" i="1"/>
  <c r="D50" i="2"/>
  <c r="E111" i="2"/>
  <c r="E123" i="2"/>
  <c r="E121" i="2"/>
  <c r="E119" i="2"/>
  <c r="E112" i="2"/>
  <c r="G339" i="1"/>
  <c r="G353" i="1" s="1"/>
  <c r="E110" i="2"/>
  <c r="C32" i="10"/>
  <c r="G553" i="1"/>
  <c r="G662" i="1"/>
  <c r="H663" i="1"/>
  <c r="I370" i="1"/>
  <c r="H635" i="1" s="1"/>
  <c r="J635" i="1" s="1"/>
  <c r="L257" i="1"/>
  <c r="H193" i="1"/>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I52" i="1"/>
  <c r="H621" i="1" s="1"/>
  <c r="J621" i="1" s="1"/>
  <c r="D31" i="2"/>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G626" i="1"/>
  <c r="L530" i="1"/>
  <c r="H546" i="1"/>
  <c r="G164" i="2"/>
  <c r="G161" i="2"/>
  <c r="G157" i="2"/>
  <c r="G156" i="2"/>
  <c r="G81" i="2"/>
  <c r="C78" i="2"/>
  <c r="F78" i="2"/>
  <c r="F81" i="2" s="1"/>
  <c r="C70" i="2"/>
  <c r="D62" i="2"/>
  <c r="D63" i="2" s="1"/>
  <c r="E57" i="2"/>
  <c r="E62" i="2" s="1"/>
  <c r="E63" i="2" s="1"/>
  <c r="C26" i="10"/>
  <c r="J546" i="1"/>
  <c r="I477" i="1"/>
  <c r="H626" i="1" s="1"/>
  <c r="J477" i="1"/>
  <c r="H627" i="1" s="1"/>
  <c r="L434" i="1"/>
  <c r="L428" i="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E109" i="2"/>
  <c r="C56" i="2"/>
  <c r="C25" i="10"/>
  <c r="D19" i="13"/>
  <c r="C19" i="13" s="1"/>
  <c r="C62" i="2"/>
  <c r="G22" i="13"/>
  <c r="C22" i="13" s="1"/>
  <c r="L540" i="1"/>
  <c r="K504" i="1"/>
  <c r="L383" i="1"/>
  <c r="G637" i="1" s="1"/>
  <c r="J637" i="1" s="1"/>
  <c r="C142" i="2"/>
  <c r="H662" i="1"/>
  <c r="D29" i="13"/>
  <c r="C29" i="13" s="1"/>
  <c r="C35" i="10"/>
  <c r="C29" i="10"/>
  <c r="L545" i="1"/>
  <c r="L525" i="1"/>
  <c r="J339" i="1"/>
  <c r="J353" i="1" s="1"/>
  <c r="D127" i="2"/>
  <c r="D128" i="2" s="1"/>
  <c r="D145" i="2" s="1"/>
  <c r="D17" i="13"/>
  <c r="C17" i="13" s="1"/>
  <c r="L230" i="1"/>
  <c r="L338" i="1"/>
  <c r="F62" i="2"/>
  <c r="F63" i="2" s="1"/>
  <c r="C23" i="10"/>
  <c r="G163" i="2"/>
  <c r="G162" i="2"/>
  <c r="G160" i="2"/>
  <c r="G159" i="2"/>
  <c r="G158" i="2"/>
  <c r="G103" i="2"/>
  <c r="F103" i="2"/>
  <c r="C103" i="2"/>
  <c r="F91" i="2"/>
  <c r="E50" i="2"/>
  <c r="C50" i="2"/>
  <c r="F31" i="2"/>
  <c r="C31" i="2"/>
  <c r="E18" i="2"/>
  <c r="E144" i="2"/>
  <c r="F50" i="2"/>
  <c r="C24" i="10"/>
  <c r="H31" i="13"/>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J653" i="1"/>
  <c r="G572" i="1"/>
  <c r="I435" i="1"/>
  <c r="G435" i="1"/>
  <c r="I664" i="1"/>
  <c r="D51" i="2" l="1"/>
  <c r="B17" i="16"/>
  <c r="B19" i="16" s="1"/>
  <c r="G473" i="1"/>
  <c r="L572" i="1"/>
  <c r="C141" i="2"/>
  <c r="C144" i="2" s="1"/>
  <c r="E115" i="2"/>
  <c r="C81" i="2"/>
  <c r="H194" i="1"/>
  <c r="E128" i="2"/>
  <c r="G24" i="14"/>
  <c r="H24" i="14" s="1"/>
  <c r="I24" i="14" s="1"/>
  <c r="F194" i="1"/>
  <c r="E51" i="2"/>
  <c r="H661" i="1"/>
  <c r="H665" i="1" s="1"/>
  <c r="H668" i="1" s="1"/>
  <c r="F51" i="2"/>
  <c r="G36" i="14"/>
  <c r="H36" i="14" s="1"/>
  <c r="I36" i="14" s="1"/>
  <c r="E104" i="2"/>
  <c r="C36" i="10"/>
  <c r="L435" i="1"/>
  <c r="G639" i="1" s="1"/>
  <c r="J639" i="1" s="1"/>
  <c r="I662" i="1"/>
  <c r="G104" i="2"/>
  <c r="L339" i="1"/>
  <c r="L353" i="1" s="1"/>
  <c r="I194" i="1"/>
  <c r="G631" i="1" s="1"/>
  <c r="J631" i="1" s="1"/>
  <c r="G636" i="1"/>
  <c r="G51" i="2"/>
  <c r="D104" i="2"/>
  <c r="L409" i="1"/>
  <c r="C27" i="10"/>
  <c r="L546" i="1"/>
  <c r="J626" i="1"/>
  <c r="F104" i="2"/>
  <c r="B14" i="16"/>
  <c r="C63" i="2"/>
  <c r="C39" i="10"/>
  <c r="D31" i="13"/>
  <c r="C31" i="13" s="1"/>
  <c r="I462" i="1"/>
  <c r="H643" i="1" s="1"/>
  <c r="J643" i="1" s="1"/>
  <c r="G661" i="1"/>
  <c r="G665" i="1" s="1"/>
  <c r="G673" i="1" s="1"/>
  <c r="C5" i="10" s="1"/>
  <c r="C25" i="13"/>
  <c r="I33" i="13"/>
  <c r="K553" i="1"/>
  <c r="C51" i="2"/>
  <c r="G632" i="1"/>
  <c r="J632" i="1" s="1"/>
  <c r="G194" i="1"/>
  <c r="G627" i="1"/>
  <c r="J627" i="1" s="1"/>
  <c r="J52" i="1"/>
  <c r="H622" i="1" s="1"/>
  <c r="J622" i="1" s="1"/>
  <c r="C38" i="10"/>
  <c r="E145" i="2" l="1"/>
  <c r="B22" i="16"/>
  <c r="C104" i="2"/>
  <c r="G634" i="1"/>
  <c r="H473" i="1"/>
  <c r="G628" i="1"/>
  <c r="G475" i="1"/>
  <c r="H636" i="1"/>
  <c r="J636" i="1" s="1"/>
  <c r="G630" i="1"/>
  <c r="H469" i="1"/>
  <c r="G629" i="1"/>
  <c r="G469" i="1"/>
  <c r="H673" i="1"/>
  <c r="C6" i="10" s="1"/>
  <c r="G668" i="1"/>
  <c r="G638" i="1"/>
  <c r="J638" i="1" s="1"/>
  <c r="H647" i="1"/>
  <c r="J647" i="1" s="1"/>
  <c r="C41" i="10"/>
  <c r="D38" i="10" s="1"/>
  <c r="H634" i="1" l="1"/>
  <c r="J634" i="1" s="1"/>
  <c r="H475" i="1"/>
  <c r="H628" i="1"/>
  <c r="J628" i="1" s="1"/>
  <c r="F471" i="1"/>
  <c r="F477" i="1" s="1"/>
  <c r="H623" i="1" s="1"/>
  <c r="J623" i="1" s="1"/>
  <c r="H630" i="1"/>
  <c r="J630" i="1" s="1"/>
  <c r="H471" i="1"/>
  <c r="H629" i="1"/>
  <c r="J629" i="1" s="1"/>
  <c r="G471" i="1"/>
  <c r="G477" i="1" s="1"/>
  <c r="D37" i="10"/>
  <c r="D36" i="10"/>
  <c r="D35" i="10"/>
  <c r="D40" i="10"/>
  <c r="D39" i="10"/>
  <c r="H477" i="1" l="1"/>
  <c r="H625" i="1" s="1"/>
  <c r="J625" i="1" s="1"/>
  <c r="H624" i="1"/>
  <c r="J624" i="1" s="1"/>
  <c r="B33" i="16"/>
  <c r="D41" i="10"/>
  <c r="B36" i="12"/>
  <c r="A40" i="12" s="1"/>
  <c r="C18" i="12"/>
  <c r="B27" i="12"/>
  <c r="B9" i="12"/>
  <c r="A13" i="12" s="1"/>
  <c r="B18" i="12"/>
  <c r="A22" i="12" s="1"/>
  <c r="C9" i="12"/>
  <c r="C36" i="12"/>
  <c r="C27" i="12"/>
  <c r="L201" i="1"/>
  <c r="C112" i="2" s="1"/>
  <c r="C13" i="10"/>
  <c r="L200" i="1"/>
  <c r="C12" i="10" s="1"/>
  <c r="G5" i="13"/>
  <c r="L199" i="1"/>
  <c r="C11" i="10" s="1"/>
  <c r="H5" i="13"/>
  <c r="L198" i="1"/>
  <c r="C109" i="2" s="1"/>
  <c r="A31" i="12" l="1"/>
  <c r="D5" i="13"/>
  <c r="C10" i="10"/>
  <c r="C110" i="2"/>
  <c r="C111" i="2"/>
  <c r="C115" i="2" l="1"/>
  <c r="C5" i="13"/>
  <c r="H15" i="13"/>
  <c r="G12" i="13"/>
  <c r="H8" i="13"/>
  <c r="H14" i="13"/>
  <c r="H16" i="13"/>
  <c r="G13" i="13"/>
  <c r="G15" i="13"/>
  <c r="H6" i="13"/>
  <c r="H13" i="13"/>
  <c r="L206" i="1"/>
  <c r="C121" i="2" s="1"/>
  <c r="G6" i="13"/>
  <c r="G7" i="13"/>
  <c r="H7" i="13"/>
  <c r="G14" i="13"/>
  <c r="L209" i="1"/>
  <c r="G650" i="1" s="1"/>
  <c r="J650" i="1" s="1"/>
  <c r="G212" i="1"/>
  <c r="G258" i="1" s="1"/>
  <c r="G272" i="1" s="1"/>
  <c r="H12" i="13"/>
  <c r="F212" i="1"/>
  <c r="F258" i="1" s="1"/>
  <c r="F272" i="1" s="1"/>
  <c r="L208" i="1"/>
  <c r="C20" i="10" s="1"/>
  <c r="G8" i="13"/>
  <c r="I212" i="1"/>
  <c r="I258" i="1" s="1"/>
  <c r="I272" i="1" s="1"/>
  <c r="L210" i="1"/>
  <c r="C125" i="2" s="1"/>
  <c r="J212" i="1"/>
  <c r="J258" i="1" s="1"/>
  <c r="G16" i="13"/>
  <c r="K212" i="1"/>
  <c r="K258" i="1" s="1"/>
  <c r="K272" i="1" s="1"/>
  <c r="L203" i="1"/>
  <c r="H212" i="1"/>
  <c r="H258" i="1" s="1"/>
  <c r="H272" i="1" s="1"/>
  <c r="L204" i="1"/>
  <c r="C16" i="10" s="1"/>
  <c r="L207" i="1"/>
  <c r="C122" i="2" s="1"/>
  <c r="C19" i="10"/>
  <c r="L205" i="1"/>
  <c r="E16" i="13" l="1"/>
  <c r="C16" i="13" s="1"/>
  <c r="E8" i="13"/>
  <c r="C8" i="13" s="1"/>
  <c r="D6" i="13"/>
  <c r="C6" i="13" s="1"/>
  <c r="H33" i="13"/>
  <c r="G33" i="13"/>
  <c r="D15" i="13"/>
  <c r="C15" i="13" s="1"/>
  <c r="L212" i="1"/>
  <c r="G4" i="14" s="1"/>
  <c r="H4" i="14" s="1"/>
  <c r="I4" i="14" s="1"/>
  <c r="J272" i="1"/>
  <c r="H649" i="1"/>
  <c r="J649" i="1" s="1"/>
  <c r="D14" i="13"/>
  <c r="C14" i="13" s="1"/>
  <c r="C118" i="2"/>
  <c r="D7" i="13"/>
  <c r="C7" i="13" s="1"/>
  <c r="H648" i="1"/>
  <c r="J648" i="1" s="1"/>
  <c r="C17" i="10"/>
  <c r="E13" i="13"/>
  <c r="C13" i="13" s="1"/>
  <c r="C123" i="2"/>
  <c r="C119" i="2"/>
  <c r="C18" i="10"/>
  <c r="D12" i="13"/>
  <c r="C12" i="13" s="1"/>
  <c r="C124" i="2"/>
  <c r="C21" i="10"/>
  <c r="C15" i="10"/>
  <c r="F663" i="1"/>
  <c r="I663" i="1" s="1"/>
  <c r="C120" i="2"/>
  <c r="L258" i="1" l="1"/>
  <c r="L272" i="1" s="1"/>
  <c r="G633" i="1" s="1"/>
  <c r="H657" i="1" s="1"/>
  <c r="F661" i="1"/>
  <c r="I661" i="1" s="1"/>
  <c r="I665" i="1" s="1"/>
  <c r="E33" i="13"/>
  <c r="D35" i="13" s="1"/>
  <c r="C128" i="2"/>
  <c r="C145" i="2" s="1"/>
  <c r="D33" i="13"/>
  <c r="D36" i="13" s="1"/>
  <c r="C28" i="10"/>
  <c r="D21" i="10" s="1"/>
  <c r="J633" i="1" l="1"/>
  <c r="F665" i="1"/>
  <c r="F668" i="1" s="1"/>
  <c r="D18" i="10"/>
  <c r="D15" i="10"/>
  <c r="D17" i="10"/>
  <c r="D27" i="10"/>
  <c r="D26" i="10"/>
  <c r="D12" i="10"/>
  <c r="D23" i="10"/>
  <c r="D24" i="10"/>
  <c r="D13" i="10"/>
  <c r="D22" i="10"/>
  <c r="D11" i="10"/>
  <c r="D25" i="10"/>
  <c r="C30" i="10"/>
  <c r="D10" i="10"/>
  <c r="D19" i="10"/>
  <c r="D20" i="10"/>
  <c r="D16" i="10"/>
  <c r="I668" i="1"/>
  <c r="I673" i="1"/>
  <c r="C7" i="10" s="1"/>
  <c r="F673" i="1" l="1"/>
  <c r="C4" i="10" s="1"/>
  <c r="D28"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<sst xmlns="http://schemas.openxmlformats.org/spreadsheetml/2006/main" count="5580" uniqueCount="1678">
  <si>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</si>
  <si>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</si>
  <si>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</si>
  <si>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</si>
  <si>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</si>
  <si>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</si>
  <si>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</si>
  <si>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</si>
  <si>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</si>
  <si>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</si>
  <si>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</si>
  <si>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</si>
  <si>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</si>
  <si>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</si>
  <si>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</si>
  <si>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</si>
  <si>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</si>
  <si>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</si>
  <si>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</si>
  <si>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</si>
  <si>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</si>
  <si>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</si>
  <si>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</si>
  <si>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</si>
  <si>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</si>
  <si>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</si>
  <si>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</si>
  <si>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</si>
  <si>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</si>
  <si>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</si>
  <si>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</si>
  <si>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</si>
  <si>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</si>
  <si>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</si>
  <si>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</si>
  <si>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</si>
  <si>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</si>
  <si>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</si>
  <si>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</si>
  <si>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</si>
  <si>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</si>
  <si>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</si>
  <si>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</si>
  <si>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</si>
  <si>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</si>
  <si>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</si>
  <si>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</si>
  <si>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</si>
  <si>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</si>
  <si>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</si>
  <si>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</si>
  <si>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</si>
  <si>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</si>
  <si>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</si>
  <si>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</si>
  <si>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</si>
  <si>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</si>
  <si>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</si>
  <si>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</si>
  <si>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</si>
  <si>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</si>
  <si>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</si>
  <si>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</si>
  <si>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</si>
  <si>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</si>
  <si>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</si>
  <si>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</si>
  <si>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</si>
  <si>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</si>
  <si>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</si>
  <si>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</si>
  <si>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</si>
  <si>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</si>
  <si>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</si>
  <si>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</si>
  <si>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</si>
  <si>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</si>
  <si>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</si>
  <si>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</si>
  <si>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</si>
  <si>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</si>
  <si>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</si>
  <si>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</si>
  <si>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</si>
  <si>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</si>
  <si>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</si>
  <si>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</si>
  <si>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</si>
  <si>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</si>
  <si>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</si>
  <si>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</si>
  <si>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</si>
  <si>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</si>
  <si>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</si>
  <si>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</si>
  <si>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</si>
  <si>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</si>
  <si>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</si>
  <si>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</si>
  <si>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</si>
  <si>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</si>
  <si>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</si>
  <si>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</si>
  <si>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</si>
  <si>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</si>
  <si>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</si>
  <si>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</si>
  <si>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</si>
  <si>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</si>
  <si>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</si>
  <si>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</si>
  <si>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</si>
  <si>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</si>
  <si>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</si>
  <si>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</si>
  <si>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</si>
  <si>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</si>
  <si>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</si>
  <si>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</si>
  <si>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</si>
  <si>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</si>
  <si>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</si>
  <si>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</si>
  <si>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</si>
  <si>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</si>
  <si>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</si>
  <si>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</si>
  <si>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</si>
  <si>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</si>
  <si>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</si>
  <si>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</si>
  <si>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</si>
  <si>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</si>
  <si>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</si>
  <si>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</si>
  <si>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</si>
  <si>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</si>
  <si>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</si>
  <si>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</si>
  <si>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</si>
  <si>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</si>
  <si>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</si>
  <si>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</si>
  <si>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</si>
  <si>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</si>
  <si>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</si>
  <si>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</si>
  <si>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</si>
  <si>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</si>
  <si>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</si>
  <si>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</si>
  <si>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</si>
  <si>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</si>
  <si>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</si>
  <si>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</si>
  <si>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</si>
  <si>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</si>
  <si>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</si>
  <si>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</si>
  <si>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</si>
  <si>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</si>
  <si>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</si>
  <si>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</si>
  <si>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</si>
  <si>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</si>
  <si>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</si>
  <si>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</si>
  <si>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</si>
  <si>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</si>
  <si>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</si>
  <si>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</si>
  <si>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</si>
  <si>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</si>
  <si>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</si>
  <si>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</si>
  <si>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</si>
  <si>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</si>
  <si>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</si>
  <si>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</si>
  <si>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</si>
  <si>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</si>
  <si>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</si>
  <si>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</si>
  <si>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</si>
  <si>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</si>
  <si>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</si>
  <si>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</si>
  <si>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</si>
  <si>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</si>
  <si>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</si>
  <si>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</si>
  <si>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</si>
  <si>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</si>
  <si>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</si>
  <si>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</si>
  <si>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</si>
  <si>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</si>
  <si>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</si>
  <si>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</si>
  <si>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</si>
  <si>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</si>
  <si>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</si>
  <si>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</si>
  <si>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</si>
  <si>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</si>
  <si>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</si>
  <si>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</si>
  <si>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</si>
  <si>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</si>
  <si>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</si>
  <si>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</si>
  <si>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</si>
  <si>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</si>
  <si>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</si>
  <si>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</si>
  <si>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</si>
  <si>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</si>
  <si>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</si>
  <si>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</si>
  <si>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</si>
  <si>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</si>
  <si>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</si>
  <si>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</si>
  <si>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</si>
  <si>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</si>
  <si>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</si>
  <si>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</si>
  <si>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</si>
  <si>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</si>
  <si>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</si>
  <si>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</si>
  <si>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</si>
  <si>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</si>
  <si>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</si>
  <si>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</si>
  <si>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</si>
  <si>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</si>
  <si>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</si>
  <si>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</si>
  <si>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</si>
  <si>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</si>
  <si>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</si>
  <si>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</si>
  <si>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</si>
  <si>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</si>
  <si>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</si>
  <si>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</si>
  <si>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</si>
  <si>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</si>
  <si>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</si>
  <si>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</si>
  <si>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</si>
  <si>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</si>
  <si>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</si>
  <si>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</si>
  <si>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</si>
  <si>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</si>
  <si>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</si>
  <si>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</si>
  <si>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</si>
  <si>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</si>
  <si>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</si>
  <si>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</si>
  <si>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</si>
  <si>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</si>
  <si>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</si>
  <si>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</si>
  <si>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</si>
  <si>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</si>
  <si>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</si>
  <si>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</si>
  <si>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</si>
  <si>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</si>
  <si>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</si>
  <si>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</si>
  <si>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</si>
  <si>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</si>
  <si>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</si>
  <si>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</si>
  <si>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</si>
  <si>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</si>
  <si>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</si>
  <si>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</si>
  <si>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</si>
  <si>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</si>
  <si>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</si>
  <si>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</si>
  <si>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</si>
  <si>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</si>
  <si>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</si>
  <si>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</si>
  <si>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</si>
  <si>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</si>
  <si>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</si>
  <si>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</si>
  <si>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</si>
  <si>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</si>
  <si>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</si>
  <si>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</si>
  <si>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</si>
  <si>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</si>
  <si>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</si>
  <si>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</si>
  <si>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</si>
  <si>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</si>
  <si>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</si>
  <si>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</si>
  <si>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</si>
  <si>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</si>
  <si>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</si>
  <si>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</si>
  <si>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</si>
  <si>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</si>
  <si>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</si>
  <si>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</si>
  <si>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</si>
  <si>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</si>
  <si>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</si>
  <si>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</si>
  <si>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</si>
  <si>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</si>
  <si>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</si>
  <si>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</si>
  <si>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</si>
  <si>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</si>
  <si>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</si>
  <si>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</si>
  <si>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</si>
  <si>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</si>
  <si>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</si>
  <si>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</si>
  <si>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</si>
  <si>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</si>
  <si>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</si>
  <si>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</si>
  <si>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</si>
  <si>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</si>
  <si>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</si>
  <si>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</si>
  <si>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</si>
  <si>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</si>
  <si>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</si>
  <si>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</si>
  <si>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</si>
  <si>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</si>
  <si>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</si>
  <si>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</si>
  <si>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</si>
  <si>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</si>
  <si>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</si>
  <si>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</si>
  <si>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</si>
  <si>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</si>
  <si>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</si>
  <si>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</si>
  <si>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</si>
  <si>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</si>
  <si>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</si>
  <si>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</si>
  <si>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</si>
  <si>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</si>
  <si>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</si>
  <si>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</si>
  <si>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</si>
  <si>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</si>
  <si>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</si>
  <si>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</si>
  <si>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</si>
  <si>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</si>
  <si>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</si>
  <si>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</si>
  <si>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</si>
  <si>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</si>
  <si>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</si>
  <si>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</si>
  <si>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</si>
  <si>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</si>
  <si>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</si>
  <si>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</si>
  <si>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</si>
  <si>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</si>
  <si>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</si>
  <si>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</si>
  <si>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</si>
  <si>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</si>
  <si>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</si>
  <si>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</si>
  <si>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</si>
  <si>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</si>
  <si>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</si>
  <si>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</si>
  <si>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</si>
  <si>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</si>
  <si>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</si>
  <si>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</si>
  <si>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</si>
  <si>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</si>
  <si>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</si>
  <si>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</si>
  <si>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</si>
  <si>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</si>
  <si>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</si>
  <si>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</si>
  <si>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</si>
  <si>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</si>
  <si>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</si>
  <si>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</si>
  <si>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</si>
  <si>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</si>
  <si>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</si>
  <si>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</si>
  <si>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</si>
  <si>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</si>
  <si>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</si>
  <si>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</si>
  <si>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</si>
  <si>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</si>
  <si>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</si>
  <si>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</si>
  <si>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</si>
  <si>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</si>
  <si>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</si>
  <si>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</si>
  <si>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</si>
  <si>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</si>
  <si>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</si>
  <si>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</si>
  <si>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</si>
  <si>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</si>
  <si>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</si>
  <si>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</si>
  <si>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</si>
  <si>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</si>
  <si>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</si>
  <si>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</si>
  <si>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</si>
  <si>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</si>
  <si>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</si>
  <si>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</si>
  <si>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</si>
  <si>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</si>
  <si>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</si>
  <si>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</si>
  <si>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</si>
  <si>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</si>
  <si>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</si>
  <si>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</si>
  <si>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</si>
  <si>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</si>
  <si>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</si>
  <si>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</si>
  <si>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</si>
  <si>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</si>
  <si>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</si>
  <si>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</si>
  <si>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</si>
  <si>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</si>
  <si>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</si>
  <si>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</si>
  <si>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</si>
  <si>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</si>
  <si>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</si>
  <si>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</si>
  <si>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</si>
  <si>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</si>
  <si>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</si>
  <si>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</si>
  <si>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</si>
  <si>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</si>
  <si>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</si>
  <si>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</si>
  <si>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</si>
  <si>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</si>
  <si>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</si>
  <si>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</si>
  <si>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</si>
  <si>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</si>
  <si>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</si>
  <si>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</si>
  <si>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</si>
  <si>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</si>
  <si>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</si>
  <si>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</si>
  <si>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</si>
  <si>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</si>
  <si>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</si>
  <si>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</si>
  <si>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</si>
  <si>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</si>
  <si>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</si>
  <si>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</si>
  <si>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</si>
  <si>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</si>
  <si>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</si>
  <si>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</si>
  <si>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</si>
  <si>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</si>
  <si>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</si>
  <si>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</si>
  <si>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</si>
  <si>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</si>
  <si>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</si>
  <si>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</si>
  <si>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</si>
  <si>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</si>
  <si>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</si>
  <si>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</si>
  <si>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</si>
  <si>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</si>
  <si>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</si>
  <si>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</si>
  <si>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</si>
  <si>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</si>
  <si>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</si>
  <si>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</si>
  <si>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</si>
  <si>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</si>
  <si>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</si>
  <si>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</si>
  <si>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</si>
  <si>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</si>
  <si>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</si>
  <si>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</si>
  <si>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</si>
  <si>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</si>
  <si>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</si>
  <si>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</si>
  <si>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</si>
  <si>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</si>
  <si>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</si>
  <si>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</si>
  <si>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</si>
  <si>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</si>
  <si>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</si>
  <si>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</si>
  <si>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</si>
  <si>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</si>
  <si>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</si>
  <si>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</si>
  <si>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</si>
  <si>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</si>
  <si>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</si>
  <si>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</si>
  <si>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</si>
  <si>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</si>
  <si>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</si>
  <si>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</si>
  <si>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</si>
  <si>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</si>
  <si>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</si>
  <si>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</si>
  <si>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</si>
  <si>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</si>
  <si>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</si>
  <si>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</si>
  <si>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</si>
  <si>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</si>
  <si>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</si>
  <si>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</si>
  <si>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</si>
  <si>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</si>
  <si>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</si>
  <si>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</si>
  <si>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</si>
  <si>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</si>
  <si>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</si>
  <si>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</si>
  <si>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</si>
  <si>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</si>
  <si>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</si>
  <si>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</si>
  <si>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</si>
  <si>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</si>
  <si>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</si>
  <si>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</si>
  <si>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</si>
  <si>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</si>
  <si>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</si>
  <si>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</si>
  <si>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</si>
  <si>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</si>
  <si>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</si>
  <si>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</si>
  <si>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</si>
  <si>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</si>
  <si>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</si>
  <si>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</si>
  <si>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</si>
  <si>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</si>
  <si>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</si>
  <si>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</si>
  <si>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</si>
  <si>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</si>
  <si>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</si>
  <si>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</si>
  <si>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</si>
  <si>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</si>
  <si>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</si>
  <si>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</si>
  <si>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</si>
  <si>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</si>
  <si>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</si>
  <si>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</si>
  <si>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</si>
  <si>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</si>
  <si>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</si>
  <si>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</si>
  <si>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</si>
  <si>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</si>
  <si>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</si>
  <si>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</si>
  <si>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</si>
  <si>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</si>
  <si>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</si>
  <si>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</si>
  <si>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</si>
  <si>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</si>
  <si>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</si>
  <si>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</si>
  <si>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</si>
  <si>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</si>
  <si>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</si>
  <si>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</si>
  <si>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</si>
  <si>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</si>
  <si>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</si>
  <si>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</si>
  <si>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</si>
  <si>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</si>
  <si>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</si>
  <si>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</si>
  <si>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</si>
  <si>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</si>
  <si>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</si>
  <si>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</si>
  <si>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</si>
  <si>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</si>
  <si>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</si>
  <si>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</si>
  <si>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</si>
  <si>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</si>
  <si>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</si>
  <si>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</si>
  <si>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</si>
  <si>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</si>
  <si>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</si>
  <si>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</si>
  <si>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</si>
  <si>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</si>
  <si>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</si>
  <si>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</si>
  <si>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</si>
  <si>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</si>
  <si>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</si>
  <si>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</si>
  <si>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</si>
  <si>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</si>
  <si>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</si>
  <si>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</si>
  <si>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</si>
  <si>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</si>
  <si>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</si>
  <si>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</si>
  <si>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</si>
  <si>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</si>
  <si>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</si>
  <si>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</si>
  <si>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</si>
  <si>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</si>
  <si>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</si>
  <si>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</si>
  <si>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</si>
  <si>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</si>
  <si>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</si>
  <si>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</si>
  <si>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</si>
  <si>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</si>
  <si>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</si>
  <si>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</si>
  <si>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</si>
  <si>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</si>
  <si>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</si>
  <si>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</si>
  <si>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</si>
  <si>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</si>
  <si>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</si>
  <si>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</si>
  <si>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</si>
  <si>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</si>
  <si>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</si>
  <si>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</si>
  <si>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</si>
  <si>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</si>
  <si>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</si>
  <si>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</si>
  <si>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</si>
  <si>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</si>
  <si>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</si>
  <si>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</si>
  <si>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</si>
  <si>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</si>
  <si>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</si>
  <si>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</si>
  <si>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</si>
  <si>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</si>
  <si>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</si>
  <si>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</si>
  <si>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</si>
  <si>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</si>
  <si>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</si>
  <si>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</si>
  <si>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</si>
  <si>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</si>
  <si>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</si>
  <si>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</si>
  <si>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</si>
  <si>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</si>
  <si>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</si>
  <si>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</si>
  <si>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</si>
  <si>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</si>
  <si>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</si>
  <si>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</si>
  <si>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</si>
  <si>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</si>
  <si>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</si>
  <si>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</si>
  <si>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</si>
  <si>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</si>
  <si>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</si>
  <si>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</si>
  <si>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</si>
  <si>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</si>
  <si>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</si>
  <si>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</si>
  <si>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</si>
  <si>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</si>
  <si>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</si>
  <si>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</si>
  <si>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</si>
  <si>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</si>
  <si>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</si>
  <si>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</si>
  <si>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</si>
  <si>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</si>
  <si>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</si>
  <si>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</si>
  <si>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</si>
  <si>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</si>
  <si>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</si>
  <si>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</si>
  <si>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</si>
  <si>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</si>
  <si>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</si>
  <si>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</si>
  <si>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</si>
  <si>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</si>
  <si>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</si>
  <si>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</si>
  <si>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</si>
  <si>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</si>
  <si>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</si>
  <si>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</si>
  <si>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</si>
  <si>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</si>
  <si>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</si>
  <si>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</si>
  <si>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</si>
  <si>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</si>
  <si>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</si>
  <si>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</si>
  <si>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</si>
  <si>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</si>
  <si>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</si>
  <si>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</si>
  <si>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</si>
  <si>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</si>
  <si>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</si>
  <si>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</si>
  <si>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</si>
  <si>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</si>
  <si>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</si>
  <si>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</si>
  <si>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</si>
  <si>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</si>
  <si>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</si>
  <si>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</si>
  <si>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</si>
  <si>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</si>
  <si>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</si>
  <si>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</si>
  <si>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</si>
  <si>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</si>
  <si>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</si>
  <si>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</si>
  <si>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</si>
  <si>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</si>
  <si>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</si>
  <si>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</si>
  <si>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</si>
  <si>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</si>
  <si>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</si>
  <si>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</si>
  <si>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</si>
  <si>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</si>
  <si>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</si>
  <si>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</si>
  <si>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</si>
  <si>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</si>
  <si>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</si>
  <si>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</si>
  <si>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</si>
  <si>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</si>
  <si>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</si>
  <si>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</si>
  <si>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</si>
  <si>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</si>
  <si>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</si>
  <si>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</si>
  <si>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</si>
  <si>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</si>
  <si>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</si>
  <si>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</si>
  <si>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</si>
  <si>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</si>
  <si>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</si>
  <si>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</si>
  <si>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</si>
  <si>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</si>
  <si>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</si>
  <si>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</si>
  <si>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</si>
  <si>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</si>
  <si>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</si>
  <si>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</si>
  <si>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</si>
  <si>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</si>
  <si>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</si>
  <si>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</si>
  <si>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</si>
  <si>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</si>
  <si>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</si>
  <si>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</si>
  <si>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</si>
  <si>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</si>
  <si>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</si>
  <si>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</si>
  <si>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</si>
  <si>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</si>
  <si>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</si>
  <si>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</si>
  <si>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</si>
  <si>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</si>
  <si>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</si>
  <si>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</si>
  <si>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</si>
  <si>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</si>
  <si>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</si>
  <si>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</si>
  <si>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</si>
  <si>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</si>
  <si>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</si>
  <si>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</si>
  <si>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</si>
  <si>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</si>
  <si>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</si>
  <si>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</si>
  <si>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</si>
  <si>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</si>
  <si>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</si>
  <si>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</si>
  <si>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</si>
  <si>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</si>
  <si>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</si>
  <si>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</si>
  <si>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</si>
  <si>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</si>
  <si>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</si>
  <si>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</si>
  <si>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</si>
  <si>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</si>
  <si>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</si>
  <si>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</si>
  <si>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</si>
  <si>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</si>
  <si>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</si>
  <si>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</si>
  <si>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</si>
  <si>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</si>
  <si>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</si>
  <si>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</si>
  <si>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</si>
  <si>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</si>
  <si>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</si>
  <si>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</si>
  <si>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</si>
  <si>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</si>
  <si>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</si>
  <si>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</si>
  <si>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</si>
  <si>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</si>
  <si>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</si>
  <si>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</si>
  <si>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</si>
  <si>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</si>
  <si>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</si>
  <si>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</si>
  <si>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</si>
  <si>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</si>
  <si>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</si>
  <si>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</si>
  <si>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</si>
  <si>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</si>
  <si>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</si>
  <si>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</si>
  <si>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</si>
  <si>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</si>
  <si>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</si>
  <si>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</si>
  <si>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</si>
  <si>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</si>
  <si>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</si>
  <si>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</si>
  <si>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</si>
  <si>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</si>
  <si>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</si>
  <si>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</si>
  <si>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</si>
  <si>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</si>
  <si>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</si>
  <si>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</si>
  <si>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</si>
  <si>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</si>
  <si>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</si>
  <si>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</si>
  <si>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</si>
  <si>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</si>
  <si>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</si>
  <si>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</si>
  <si>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</si>
  <si>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</si>
  <si>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</si>
  <si>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</si>
  <si>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</si>
  <si>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</si>
  <si>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</si>
  <si>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</si>
  <si>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</si>
  <si>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</si>
  <si>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</si>
  <si>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</si>
  <si>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</si>
  <si>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</si>
  <si>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</si>
  <si>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</si>
  <si>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</si>
  <si>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</si>
  <si>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</si>
  <si>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</si>
  <si>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</si>
  <si>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</si>
  <si>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</si>
  <si>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</si>
  <si>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</si>
  <si>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</si>
  <si>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</si>
  <si>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</si>
  <si>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</si>
  <si>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</si>
  <si>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</si>
  <si>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</si>
  <si>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</si>
  <si>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</si>
  <si>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</si>
  <si>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</si>
  <si>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</si>
  <si>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</si>
  <si>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</si>
  <si>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</si>
  <si>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</si>
  <si>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</si>
  <si>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</si>
  <si>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</si>
  <si>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</si>
  <si>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</si>
  <si>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</si>
  <si>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</si>
  <si>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</si>
  <si>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</si>
  <si>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</si>
  <si>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</si>
  <si>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</si>
  <si>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</si>
  <si>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</si>
  <si>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</si>
  <si>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</si>
  <si>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</si>
  <si>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</si>
  <si>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</si>
  <si>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</si>
  <si>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</si>
  <si>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</si>
  <si>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</si>
  <si>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</si>
  <si>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</si>
  <si>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</si>
  <si>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</si>
  <si>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</si>
  <si>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</si>
  <si>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</si>
  <si>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</si>
  <si>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</si>
  <si>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</si>
  <si>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</si>
  <si>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</si>
  <si>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</si>
  <si>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</si>
  <si>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</si>
  <si>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</si>
  <si>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</si>
  <si>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</si>
  <si>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</si>
  <si>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</si>
  <si>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</si>
  <si>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</si>
  <si>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</si>
  <si>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</si>
  <si>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</si>
  <si>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</si>
  <si>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</si>
  <si>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</si>
  <si>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</si>
  <si>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</si>
  <si>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</si>
  <si>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</si>
  <si>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</si>
  <si>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</si>
  <si>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</si>
  <si>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</si>
  <si>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</si>
  <si>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</si>
  <si>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</si>
  <si>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</si>
  <si>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</si>
  <si>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</si>
  <si>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</si>
  <si>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</si>
  <si>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</si>
  <si>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</si>
  <si>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</si>
  <si>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</si>
  <si>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</si>
  <si>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</si>
  <si>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</si>
  <si>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</si>
  <si>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</si>
  <si>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</si>
  <si>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</si>
  <si>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</si>
  <si>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</si>
  <si>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</si>
  <si>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</si>
  <si>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</si>
  <si>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</si>
  <si>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</si>
  <si>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</si>
  <si>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</si>
  <si>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</si>
  <si>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</si>
  <si>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</si>
  <si>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</si>
  <si>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</si>
  <si>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</si>
  <si>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</si>
  <si>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</si>
  <si>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</si>
  <si>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</si>
  <si>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</si>
  <si>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</si>
  <si>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</si>
  <si>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</si>
  <si>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</si>
  <si>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</si>
  <si>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</si>
  <si>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</si>
  <si>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</si>
  <si>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</si>
  <si>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</si>
  <si>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</si>
  <si>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</si>
  <si>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</si>
  <si>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</si>
  <si>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</si>
  <si>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</si>
  <si>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</si>
  <si>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</si>
  <si>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</si>
  <si>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</si>
  <si>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</si>
  <si>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</si>
  <si>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</si>
  <si>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</si>
  <si>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</si>
  <si>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</si>
  <si>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</si>
  <si>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</si>
  <si>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</si>
  <si>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</si>
  <si>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</si>
  <si>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</si>
  <si>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</si>
  <si>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</si>
  <si>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</si>
  <si>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</si>
  <si>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</si>
  <si>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</si>
  <si>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</si>
  <si>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</si>
  <si>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</si>
  <si>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</si>
  <si>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</si>
  <si>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</si>
  <si>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</si>
  <si>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</si>
  <si>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</si>
  <si>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</si>
  <si>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</si>
  <si>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</si>
  <si>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</si>
  <si>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</si>
  <si>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</si>
  <si>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</si>
  <si>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</si>
  <si>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</si>
  <si>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</si>
  <si>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</si>
  <si>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</si>
  <si>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</si>
  <si>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</si>
  <si>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</si>
  <si>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</si>
  <si>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</si>
  <si>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</si>
  <si>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</si>
  <si>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</si>
  <si>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</si>
  <si>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</si>
  <si>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</si>
  <si>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</si>
  <si>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</si>
  <si>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</si>
  <si>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</si>
  <si>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</si>
  <si>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</si>
  <si>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</si>
  <si>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</si>
  <si>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</si>
  <si>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</si>
  <si>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</si>
  <si>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</si>
  <si>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</si>
  <si>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</si>
  <si>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</si>
  <si>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</si>
  <si>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</si>
  <si>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</si>
  <si>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</si>
  <si>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</si>
  <si>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</si>
  <si>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</si>
  <si>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</si>
  <si>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</si>
  <si>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</si>
  <si>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</si>
  <si>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</si>
  <si>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</si>
  <si>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</si>
  <si>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</si>
  <si>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</si>
  <si>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</si>
  <si>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</si>
  <si>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</si>
  <si>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</si>
  <si>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</si>
  <si>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</si>
  <si>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</si>
  <si>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</si>
  <si>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</si>
  <si>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</si>
  <si>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</si>
  <si>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</si>
  <si>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</si>
  <si>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</si>
  <si>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</si>
  <si>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</si>
  <si>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</si>
  <si>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</si>
  <si>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</si>
  <si>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</si>
  <si>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</si>
  <si>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</si>
  <si>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</si>
  <si>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</si>
  <si>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</si>
  <si>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</si>
  <si>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</si>
  <si>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</si>
  <si>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</si>
  <si>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</si>
  <si>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</si>
  <si>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</si>
  <si>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</si>
  <si>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</si>
  <si>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</si>
  <si>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</si>
  <si>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</si>
  <si>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</si>
  <si>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</si>
  <si>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</si>
  <si>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</si>
  <si>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</si>
  <si>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</si>
  <si>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</si>
  <si>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</si>
  <si>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</si>
  <si>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</si>
  <si>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</si>
  <si>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</si>
  <si>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</si>
  <si>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</si>
  <si>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</si>
  <si>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</si>
  <si>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</si>
  <si>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</si>
  <si>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</si>
  <si>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</si>
  <si>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</si>
  <si>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</si>
  <si>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</si>
  <si>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</si>
  <si>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</si>
  <si>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</si>
  <si>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</si>
  <si>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</si>
  <si>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</si>
  <si>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</si>
  <si>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</si>
  <si>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</si>
  <si>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</si>
  <si>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</si>
  <si>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</si>
  <si>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</si>
  <si>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</si>
  <si>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</si>
  <si>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</si>
  <si>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</si>
  <si>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</si>
  <si>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</si>
  <si>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</si>
  <si>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</si>
  <si>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</si>
  <si>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</si>
  <si>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</si>
  <si>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</si>
  <si>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</si>
  <si>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</si>
  <si>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</si>
  <si>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</si>
  <si>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</si>
  <si>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</si>
  <si>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</si>
  <si>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</si>
  <si>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</si>
  <si>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</si>
  <si>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</si>
  <si>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</si>
  <si>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</si>
  <si>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</si>
  <si>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</si>
  <si>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</si>
  <si>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</si>
  <si>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</si>
  <si>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</si>
  <si>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</si>
  <si>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</si>
  <si>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</si>
  <si>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</si>
  <si>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</si>
  <si>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</si>
  <si>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</si>
  <si>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</si>
  <si>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</si>
  <si>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</si>
  <si>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</si>
  <si>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</si>
  <si>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</si>
  <si>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</si>
  <si>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</si>
  <si>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</si>
  <si>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</si>
  <si>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</si>
  <si>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</si>
  <si>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</si>
  <si>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</si>
  <si>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</si>
  <si>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</si>
  <si>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</si>
  <si>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</si>
  <si>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</si>
  <si>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</si>
  <si>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</si>
  <si>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</si>
  <si>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</si>
  <si>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</si>
  <si>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</si>
  <si>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</si>
  <si>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</si>
  <si>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</si>
  <si>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</si>
  <si>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</si>
  <si>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</si>
  <si>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</si>
  <si>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</si>
  <si>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</si>
  <si>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</si>
  <si>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</si>
  <si>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</si>
  <si>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</si>
  <si>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</si>
  <si>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</si>
  <si>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</si>
  <si>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</si>
  <si>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</si>
  <si>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</si>
  <si>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</si>
  <si>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</si>
  <si>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</si>
  <si>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</si>
  <si>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</si>
  <si>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</si>
  <si>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</si>
  <si>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</si>
  <si>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</si>
  <si>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</si>
  <si>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</si>
  <si>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</si>
  <si>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</si>
  <si>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</si>
  <si>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</si>
  <si>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</si>
  <si>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</si>
  <si>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</si>
  <si>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</si>
  <si>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</si>
  <si>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</si>
  <si>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</si>
  <si>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</si>
  <si>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</si>
  <si>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</si>
  <si>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</si>
  <si>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</si>
  <si>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</si>
  <si>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</si>
  <si>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</si>
  <si>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</si>
  <si>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</si>
  <si>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</si>
  <si>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</si>
  <si>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</si>
  <si>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</si>
  <si>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</si>
  <si>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</si>
  <si>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</si>
  <si>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</si>
  <si>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</si>
  <si>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</si>
  <si>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</si>
  <si>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</si>
  <si>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</si>
  <si>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</si>
  <si>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</si>
  <si>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</si>
  <si>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</si>
  <si>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</si>
  <si>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</si>
  <si>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</si>
  <si>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</si>
  <si>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</si>
  <si>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</si>
  <si>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</si>
  <si>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</si>
  <si>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</si>
  <si>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</si>
  <si>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</si>
  <si>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</si>
  <si>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</si>
  <si>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</si>
  <si>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</si>
  <si>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</si>
  <si>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</si>
  <si>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</si>
  <si>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</si>
  <si>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</si>
  <si>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</si>
  <si>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</si>
  <si>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</si>
  <si>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</si>
  <si>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</si>
  <si>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</si>
  <si>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</si>
  <si>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</si>
  <si>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</si>
  <si>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</si>
  <si>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</si>
  <si>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</si>
  <si>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</si>
  <si>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</si>
  <si>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</si>
  <si>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</si>
  <si>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</si>
  <si>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</si>
  <si>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</si>
  <si>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</si>
  <si>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</si>
  <si>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</si>
  <si>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</si>
  <si>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</si>
  <si>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</si>
  <si>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</si>
  <si>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</si>
  <si>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</si>
  <si>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</si>
  <si>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</si>
  <si>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</si>
  <si>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</si>
  <si>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</si>
  <si>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</si>
  <si>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</si>
  <si>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</si>
  <si>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</si>
  <si>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</si>
  <si>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</si>
  <si>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</si>
  <si>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</si>
  <si>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</si>
  <si>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</si>
  <si>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</si>
  <si>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</si>
  <si>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</si>
  <si>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</si>
  <si>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</si>
  <si>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</si>
  <si>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</si>
  <si>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</si>
  <si>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</si>
  <si>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</si>
  <si>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</si>
  <si>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</si>
  <si>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</si>
  <si>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</si>
  <si>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</si>
  <si>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</si>
  <si>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</si>
  <si>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</si>
  <si>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</si>
  <si>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</si>
  <si>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</si>
  <si>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</si>
  <si>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</si>
  <si>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</si>
  <si>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</si>
  <si>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</si>
  <si>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</si>
  <si>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</si>
  <si>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</si>
  <si>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</si>
  <si>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</si>
  <si>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</si>
  <si>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</si>
  <si>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</si>
  <si>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</si>
  <si>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</si>
  <si>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</si>
  <si>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</si>
  <si>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</si>
  <si>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</si>
  <si>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</si>
  <si>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</si>
  <si>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</si>
  <si>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</si>
  <si>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</si>
  <si>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</si>
  <si>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</si>
  <si>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</si>
  <si>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</si>
  <si>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</si>
  <si>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</si>
  <si>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</si>
  <si>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</si>
  <si>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</si>
  <si>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</si>
  <si>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</si>
  <si>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</si>
  <si>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</si>
  <si>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</si>
  <si>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</si>
  <si>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</si>
  <si>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</si>
  <si>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</si>
  <si>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</si>
  <si>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</si>
  <si>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</si>
  <si>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</si>
  <si>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</si>
  <si>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</si>
  <si>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</si>
  <si>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</si>
  <si>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</si>
  <si>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</si>
  <si>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</si>
  <si>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</si>
  <si>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</si>
  <si>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</si>
  <si>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</si>
  <si>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</si>
  <si>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</si>
  <si>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</si>
  <si>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</si>
  <si>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</si>
  <si>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</si>
  <si>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</si>
  <si>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</si>
  <si>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</si>
  <si>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</si>
  <si>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</si>
  <si>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</si>
  <si>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</si>
  <si>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</si>
  <si>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</si>
  <si>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</si>
  <si>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</si>
  <si>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</si>
  <si>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</si>
  <si>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</si>
  <si>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</si>
  <si>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</si>
  <si>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</si>
  <si>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</si>
  <si>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</si>
  <si>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</si>
  <si>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</si>
  <si>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</si>
  <si>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</si>
  <si>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</si>
  <si>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</si>
  <si>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</si>
  <si>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</si>
  <si>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</si>
  <si>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</si>
  <si>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</si>
  <si>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</si>
  <si>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</si>
  <si>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</si>
  <si>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</si>
  <si>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</si>
  <si>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</si>
  <si>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</si>
  <si>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</si>
  <si>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</si>
  <si>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</si>
  <si>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</si>
  <si>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</si>
  <si>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</si>
  <si>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</si>
  <si>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</si>
  <si>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</si>
  <si>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</si>
  <si>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</si>
  <si>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</si>
  <si>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</si>
  <si>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</si>
  <si>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</si>
  <si>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</si>
  <si>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</si>
  <si>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</si>
  <si>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</si>
  <si>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</si>
  <si>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</si>
  <si>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</si>
  <si>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</si>
  <si>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</si>
  <si>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</si>
  <si>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</si>
  <si>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</si>
  <si>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</si>
  <si>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</si>
  <si>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</si>
  <si>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</si>
  <si>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</si>
  <si>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</si>
  <si>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</si>
  <si>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</si>
  <si>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</si>
  <si>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</si>
  <si>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</si>
  <si>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</si>
  <si>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</si>
  <si>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</si>
  <si>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</si>
  <si>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</si>
  <si>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</si>
  <si>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</si>
  <si>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</si>
  <si>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</si>
  <si>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</si>
  <si>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</si>
  <si>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</si>
  <si>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</si>
  <si>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</si>
  <si>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</si>
  <si>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</si>
  <si>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</si>
  <si>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</si>
  <si>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</si>
  <si>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</si>
  <si>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</si>
  <si>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</si>
  <si>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</si>
  <si>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</si>
  <si>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</si>
  <si>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</si>
  <si>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</si>
  <si>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</si>
  <si>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</si>
  <si>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</si>
  <si>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</si>
  <si>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</si>
  <si>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</si>
  <si>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</si>
  <si>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</si>
  <si>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</si>
  <si>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</si>
  <si>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</si>
  <si>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</si>
  <si>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</si>
  <si>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</si>
  <si>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</si>
  <si>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</si>
  <si>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</si>
  <si>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</si>
  <si>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</si>
  <si>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</si>
  <si>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</si>
  <si>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</si>
  <si>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</si>
  <si>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</si>
  <si>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</si>
  <si>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</si>
  <si>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</si>
  <si>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</si>
  <si>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</si>
  <si>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</si>
  <si>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</si>
  <si>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</si>
  <si>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</si>
  <si>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</si>
  <si>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</si>
  <si>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</si>
  <si>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</si>
  <si>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</si>
  <si>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</si>
  <si>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</si>
  <si>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3/11</t>
  </si>
  <si>
    <t>11/09</t>
  </si>
  <si>
    <t>8/21</t>
  </si>
  <si>
    <t>12/25</t>
  </si>
  <si>
    <t>Interest</t>
  </si>
  <si>
    <t>Winnisquam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</si>
</sst>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2" fillId="41" borderId="0" xfId="43" applyNumberFormat="1" applyFill="1" applyProtection="1">
      <protection locked="0"/>
    </xf>
    <xf numFmtId="3" fontId="2" fillId="41" borderId="0" xfId="43" applyNumberFormat="1" applyFill="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1677</v>
      </c>
      <c r="B2" s="21">
        <v>582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3942776</v>
      </c>
      <c r="G9" s="18">
        <f>90936-63842</f>
        <v>27094</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950332</v>
      </c>
      <c r="G12" s="18">
        <v>83870</v>
      </c>
      <c r="H12" s="18">
        <v>89916</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73246</v>
      </c>
      <c r="G13" s="18">
        <v>41486</v>
      </c>
      <c r="H13" s="18">
        <v>839924</v>
      </c>
      <c r="I13" s="18"/>
      <c r="J13" s="67">
        <f>SUM(I443)</f>
        <v>1742761.18</v>
      </c>
      <c r="K13" s="24" t="s">
        <v>288</v>
      </c>
      <c r="L13" s="24" t="s">
        <v>288</v>
      </c>
      <c r="M13" s="8"/>
      <c r="N13" s="264"/>
    </row>
    <row r="14" spans="1:14" s="3" customFormat="1" ht="12.2" customHeight="1" x14ac:dyDescent="0.15">
      <c r="A14" s="1" t="s">
        <v>565</v>
      </c>
      <c r="B14" s="2" t="s">
        <v>289</v>
      </c>
      <c r="C14" s="6">
        <v>6</v>
      </c>
      <c r="D14" s="2" t="s">
        <v>428</v>
      </c>
      <c r="E14" s="6">
        <v>150</v>
      </c>
      <c r="F14" s="18">
        <v>0</v>
      </c>
      <c r="G14" s="18">
        <v>0</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4368</v>
      </c>
      <c r="G17" s="18"/>
      <c r="H17" s="18">
        <v>4119</v>
      </c>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4970722</v>
      </c>
      <c r="G19" s="41">
        <f>SUM(G9:G18)</f>
        <v>152450</v>
      </c>
      <c r="H19" s="41">
        <f>SUM(H9:H18)</f>
        <v>933959</v>
      </c>
      <c r="I19" s="41">
        <f>SUM(I9:I18)</f>
        <v>0</v>
      </c>
      <c r="J19" s="41">
        <f>SUM(J9:J18)</f>
        <v>1742761.18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839924</v>
      </c>
      <c r="I22" s="18"/>
      <c r="J22" s="67">
        <f>SUM(I449)</f>
        <v>169094</v>
      </c>
      <c r="K22" s="24" t="s">
        <v>288</v>
      </c>
      <c r="L22" s="24" t="s">
        <v>288</v>
      </c>
      <c r="M22" s="8"/>
      <c r="N22" s="264"/>
    </row>
    <row r="23" spans="1:14" s="3" customFormat="1" ht="12.2" customHeight="1" x14ac:dyDescent="0.15">
      <c r="A23" s="1" t="s">
        <v>607</v>
      </c>
      <c r="B23" s="2" t="s">
        <v>289</v>
      </c>
      <c r="C23" s="6">
        <v>13</v>
      </c>
      <c r="D23" s="2" t="s">
        <v>429</v>
      </c>
      <c r="E23" s="6">
        <v>410</v>
      </c>
      <c r="F23" s="18"/>
      <c r="G23" s="18"/>
      <c r="H23" s="18">
        <v>0</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346678-169-7</f>
        <v>346502</v>
      </c>
      <c r="G24" s="18"/>
      <c r="H24" s="18">
        <v>-40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f>1309+74236+10049</f>
        <v>85594</v>
      </c>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63+8804+350+10755-248-15046-329-27-1-1-4017-265-2621-57</f>
        <v>-2640</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-2300-84813-213-244+435841+24858</f>
        <v>373129</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436605</v>
      </c>
      <c r="G30" s="18">
        <v>18427</v>
      </c>
      <c r="H30" s="18">
        <v>94075</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-3730</v>
      </c>
      <c r="G31" s="18">
        <v>14</v>
      </c>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1235460</v>
      </c>
      <c r="G32" s="41">
        <f>SUM(G22:G31)</f>
        <v>18441</v>
      </c>
      <c r="H32" s="41">
        <f>SUM(H22:H31)</f>
        <v>933959</v>
      </c>
      <c r="I32" s="41">
        <f>SUM(I22:I31)</f>
        <v>0</v>
      </c>
      <c r="J32" s="41">
        <f>SUM(J22:J31)</f>
        <v>169094</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f>140301-6292</f>
        <v>134009</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360000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1573667.18</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4368+1578350+2229149-436605</f>
        <v>3375262</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3735262</v>
      </c>
      <c r="G51" s="41">
        <f>SUM(G35:G50)</f>
        <v>134009</v>
      </c>
      <c r="H51" s="41">
        <f>SUM(H35:H50)</f>
        <v>0</v>
      </c>
      <c r="I51" s="41">
        <f>SUM(I35:I50)</f>
        <v>0</v>
      </c>
      <c r="J51" s="41">
        <f>SUM(J35:J50)</f>
        <v>1573667.18</v>
      </c>
      <c r="K51" s="45" t="s">
        <v>288</v>
      </c>
      <c r="L51" s="45" t="s">
        <v>288</v>
      </c>
      <c r="N51" s="262"/>
    </row>
    <row r="52" spans="1:14" s="3" customFormat="1" ht="12.2" customHeight="1" thickTop="1" x14ac:dyDescent="0.15">
      <c r="A52" s="38" t="s">
        <v>455</v>
      </c>
      <c r="B52" s="39" t="s">
        <v>289</v>
      </c>
      <c r="C52" s="6">
        <v>37</v>
      </c>
      <c r="D52" s="39" t="s">
        <v>653</v>
      </c>
      <c r="E52" s="39"/>
      <c r="F52" s="41">
        <f>F51+F32</f>
        <v>4970722</v>
      </c>
      <c r="G52" s="41">
        <f>G51+G32</f>
        <v>152450</v>
      </c>
      <c r="H52" s="41">
        <f>H51+H32</f>
        <v>933959</v>
      </c>
      <c r="I52" s="41">
        <f>I51+I32</f>
        <v>0</v>
      </c>
      <c r="J52" s="41">
        <f>J51+J32</f>
        <v>1742761.18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14661565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14661565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56476</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12069</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68545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4013</v>
      </c>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36281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240</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-11809</v>
      </c>
      <c r="G101" s="18">
        <v>5000</v>
      </c>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f>14842+1301</f>
        <v>16143</v>
      </c>
      <c r="G102" s="18"/>
      <c r="H102" s="18">
        <v>12666</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48148</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56735</v>
      </c>
      <c r="G111" s="41">
        <f>SUM(G96:G110)</f>
        <v>41281</v>
      </c>
      <c r="H111" s="41">
        <f>SUM(H96:H110)</f>
        <v>12666</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14786845</v>
      </c>
      <c r="G112" s="41">
        <f>G60+G111</f>
        <v>41281</v>
      </c>
      <c r="H112" s="41">
        <f>H60+H79+H94+H111</f>
        <v>12666</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f>5120055+581826+1630564</f>
        <v>7332445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2818849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19211.68</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10170505.68</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585147</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70294.41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24718.15</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f>10516.99-0.23</f>
        <v>10516.76</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f>7980+6556</f>
        <v>14536</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7818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f>24000+32000+19670+76122+4892+4006</f>
        <v>160690</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690676.32000000007</v>
      </c>
      <c r="G136" s="41">
        <f>SUM(G123:G135)</f>
        <v>7818</v>
      </c>
      <c r="H136" s="41">
        <f>SUM(H123:H135)</f>
        <v>175226</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10861182</v>
      </c>
      <c r="G140" s="41">
        <f>G121+SUM(G136:G137)</f>
        <v>7818</v>
      </c>
      <c r="H140" s="41">
        <f>H121+SUM(H136:H139)</f>
        <v>175226</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63028+303733</f>
        <v>366761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6524+4404+13151+50147+9436+19878+142094</f>
        <v>245634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f>34314-1400</f>
        <v>32914</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348412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441325+27802+15399+2700</f>
        <v>487226</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276974</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283600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f>364968</f>
        <v>364968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276974</v>
      </c>
      <c r="G163" s="41">
        <f>SUM(G150:G162)</f>
        <v>348412</v>
      </c>
      <c r="H163" s="41">
        <f>SUM(H150:H162)</f>
        <v>1781103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276974</v>
      </c>
      <c r="G170" s="41">
        <f>G147+G163+SUM(G164:G169)</f>
        <v>348412</v>
      </c>
      <c r="H170" s="41">
        <f>H147+H163+SUM(H164:H169)</f>
        <v>1781103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540000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540000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540000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25925001</v>
      </c>
      <c r="G194" s="47">
        <f>G112+G140+G170+G193</f>
        <v>397511</v>
      </c>
      <c r="H194" s="47">
        <f>H112+H140+H170+H193</f>
        <v>1968995</v>
      </c>
      <c r="I194" s="47">
        <f>I112+I140+I170+I193</f>
        <v>0</v>
      </c>
      <c r="J194" s="47">
        <f>J112+J140+J193</f>
        <v>540000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875040+777415+797872+12479+27062+43933+5837</f>
        <v>2539638</v>
      </c>
      <c r="G198" s="18">
        <f>183555+214789+140503+7947+8786+6357+1198+1280+1313+495+429+837+68632+60207+66265+955+160050+125527+146712+2114+7468+7242+7259</f>
        <v>1219920</v>
      </c>
      <c r="H198" s="18"/>
      <c r="I198" s="18">
        <f>887+3187+400+1750+500+574+35+12504+570+1039+1073+566+672+917+60+2973+543+12150+665+755+825+441+745+563+98+5755+299+4928+481+723+304+928+117+1601+1394+8825</f>
        <v>69847</v>
      </c>
      <c r="J198" s="18">
        <f>286+2964+7110+1499+1181+104+203+453</f>
        <v>13800</v>
      </c>
      <c r="K198" s="18"/>
      <c r="L198" s="19">
        <f>SUM(F198:K198)</f>
        <v>3843205</v>
      </c>
      <c r="M198" s="8"/>
      <c r="N198" s="264"/>
    </row>
    <row r="199" spans="1:14" s="3" customFormat="1" ht="12.2" customHeight="1" x14ac:dyDescent="0.15">
      <c r="A199" s="1" t="s">
        <v>439</v>
      </c>
      <c r="B199" s="2" t="s">
        <v>341</v>
      </c>
      <c r="C199" s="2" t="s">
        <v>291</v>
      </c>
      <c r="D199" s="2" t="s">
        <v>431</v>
      </c>
      <c r="E199" s="6">
        <v>1200</v>
      </c>
      <c r="F199" s="18">
        <f>88534+49976+159218+247130+103241+127910+43889+49310+20777+1653+21720+17894+44795+20349</f>
        <v>996396</v>
      </c>
      <c r="G199" s="18">
        <f>84421+46076+55305+997+474+1912+150+81+238+1528+671+898+24546+11386+21751+15759+8896+28341+5+544+234+495+5087+20548+3668+710+139+48+79+15+51+77+11+3338+3238+615+7812+8777+1618+81+91+584+62+2364+3259+1660+3215+7507+113+1268+29+12507+462+79+165+5261+7973+116</f>
        <v>407335</v>
      </c>
      <c r="H199" s="18">
        <f>558847+8897</f>
        <v>567744</v>
      </c>
      <c r="I199" s="18">
        <f>1475+396+349+343</f>
        <v>2563</v>
      </c>
      <c r="J199" s="18"/>
      <c r="K199" s="18">
        <f>790+8788+453</f>
        <v>10031</v>
      </c>
      <c r="L199" s="19">
        <f>SUM(F199:K199)</f>
        <v>1984069</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884</v>
      </c>
      <c r="G201" s="18">
        <v>504.65</v>
      </c>
      <c r="H201" s="18"/>
      <c r="I201" s="18"/>
      <c r="J201" s="18"/>
      <c r="K201" s="18"/>
      <c r="L201" s="19">
        <f>SUM(F201:K201)</f>
        <v>1388.65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70356+62527+49310+68238+56647+68831+430+9943</f>
        <v>386282</v>
      </c>
      <c r="G203" s="18">
        <f>15014+8390+19075+725+462+725+79+79+79+81+72+57+5109+4747+3324+12523+11130+8777+130+115+91+19075+19075+18637+725+725+708+79+79+77+78+4851+3888+4753+12146+10083+12252+126+105+97+5727.5+276.5+2754.5+6519.5+33</f>
        <v>213654</v>
      </c>
      <c r="H203" s="18">
        <f>531+531+531+438+6796</f>
        <v>8827</v>
      </c>
      <c r="I203" s="18">
        <f>98+26+397+1035+879+847</f>
        <v>3282</v>
      </c>
      <c r="J203" s="18"/>
      <c r="K203" s="18">
        <f>179+179+150</f>
        <v>508</v>
      </c>
      <c r="L203" s="19">
        <f t="shared" ref="L203:L209" si="0">SUM(F203:K203)</f>
        <v>612553</v>
      </c>
      <c r="M203" s="8"/>
      <c r="N203" s="264"/>
    </row>
    <row r="204" spans="1:14" s="3" customFormat="1" ht="12.2" customHeight="1" x14ac:dyDescent="0.15">
      <c r="A204" s="1" t="s">
        <v>443</v>
      </c>
      <c r="B204" s="2" t="s">
        <v>341</v>
      </c>
      <c r="C204" s="2" t="s">
        <v>295</v>
      </c>
      <c r="D204" s="2" t="s">
        <v>431</v>
      </c>
      <c r="E204" s="6">
        <v>2200</v>
      </c>
      <c r="F204" s="18">
        <f>51710+10022+20145+20145+20205+12384+18550+18408</f>
        <v>171569</v>
      </c>
      <c r="G204" s="18">
        <f>9217+379+4022+9024+420+741+1051+46193+4248+4336+4192+5000+5000+6015+241+241+242+26+26+26+99+133+133+2390+2861+2931+3586+3586+3597+37+67+67</f>
        <v>120127</v>
      </c>
      <c r="H204" s="18">
        <f>10974+1245+1245+1245</f>
        <v>14709</v>
      </c>
      <c r="I204" s="18">
        <f>542+623+290+2442+3026+148+194</f>
        <v>7265</v>
      </c>
      <c r="J204" s="18"/>
      <c r="K204" s="18"/>
      <c r="L204" s="19">
        <f t="shared" si="0"/>
        <v>313670</v>
      </c>
      <c r="M204" s="8"/>
      <c r="N204" s="264"/>
    </row>
    <row r="205" spans="1:14" s="3" customFormat="1" ht="12.2" customHeight="1" x14ac:dyDescent="0.15">
      <c r="A205" s="1" t="s">
        <v>444</v>
      </c>
      <c r="B205" s="2" t="s">
        <v>341</v>
      </c>
      <c r="C205" s="2" t="s">
        <v>296</v>
      </c>
      <c r="D205" s="2" t="s">
        <v>431</v>
      </c>
      <c r="E205" s="6">
        <v>2300</v>
      </c>
      <c r="F205" s="18">
        <f>4983+275637</f>
        <v>280620</v>
      </c>
      <c r="G205" s="18">
        <f>419+43292+124150.66-0.25</f>
        <v>167861.41</v>
      </c>
      <c r="H205" s="18">
        <f>60981</f>
        <v>60981</v>
      </c>
      <c r="I205" s="18">
        <f>292+1368+6220+634+868</f>
        <v>9382</v>
      </c>
      <c r="J205" s="18">
        <f>3581+15091+1773+19704+11047</f>
        <v>51196</v>
      </c>
      <c r="K205" s="18">
        <f>1860</f>
        <v>1860</v>
      </c>
      <c r="L205" s="19">
        <f t="shared" si="0"/>
        <v>571900.41</v>
      </c>
      <c r="M205" s="8"/>
      <c r="N205" s="264"/>
    </row>
    <row r="206" spans="1:14" s="3" customFormat="1" ht="12.2" customHeight="1" x14ac:dyDescent="0.15">
      <c r="A206" s="1" t="s">
        <v>445</v>
      </c>
      <c r="B206" s="2" t="s">
        <v>341</v>
      </c>
      <c r="C206" s="2" t="s">
        <v>297</v>
      </c>
      <c r="D206" s="2" t="s">
        <v>431</v>
      </c>
      <c r="E206" s="6">
        <v>2400</v>
      </c>
      <c r="F206" s="18">
        <v>416940.34</v>
      </c>
      <c r="G206" s="18">
        <v>193570.99</v>
      </c>
      <c r="H206" s="18">
        <v>3821.41</v>
      </c>
      <c r="I206" s="18">
        <v>427.37</v>
      </c>
      <c r="J206" s="18"/>
      <c r="K206" s="18">
        <v>3088.76</v>
      </c>
      <c r="L206" s="19">
        <f t="shared" si="0"/>
        <v>617848.87000000011</v>
      </c>
      <c r="M206" s="8"/>
      <c r="N206" s="264"/>
    </row>
    <row r="207" spans="1:14" s="3" customFormat="1" ht="12.2" customHeight="1" x14ac:dyDescent="0.15">
      <c r="A207" s="1" t="s">
        <v>446</v>
      </c>
      <c r="B207" s="2" t="s">
        <v>341</v>
      </c>
      <c r="C207" s="2" t="s">
        <v>298</v>
      </c>
      <c r="D207" s="2" t="s">
        <v>431</v>
      </c>
      <c r="E207" s="6">
        <v>2500</v>
      </c>
      <c r="F207" s="18">
        <v>99610</v>
      </c>
      <c r="G207" s="18">
        <v>41673.040000000001</v>
      </c>
      <c r="H207" s="18"/>
      <c r="I207" s="18"/>
      <c r="J207" s="18"/>
      <c r="K207" s="18"/>
      <c r="L207" s="19">
        <f t="shared" si="0"/>
        <v>141283.04</v>
      </c>
      <c r="M207" s="8"/>
      <c r="N207" s="264"/>
    </row>
    <row r="208" spans="1:14" s="3" customFormat="1" ht="12.2" customHeight="1" x14ac:dyDescent="0.15">
      <c r="A208" s="1" t="s">
        <v>447</v>
      </c>
      <c r="B208" s="2" t="s">
        <v>341</v>
      </c>
      <c r="C208" s="2" t="s">
        <v>299</v>
      </c>
      <c r="D208" s="2" t="s">
        <v>431</v>
      </c>
      <c r="E208" s="6">
        <v>2600</v>
      </c>
      <c r="F208" s="18">
        <f>186752.65+112667-6903.7</f>
        <v>292515.95</v>
      </c>
      <c r="G208" s="18">
        <f>105676.62+59807</f>
        <v>165483.62</v>
      </c>
      <c r="H208" s="18">
        <f>122178.16+54709+10913</f>
        <v>187800.16</v>
      </c>
      <c r="I208" s="18">
        <f>156570.16+2439</f>
        <v>159009.16</v>
      </c>
      <c r="J208" s="18">
        <f>4490+9089</f>
        <v>13579</v>
      </c>
      <c r="K208" s="18"/>
      <c r="L208" s="19">
        <f t="shared" si="0"/>
        <v>818387.89</v>
      </c>
      <c r="M208" s="8"/>
      <c r="N208" s="264"/>
    </row>
    <row r="209" spans="1:14" s="3" customFormat="1" ht="12.2" customHeight="1" x14ac:dyDescent="0.15">
      <c r="A209" s="1" t="s">
        <v>448</v>
      </c>
      <c r="B209" s="2" t="s">
        <v>341</v>
      </c>
      <c r="C209" s="2" t="s">
        <v>300</v>
      </c>
      <c r="D209" s="2" t="s">
        <v>431</v>
      </c>
      <c r="E209" s="6">
        <v>2700</v>
      </c>
      <c r="F209" s="18"/>
      <c r="G209" s="18"/>
      <c r="H209" s="18">
        <v>375920.71</v>
      </c>
      <c r="I209" s="18">
        <f>19217.93-1.47</f>
        <v>19216.46</v>
      </c>
      <c r="J209" s="18"/>
      <c r="K209" s="18"/>
      <c r="L209" s="19">
        <f t="shared" si="0"/>
        <v>395137.17000000004</v>
      </c>
      <c r="M209" s="8"/>
      <c r="N209" s="264"/>
    </row>
    <row r="210" spans="1:14" s="3" customFormat="1" ht="12.2" customHeight="1" x14ac:dyDescent="0.15">
      <c r="A210" s="1" t="s">
        <v>449</v>
      </c>
      <c r="B210" s="2" t="s">
        <v>341</v>
      </c>
      <c r="C210" s="2" t="s">
        <v>343</v>
      </c>
      <c r="D210" s="2" t="s">
        <v>431</v>
      </c>
      <c r="E210" s="6">
        <v>2800</v>
      </c>
      <c r="F210" s="18"/>
      <c r="G210" s="18">
        <f>1250</f>
        <v>1250</v>
      </c>
      <c r="H210" s="18"/>
      <c r="I210" s="18"/>
      <c r="J210" s="18"/>
      <c r="K210" s="18"/>
      <c r="L210" s="19">
        <f>SUM(F210:K210)</f>
        <v>1250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5184455.29</v>
      </c>
      <c r="G212" s="41">
        <f t="shared" si="1"/>
        <v>2531379.71</v>
      </c>
      <c r="H212" s="41">
        <f t="shared" si="1"/>
        <v>1219803.28</v>
      </c>
      <c r="I212" s="41">
        <f t="shared" si="1"/>
        <v>270991.99</v>
      </c>
      <c r="J212" s="41">
        <f t="shared" si="1"/>
        <v>78575</v>
      </c>
      <c r="K212" s="41">
        <f t="shared" si="1"/>
        <v>15487.76</v>
      </c>
      <c r="L212" s="41">
        <f t="shared" si="1"/>
        <v>9300693.0300000012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1397293+19191+10311</f>
        <v>1426795</v>
      </c>
      <c r="G216" s="18">
        <f>242812+11836+1919+946+109056+252306+11322</f>
        <v>630197</v>
      </c>
      <c r="H216" s="18">
        <f>200</f>
        <v>200</v>
      </c>
      <c r="I216" s="18">
        <f>5019+421+485+604+4102+347+1827+19214+928+-10+209+720+8825</f>
        <v>42691</v>
      </c>
      <c r="J216" s="18">
        <f>505+603+4989</f>
        <v>6097</v>
      </c>
      <c r="K216" s="18">
        <f>28+94</f>
        <v>122</v>
      </c>
      <c r="L216" s="19">
        <f>SUM(F216:K216)</f>
        <v>2106102</v>
      </c>
      <c r="M216" s="8"/>
      <c r="N216" s="264"/>
    </row>
    <row r="217" spans="1:14" s="3" customFormat="1" ht="12.2" customHeight="1" x14ac:dyDescent="0.15">
      <c r="A217" s="1" t="s">
        <v>439</v>
      </c>
      <c r="B217" s="2" t="s">
        <v>346</v>
      </c>
      <c r="C217" s="2" t="s">
        <v>291</v>
      </c>
      <c r="D217" s="2" t="s">
        <v>431</v>
      </c>
      <c r="E217" s="6">
        <v>1200</v>
      </c>
      <c r="F217" s="18">
        <f>201602+152769</f>
        <v>354371</v>
      </c>
      <c r="G217" s="18">
        <f>67356+1827+306+970+27281+39490+604+2364+3259</f>
        <v>143457</v>
      </c>
      <c r="H217" s="18">
        <f>558847+8897+65443</f>
        <v>633187</v>
      </c>
      <c r="I217" s="18">
        <f>192+680+188</f>
        <v>1060</v>
      </c>
      <c r="J217" s="18"/>
      <c r="K217" s="18">
        <f>791+2813</f>
        <v>3604</v>
      </c>
      <c r="L217" s="19">
        <f>SUM(F217:K217)</f>
        <v>1135679</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73414.990000000005</v>
      </c>
      <c r="G219" s="18">
        <v>30475.39</v>
      </c>
      <c r="H219" s="18">
        <v>6174</v>
      </c>
      <c r="I219" s="18">
        <v>6515.4</v>
      </c>
      <c r="J219" s="18">
        <v>13094</v>
      </c>
      <c r="K219" s="18">
        <v>1232.1199999999999</v>
      </c>
      <c r="L219" s="19">
        <f>SUM(F219:K219)</f>
        <v>130905.9</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79684+25024+70507+9943</f>
        <v>185158</v>
      </c>
      <c r="G221" s="18">
        <f>44227+1368+187+114+7620+2795+14210+175+15014+725+79+81+5087+12550+130+5727.5+276.5+82+66+2754.5+6519.5+14</f>
        <v>119802</v>
      </c>
      <c r="H221" s="18">
        <f>23522+531+510+6797</f>
        <v>31360</v>
      </c>
      <c r="I221" s="18">
        <f>1519+134+415+904+82+1839</f>
        <v>4893</v>
      </c>
      <c r="J221" s="18"/>
      <c r="K221" s="18">
        <f>150+100</f>
        <v>250</v>
      </c>
      <c r="L221" s="19">
        <f t="shared" ref="L221:L227" si="2">SUM(F221:K221)</f>
        <v>341463</v>
      </c>
      <c r="M221" s="8"/>
      <c r="N221" s="264"/>
    </row>
    <row r="222" spans="1:14" s="3" customFormat="1" ht="12.2" customHeight="1" x14ac:dyDescent="0.15">
      <c r="A222" s="1" t="s">
        <v>443</v>
      </c>
      <c r="B222" s="2" t="s">
        <v>346</v>
      </c>
      <c r="C222" s="2" t="s">
        <v>295</v>
      </c>
      <c r="D222" s="2" t="s">
        <v>431</v>
      </c>
      <c r="E222" s="6">
        <v>2200</v>
      </c>
      <c r="F222" s="18">
        <f>51711+10022+51970+19971</f>
        <v>133674</v>
      </c>
      <c r="G222" s="18">
        <f>9217+379+4023+9024+421+742+1051+46193+4248+4336+4193+462+15898+79+170+5323+9251+124</f>
        <v>115134</v>
      </c>
      <c r="H222" s="18">
        <f>10975+2993</f>
        <v>13968</v>
      </c>
      <c r="I222" s="18">
        <f>634+6514+1099</f>
        <v>8247</v>
      </c>
      <c r="J222" s="18">
        <f>3169</f>
        <v>3169</v>
      </c>
      <c r="K222" s="18">
        <v>174</v>
      </c>
      <c r="L222" s="19">
        <f t="shared" si="2"/>
        <v>274366</v>
      </c>
      <c r="M222" s="8"/>
      <c r="N222" s="264"/>
    </row>
    <row r="223" spans="1:14" s="3" customFormat="1" ht="12.2" customHeight="1" x14ac:dyDescent="0.15">
      <c r="A223" s="1" t="s">
        <v>444</v>
      </c>
      <c r="B223" s="2" t="s">
        <v>346</v>
      </c>
      <c r="C223" s="2" t="s">
        <v>296</v>
      </c>
      <c r="D223" s="2" t="s">
        <v>431</v>
      </c>
      <c r="E223" s="6">
        <v>2300</v>
      </c>
      <c r="F223" s="18">
        <f>4984+275637</f>
        <v>280621</v>
      </c>
      <c r="G223" s="18">
        <f>419+43292+124150.66</f>
        <v>167861.66</v>
      </c>
      <c r="H223" s="18">
        <f>60981</f>
        <v>60981</v>
      </c>
      <c r="I223" s="18">
        <f>293+1368+6220+6+248</f>
        <v>8135</v>
      </c>
      <c r="J223" s="18">
        <f>3582+5575+1773+18679+11047+8843.1</f>
        <v>49499.1</v>
      </c>
      <c r="K223" s="18">
        <f>1860</f>
        <v>1860</v>
      </c>
      <c r="L223" s="19">
        <f t="shared" si="2"/>
        <v>568957.76</v>
      </c>
      <c r="M223" s="8"/>
      <c r="N223" s="264"/>
    </row>
    <row r="224" spans="1:14" s="3" customFormat="1" ht="12.2" customHeight="1" x14ac:dyDescent="0.15">
      <c r="A224" s="1" t="s">
        <v>445</v>
      </c>
      <c r="B224" s="2" t="s">
        <v>346</v>
      </c>
      <c r="C224" s="2" t="s">
        <v>297</v>
      </c>
      <c r="D224" s="2" t="s">
        <v>431</v>
      </c>
      <c r="E224" s="6">
        <v>2400</v>
      </c>
      <c r="F224" s="18">
        <v>250154.33</v>
      </c>
      <c r="G224" s="18">
        <v>120624.17</v>
      </c>
      <c r="H224" s="18">
        <v>3449.82</v>
      </c>
      <c r="I224" s="18">
        <v>5349.84</v>
      </c>
      <c r="J224" s="18"/>
      <c r="K224" s="18">
        <v>1176.5</v>
      </c>
      <c r="L224" s="19">
        <f t="shared" si="2"/>
        <v>380754.66000000003</v>
      </c>
      <c r="M224" s="8"/>
      <c r="N224" s="264"/>
    </row>
    <row r="225" spans="1:14" s="3" customFormat="1" ht="12.2" customHeight="1" x14ac:dyDescent="0.15">
      <c r="A225" s="1" t="s">
        <v>446</v>
      </c>
      <c r="B225" s="2" t="s">
        <v>346</v>
      </c>
      <c r="C225" s="2" t="s">
        <v>298</v>
      </c>
      <c r="D225" s="2" t="s">
        <v>431</v>
      </c>
      <c r="E225" s="6">
        <v>2500</v>
      </c>
      <c r="F225" s="18">
        <v>59588.13</v>
      </c>
      <c r="G225" s="18">
        <f>24929.41-0.67</f>
        <v>24928.74</v>
      </c>
      <c r="H225" s="18"/>
      <c r="I225" s="18"/>
      <c r="J225" s="18"/>
      <c r="K225" s="18"/>
      <c r="L225" s="19">
        <f t="shared" si="2"/>
        <v>84516.87</v>
      </c>
      <c r="M225" s="8"/>
      <c r="N225" s="264"/>
    </row>
    <row r="226" spans="1:14" s="3" customFormat="1" ht="12.2" customHeight="1" x14ac:dyDescent="0.15">
      <c r="A226" s="1" t="s">
        <v>447</v>
      </c>
      <c r="B226" s="2" t="s">
        <v>346</v>
      </c>
      <c r="C226" s="2" t="s">
        <v>299</v>
      </c>
      <c r="D226" s="2" t="s">
        <v>431</v>
      </c>
      <c r="E226" s="6">
        <v>2600</v>
      </c>
      <c r="F226" s="18">
        <f>108037.13+112667</f>
        <v>220704.13</v>
      </c>
      <c r="G226" s="18">
        <f>43858.29+59807</f>
        <v>103665.29000000001</v>
      </c>
      <c r="H226" s="18">
        <f>54793.26+54709+10913</f>
        <v>120415.26000000001</v>
      </c>
      <c r="I226" s="18">
        <f>58092.6+2440</f>
        <v>60532.6</v>
      </c>
      <c r="J226" s="18">
        <f>9089</f>
        <v>9089</v>
      </c>
      <c r="K226" s="18"/>
      <c r="L226" s="19">
        <f t="shared" si="2"/>
        <v>514406.28</v>
      </c>
      <c r="M226" s="8"/>
      <c r="N226" s="264"/>
    </row>
    <row r="227" spans="1:14" s="3" customFormat="1" ht="12.2" customHeight="1" x14ac:dyDescent="0.15">
      <c r="A227" s="1" t="s">
        <v>448</v>
      </c>
      <c r="B227" s="2" t="s">
        <v>346</v>
      </c>
      <c r="C227" s="2" t="s">
        <v>300</v>
      </c>
      <c r="D227" s="2" t="s">
        <v>431</v>
      </c>
      <c r="E227" s="6">
        <v>2700</v>
      </c>
      <c r="F227" s="18"/>
      <c r="G227" s="18"/>
      <c r="H227" s="18">
        <v>231315.9</v>
      </c>
      <c r="I227" s="18">
        <v>11495.32</v>
      </c>
      <c r="J227" s="18"/>
      <c r="K227" s="18"/>
      <c r="L227" s="19">
        <f t="shared" si="2"/>
        <v>242811.22</v>
      </c>
      <c r="M227" s="8"/>
      <c r="N227" s="264"/>
    </row>
    <row r="228" spans="1:14" s="3" customFormat="1" ht="12.2" customHeight="1" x14ac:dyDescent="0.15">
      <c r="A228" s="1" t="s">
        <v>449</v>
      </c>
      <c r="B228" s="2" t="s">
        <v>346</v>
      </c>
      <c r="C228" s="2" t="s">
        <v>343</v>
      </c>
      <c r="D228" s="2" t="s">
        <v>431</v>
      </c>
      <c r="E228" s="6">
        <v>2800</v>
      </c>
      <c r="F228" s="18"/>
      <c r="G228" s="18">
        <f>1500</f>
        <v>1500</v>
      </c>
      <c r="H228" s="18"/>
      <c r="I228" s="18"/>
      <c r="J228" s="18"/>
      <c r="K228" s="18"/>
      <c r="L228" s="19">
        <f>SUM(F228:K228)</f>
        <v>1500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2984480.58</v>
      </c>
      <c r="G230" s="41">
        <f>SUM(G216:G229)</f>
        <v>1457645.25</v>
      </c>
      <c r="H230" s="41">
        <f>SUM(H216:H229)</f>
        <v>1101050.98</v>
      </c>
      <c r="I230" s="41">
        <f>SUM(I216:I229)</f>
        <v>148919.16</v>
      </c>
      <c r="J230" s="41">
        <f>SUM(J216:J229)</f>
        <v>80948.100000000006</v>
      </c>
      <c r="K230" s="41">
        <f t="shared" si="3"/>
        <v>8418.619999999999</v>
      </c>
      <c r="L230" s="41">
        <f t="shared" si="3"/>
        <v>5781462.6900000004</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1531559+51051</f>
        <v>1582610</v>
      </c>
      <c r="G234" s="18">
        <f>319521+14533+2253+1154+120695+285466+8118+11558+481</f>
        <v>763779</v>
      </c>
      <c r="H234" s="18">
        <f>13377+93+500+13000+623</f>
        <v>27593</v>
      </c>
      <c r="I234" s="18">
        <f>2837+124+918+1032+2696+994+2588+5395+551+7456+3358+1076+702+5534+311+5039+303+2000+8825</f>
        <v>51739</v>
      </c>
      <c r="J234" s="18">
        <f>625+142+114+1290+4865+1049+1102+1400+1996+326+8940</f>
        <v>21849</v>
      </c>
      <c r="K234" s="18">
        <f>125+375+100+200+100+100+100</f>
        <v>1100</v>
      </c>
      <c r="L234" s="19">
        <f>SUM(F234:K234)</f>
        <v>2448670</v>
      </c>
      <c r="M234" s="8"/>
      <c r="N234" s="264"/>
    </row>
    <row r="235" spans="1:14" s="3" customFormat="1" ht="12.2" customHeight="1" x14ac:dyDescent="0.15">
      <c r="A235" s="1" t="s">
        <v>439</v>
      </c>
      <c r="B235" s="2" t="s">
        <v>350</v>
      </c>
      <c r="C235" s="2" t="s">
        <v>291</v>
      </c>
      <c r="D235" s="2" t="s">
        <v>431</v>
      </c>
      <c r="E235" s="6">
        <v>1200</v>
      </c>
      <c r="F235" s="18">
        <f>175505+191412+50166+32749</f>
        <v>449832</v>
      </c>
      <c r="G235" s="18">
        <f>19587+97583+1967+255+1372+26501+31240+627+3838+2000+95+2746+49+2364+3259</f>
        <v>193483</v>
      </c>
      <c r="H235" s="18">
        <f>558847+8898+65443</f>
        <v>633188</v>
      </c>
      <c r="I235" s="18">
        <f>1677+4573+26</f>
        <v>6276</v>
      </c>
      <c r="J235" s="18">
        <f>189</f>
        <v>189</v>
      </c>
      <c r="K235" s="18">
        <f>791+10398</f>
        <v>11189</v>
      </c>
      <c r="L235" s="19">
        <f>SUM(F235:K235)</f>
        <v>1294157</v>
      </c>
      <c r="M235" s="8"/>
      <c r="N235" s="264"/>
    </row>
    <row r="236" spans="1:14" s="3" customFormat="1" ht="12.2" customHeight="1" x14ac:dyDescent="0.15">
      <c r="A236" s="1" t="s">
        <v>440</v>
      </c>
      <c r="B236" s="2" t="s">
        <v>350</v>
      </c>
      <c r="C236" s="2" t="s">
        <v>292</v>
      </c>
      <c r="D236" s="2" t="s">
        <v>431</v>
      </c>
      <c r="E236" s="6">
        <v>1300</v>
      </c>
      <c r="F236" s="18">
        <f>56885+116770+18236</f>
        <v>191891</v>
      </c>
      <c r="G236" s="18">
        <f>13733+24087+594+737+79+229+65+97+3974+10418+10125+15711+105+223</f>
        <v>80177</v>
      </c>
      <c r="H236" s="18">
        <v>125007</v>
      </c>
      <c r="I236" s="18">
        <v>8551</v>
      </c>
      <c r="J236" s="18">
        <v>1078</v>
      </c>
      <c r="K236" s="18">
        <v>444</v>
      </c>
      <c r="L236" s="19">
        <f>SUM(F236:K236)</f>
        <v>407148</v>
      </c>
      <c r="M236" s="8"/>
      <c r="N236" s="264"/>
    </row>
    <row r="237" spans="1:14" s="3" customFormat="1" ht="12.2" customHeight="1" x14ac:dyDescent="0.15">
      <c r="A237" s="1" t="s">
        <v>441</v>
      </c>
      <c r="B237" s="2" t="s">
        <v>350</v>
      </c>
      <c r="C237" s="2" t="s">
        <v>293</v>
      </c>
      <c r="D237" s="2" t="s">
        <v>431</v>
      </c>
      <c r="E237" s="6">
        <v>1400</v>
      </c>
      <c r="F237" s="18">
        <v>150966.37</v>
      </c>
      <c r="G237" s="18">
        <v>42932.58</v>
      </c>
      <c r="H237" s="18">
        <v>60297.5</v>
      </c>
      <c r="I237" s="18">
        <v>13442.36</v>
      </c>
      <c r="J237" s="18">
        <v>14466.03</v>
      </c>
      <c r="K237" s="18">
        <v>10506.61</v>
      </c>
      <c r="L237" s="19">
        <f>SUM(F237:K237)</f>
        <v>292611.45</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143791+33335+46747</f>
        <v>223873</v>
      </c>
      <c r="G239" s="18">
        <f>46746+2064+270+153+12893+3724+25595+301+15896+544+72+50+2761+8107+64</f>
        <v>119240</v>
      </c>
      <c r="H239" s="18">
        <f>664+23522+6797+531</f>
        <v>31514</v>
      </c>
      <c r="I239" s="18">
        <f>1729+302</f>
        <v>2031</v>
      </c>
      <c r="J239" s="18">
        <f>1494+934</f>
        <v>2428</v>
      </c>
      <c r="K239" s="18"/>
      <c r="L239" s="19">
        <f t="shared" ref="L239:L245" si="4">SUM(F239:K239)</f>
        <v>379086</v>
      </c>
      <c r="M239" s="8"/>
      <c r="N239" s="264"/>
    </row>
    <row r="240" spans="1:14" s="3" customFormat="1" ht="12.2" customHeight="1" x14ac:dyDescent="0.15">
      <c r="A240" s="1" t="s">
        <v>443</v>
      </c>
      <c r="B240" s="2" t="s">
        <v>350</v>
      </c>
      <c r="C240" s="2" t="s">
        <v>295</v>
      </c>
      <c r="D240" s="2" t="s">
        <v>431</v>
      </c>
      <c r="E240" s="6">
        <v>2200</v>
      </c>
      <c r="F240" s="18">
        <f>51711+10023+62966+16704</f>
        <v>141404</v>
      </c>
      <c r="G240" s="18">
        <f>9218+379+144+4023+9025+196+421+68+11+4+742+1051+46194+4248+4337+4193+5000+725+79+160+6393+11208+100+450</f>
        <v>108369</v>
      </c>
      <c r="H240" s="18">
        <f>10975+2082+153</f>
        <v>13210</v>
      </c>
      <c r="I240" s="18">
        <f>706+461+5121+103+4313+125</f>
        <v>10829</v>
      </c>
      <c r="J240" s="18">
        <v>374</v>
      </c>
      <c r="K240" s="18"/>
      <c r="L240" s="19">
        <f t="shared" si="4"/>
        <v>274186</v>
      </c>
      <c r="M240" s="8"/>
      <c r="N240" s="264"/>
    </row>
    <row r="241" spans="1:14" s="3" customFormat="1" ht="12.2" customHeight="1" x14ac:dyDescent="0.15">
      <c r="A241" s="1" t="s">
        <v>444</v>
      </c>
      <c r="B241" s="2" t="s">
        <v>350</v>
      </c>
      <c r="C241" s="2" t="s">
        <v>296</v>
      </c>
      <c r="D241" s="2" t="s">
        <v>431</v>
      </c>
      <c r="E241" s="6">
        <v>2300</v>
      </c>
      <c r="F241" s="18">
        <f>4984+275637</f>
        <v>280621</v>
      </c>
      <c r="G241" s="18">
        <f>420+43293+124150.66</f>
        <v>167863.66</v>
      </c>
      <c r="H241" s="18">
        <f>60981</f>
        <v>60981</v>
      </c>
      <c r="I241" s="18">
        <f>293+1369+6221+201+6583</f>
        <v>14667</v>
      </c>
      <c r="J241" s="18">
        <f>3582+31672+1774+22562+11048</f>
        <v>70638</v>
      </c>
      <c r="K241" s="18">
        <f>1860</f>
        <v>1860</v>
      </c>
      <c r="L241" s="19">
        <f t="shared" si="4"/>
        <v>596630.66</v>
      </c>
      <c r="M241" s="8"/>
      <c r="N241" s="264"/>
    </row>
    <row r="242" spans="1:14" s="3" customFormat="1" ht="12.2" customHeight="1" x14ac:dyDescent="0.15">
      <c r="A242" s="1" t="s">
        <v>445</v>
      </c>
      <c r="B242" s="2" t="s">
        <v>350</v>
      </c>
      <c r="C242" s="2" t="s">
        <v>297</v>
      </c>
      <c r="D242" s="2" t="s">
        <v>431</v>
      </c>
      <c r="E242" s="6">
        <v>2400</v>
      </c>
      <c r="F242" s="18">
        <v>349444.3</v>
      </c>
      <c r="G242" s="18">
        <f>164425.2-2.4</f>
        <v>164422.80000000002</v>
      </c>
      <c r="H242" s="18">
        <v>12372.1</v>
      </c>
      <c r="I242" s="18">
        <v>3421.42</v>
      </c>
      <c r="J242" s="18"/>
      <c r="K242" s="18">
        <v>6212.93</v>
      </c>
      <c r="L242" s="19">
        <f t="shared" si="4"/>
        <v>535873.55000000005</v>
      </c>
      <c r="M242" s="8"/>
      <c r="N242" s="264"/>
    </row>
    <row r="243" spans="1:14" s="3" customFormat="1" ht="12.2" customHeight="1" x14ac:dyDescent="0.15">
      <c r="A243" s="1" t="s">
        <v>446</v>
      </c>
      <c r="B243" s="2" t="s">
        <v>350</v>
      </c>
      <c r="C243" s="2" t="s">
        <v>298</v>
      </c>
      <c r="D243" s="2" t="s">
        <v>431</v>
      </c>
      <c r="E243" s="6">
        <v>2500</v>
      </c>
      <c r="F243" s="18">
        <v>82534</v>
      </c>
      <c r="G243" s="18">
        <v>34529.089999999997</v>
      </c>
      <c r="H243" s="18"/>
      <c r="I243" s="18"/>
      <c r="J243" s="18"/>
      <c r="K243" s="18"/>
      <c r="L243" s="19">
        <f t="shared" si="4"/>
        <v>117063.09</v>
      </c>
      <c r="M243" s="8"/>
      <c r="N243" s="264"/>
    </row>
    <row r="244" spans="1:14" s="3" customFormat="1" ht="12.2" customHeight="1" x14ac:dyDescent="0.15">
      <c r="A244" s="1" t="s">
        <v>447</v>
      </c>
      <c r="B244" s="2" t="s">
        <v>350</v>
      </c>
      <c r="C244" s="2" t="s">
        <v>299</v>
      </c>
      <c r="D244" s="2" t="s">
        <v>431</v>
      </c>
      <c r="E244" s="6">
        <v>2600</v>
      </c>
      <c r="F244" s="18">
        <f>143726.59+112667</f>
        <v>256393.59</v>
      </c>
      <c r="G244" s="18">
        <f>78192.67+59808</f>
        <v>138000.66999999998</v>
      </c>
      <c r="H244" s="18">
        <f>66470.14+54709+10913</f>
        <v>132092.14000000001</v>
      </c>
      <c r="I244" s="18">
        <f>162446.53+2440</f>
        <v>164886.53</v>
      </c>
      <c r="J244" s="18">
        <f>8910+9090</f>
        <v>18000</v>
      </c>
      <c r="K244" s="18">
        <v>1638</v>
      </c>
      <c r="L244" s="19">
        <f t="shared" si="4"/>
        <v>711010.93</v>
      </c>
      <c r="M244" s="8"/>
      <c r="N244" s="264"/>
    </row>
    <row r="245" spans="1:14" s="3" customFormat="1" ht="12.2" customHeight="1" x14ac:dyDescent="0.15">
      <c r="A245" s="1" t="s">
        <v>448</v>
      </c>
      <c r="B245" s="2" t="s">
        <v>350</v>
      </c>
      <c r="C245" s="2" t="s">
        <v>300</v>
      </c>
      <c r="D245" s="2" t="s">
        <v>431</v>
      </c>
      <c r="E245" s="6">
        <v>2700</v>
      </c>
      <c r="F245" s="18"/>
      <c r="G245" s="18"/>
      <c r="H245" s="18">
        <v>338927.72</v>
      </c>
      <c r="I245" s="18">
        <v>15920.89</v>
      </c>
      <c r="J245" s="18"/>
      <c r="K245" s="18"/>
      <c r="L245" s="19">
        <f t="shared" si="4"/>
        <v>354848.61</v>
      </c>
      <c r="M245" s="8"/>
      <c r="N245" s="264"/>
    </row>
    <row r="246" spans="1:14" s="3" customFormat="1" ht="12.2" customHeight="1" x14ac:dyDescent="0.15">
      <c r="A246" s="1" t="s">
        <v>449</v>
      </c>
      <c r="B246" s="2" t="s">
        <v>350</v>
      </c>
      <c r="C246" s="2" t="s">
        <v>343</v>
      </c>
      <c r="D246" s="2" t="s">
        <v>431</v>
      </c>
      <c r="E246" s="6">
        <v>2800</v>
      </c>
      <c r="F246" s="18"/>
      <c r="G246" s="18">
        <f>2250</f>
        <v>2250</v>
      </c>
      <c r="H246" s="18"/>
      <c r="I246" s="18"/>
      <c r="J246" s="18"/>
      <c r="K246" s="18"/>
      <c r="L246" s="19">
        <f>SUM(F246:K246)</f>
        <v>2250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3709569.26</v>
      </c>
      <c r="G248" s="41">
        <f t="shared" si="5"/>
        <v>1815046.8</v>
      </c>
      <c r="H248" s="41">
        <f t="shared" si="5"/>
        <v>1435182.46</v>
      </c>
      <c r="I248" s="41">
        <f t="shared" si="5"/>
        <v>291764.2</v>
      </c>
      <c r="J248" s="41">
        <f t="shared" si="5"/>
        <v>129022.03</v>
      </c>
      <c r="K248" s="41">
        <f t="shared" si="5"/>
        <v>32950.54</v>
      </c>
      <c r="L248" s="41">
        <f t="shared" si="5"/>
        <v>7413535.29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11878505.129999999</v>
      </c>
      <c r="G258" s="41">
        <f t="shared" si="8"/>
        <v>5804071.7599999998</v>
      </c>
      <c r="H258" s="41">
        <f t="shared" si="8"/>
        <v>3756036.7199999997</v>
      </c>
      <c r="I258" s="41">
        <f t="shared" si="8"/>
        <v>711675.35000000009</v>
      </c>
      <c r="J258" s="41">
        <f t="shared" si="8"/>
        <v>288545.13</v>
      </c>
      <c r="K258" s="41">
        <f t="shared" si="8"/>
        <v>56856.92</v>
      </c>
      <c r="L258" s="41">
        <f t="shared" si="8"/>
        <v>22495691.010000002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1028822</v>
      </c>
      <c r="L261" s="19">
        <f>SUM(F261:K261)</f>
        <v>1028822</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67943.990000000005</v>
      </c>
      <c r="L262" s="19">
        <f>SUM(F262:K262)</f>
        <v>67943.990000000005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540000</v>
      </c>
      <c r="L267" s="19">
        <f t="shared" si="9"/>
        <v>540000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1636765.99</v>
      </c>
      <c r="L271" s="41">
        <f t="shared" si="9"/>
        <v>1636765.99</v>
      </c>
      <c r="M271" s="8"/>
      <c r="N271" s="264"/>
    </row>
    <row r="272" spans="1:14" s="34" customFormat="1" ht="12.2" customHeight="1" thickTop="1" x14ac:dyDescent="0.2">
      <c r="A272" s="43" t="s">
        <v>464</v>
      </c>
      <c r="B272" s="40">
        <v>10</v>
      </c>
      <c r="C272" s="40">
        <v>18</v>
      </c>
      <c r="D272" s="39" t="s">
        <v>431</v>
      </c>
      <c r="E272" s="40"/>
      <c r="F272" s="42">
        <f t="shared" ref="F272:L272" si="11">F258+F271</f>
        <v>11878505.129999999</v>
      </c>
      <c r="G272" s="42">
        <f t="shared" si="11"/>
        <v>5804071.7599999998</v>
      </c>
      <c r="H272" s="42">
        <f t="shared" si="11"/>
        <v>3756036.7199999997</v>
      </c>
      <c r="I272" s="42">
        <f t="shared" si="11"/>
        <v>711675.35000000009</v>
      </c>
      <c r="J272" s="42">
        <f t="shared" si="11"/>
        <v>288545.13</v>
      </c>
      <c r="K272" s="42">
        <f t="shared" si="11"/>
        <v>1693622.91</v>
      </c>
      <c r="L272" s="42">
        <f t="shared" si="11"/>
        <v>24132457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3464+818+87338+2244+54+62222+1475+10330+3757</f>
        <v>171702</v>
      </c>
      <c r="G277" s="18">
        <f>2500+14821+19075+926+462+141+79+54+62+191+6307+166+4+177+4321+146+15546+399+10+11076+130+9+115+107+1158+569</f>
        <v>78551</v>
      </c>
      <c r="H277" s="18">
        <f>4500+2888+525+1250</f>
        <v>9163</v>
      </c>
      <c r="I277" s="18">
        <f>3681+1300+37789+1419+488+405+2247+13763+27808+3133+5754+2368</f>
        <v>100155</v>
      </c>
      <c r="J277" s="18">
        <f>19890-40832+12246-15359+22499</f>
        <v>-1556</v>
      </c>
      <c r="K277" s="18">
        <f>2500+2500+2500+2500</f>
        <v>10000</v>
      </c>
      <c r="L277" s="19">
        <f>SUM(F277:K277)</f>
        <v>368015</v>
      </c>
      <c r="M277" s="8"/>
      <c r="N277" s="264"/>
    </row>
    <row r="278" spans="1:14" s="3" customFormat="1" ht="12.2" customHeight="1" x14ac:dyDescent="0.15">
      <c r="A278" s="1" t="s">
        <v>439</v>
      </c>
      <c r="B278" s="2" t="s">
        <v>357</v>
      </c>
      <c r="C278" s="2" t="s">
        <v>291</v>
      </c>
      <c r="D278" s="2" t="s">
        <v>431</v>
      </c>
      <c r="E278" s="6">
        <v>1200</v>
      </c>
      <c r="F278" s="18">
        <f>28500+24400+26500</f>
        <v>79400</v>
      </c>
      <c r="G278" s="18"/>
      <c r="H278" s="18">
        <f>4350+9934+6552</f>
        <v>20836</v>
      </c>
      <c r="I278" s="18">
        <f>188+788+460+3002+488+809</f>
        <v>5735</v>
      </c>
      <c r="J278" s="18">
        <f>2985-2085</f>
        <v>900</v>
      </c>
      <c r="K278" s="18"/>
      <c r="L278" s="19">
        <f>SUM(F278:K278)</f>
        <v>106871</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f>17190</f>
        <v>17190</v>
      </c>
      <c r="G280" s="18">
        <f>1309+3060</f>
        <v>4369</v>
      </c>
      <c r="H280" s="18"/>
      <c r="I280" s="18">
        <f>147+635+3140+3416</f>
        <v>7338</v>
      </c>
      <c r="J280" s="18"/>
      <c r="K280" s="18"/>
      <c r="L280" s="19">
        <f>SUM(F280:K280)</f>
        <v>28897</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53365+3054+293+2341+1102+1200+5509+800+1072+600+6482+394+10857</f>
        <v>87069</v>
      </c>
      <c r="G282" s="18">
        <f>1398+941+233+51+38+59+232+91+46+410+490+166+82+671+261+123+142+543+213+106+870+33+2492+3638+82</f>
        <v>13411</v>
      </c>
      <c r="H282" s="18">
        <f>353+1519+666+9900+1434+10685+333+4650+1266-80+1238+137+100</f>
        <v>32201</v>
      </c>
      <c r="I282" s="18">
        <f>1514+194+4076+611+3858+887+191</f>
        <v>11331</v>
      </c>
      <c r="J282" s="18"/>
      <c r="K282" s="18"/>
      <c r="L282" s="19">
        <f t="shared" ref="L282:L288" si="12">SUM(F282:K282)</f>
        <v>144012</v>
      </c>
      <c r="M282" s="8"/>
      <c r="N282" s="264"/>
    </row>
    <row r="283" spans="1:14" s="3" customFormat="1" ht="12.2" customHeight="1" x14ac:dyDescent="0.15">
      <c r="A283" s="1" t="s">
        <v>443</v>
      </c>
      <c r="B283" s="2" t="s">
        <v>357</v>
      </c>
      <c r="C283" s="2" t="s">
        <v>295</v>
      </c>
      <c r="D283" s="2" t="s">
        <v>431</v>
      </c>
      <c r="E283" s="6">
        <v>2200</v>
      </c>
      <c r="F283" s="18">
        <f>1920+2560+480+906+2666</f>
        <v>8532</v>
      </c>
      <c r="G283" s="18">
        <f>147+193+342+370+36.5+42.5+66+193+162+475</f>
        <v>2027</v>
      </c>
      <c r="H283" s="18">
        <f>2550+1950+2900+1600+500+500+4500</f>
        <v>14500</v>
      </c>
      <c r="I283" s="18">
        <f>278+549</f>
        <v>827</v>
      </c>
      <c r="J283" s="18"/>
      <c r="K283" s="18"/>
      <c r="L283" s="19">
        <f t="shared" si="12"/>
        <v>25886</v>
      </c>
      <c r="M283" s="8"/>
      <c r="N283" s="264"/>
    </row>
    <row r="284" spans="1:14" s="3" customFormat="1" ht="12.2" customHeight="1" x14ac:dyDescent="0.15">
      <c r="A284" s="1" t="s">
        <v>444</v>
      </c>
      <c r="B284" s="2" t="s">
        <v>357</v>
      </c>
      <c r="C284" s="2" t="s">
        <v>296</v>
      </c>
      <c r="D284" s="2" t="s">
        <v>431</v>
      </c>
      <c r="E284" s="6">
        <v>2300</v>
      </c>
      <c r="F284" s="18"/>
      <c r="G284" s="18"/>
      <c r="H284" s="18">
        <f>4543</f>
        <v>4543</v>
      </c>
      <c r="I284" s="18"/>
      <c r="J284" s="18">
        <f>9564+46626+7195</f>
        <v>63385</v>
      </c>
      <c r="K284" s="18"/>
      <c r="L284" s="19">
        <f t="shared" si="12"/>
        <v>67928</v>
      </c>
      <c r="M284" s="8"/>
      <c r="N284" s="264"/>
    </row>
    <row r="285" spans="1:14" s="3" customFormat="1" ht="12.2" customHeight="1" x14ac:dyDescent="0.15">
      <c r="A285" s="1" t="s">
        <v>445</v>
      </c>
      <c r="B285" s="2" t="s">
        <v>357</v>
      </c>
      <c r="C285" s="2" t="s">
        <v>297</v>
      </c>
      <c r="D285" s="2" t="s">
        <v>431</v>
      </c>
      <c r="E285" s="6">
        <v>2400</v>
      </c>
      <c r="F285" s="18">
        <f>1689</f>
        <v>1689</v>
      </c>
      <c r="G285" s="18"/>
      <c r="H285" s="18">
        <f>5242</f>
        <v>5242</v>
      </c>
      <c r="I285" s="18"/>
      <c r="J285" s="18"/>
      <c r="K285" s="18">
        <v>288</v>
      </c>
      <c r="L285" s="19">
        <f t="shared" si="12"/>
        <v>7219</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f>60+10025</f>
        <v>10085</v>
      </c>
      <c r="J287" s="18">
        <f>3866</f>
        <v>3866</v>
      </c>
      <c r="K287" s="18"/>
      <c r="L287" s="19">
        <f t="shared" si="12"/>
        <v>13951</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f>4500+922+709+6381+1500+3467+3388</f>
        <v>20867</v>
      </c>
      <c r="I289" s="18"/>
      <c r="J289" s="18"/>
      <c r="K289" s="18"/>
      <c r="L289" s="19">
        <f>SUM(F289:K289)</f>
        <v>20867</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365582</v>
      </c>
      <c r="G291" s="42">
        <f t="shared" si="13"/>
        <v>98358</v>
      </c>
      <c r="H291" s="42">
        <f t="shared" si="13"/>
        <v>107352</v>
      </c>
      <c r="I291" s="42">
        <f t="shared" si="13"/>
        <v>135471</v>
      </c>
      <c r="J291" s="42">
        <f t="shared" si="13"/>
        <v>66595</v>
      </c>
      <c r="K291" s="42">
        <f t="shared" si="13"/>
        <v>10288</v>
      </c>
      <c r="L291" s="41">
        <f t="shared" si="13"/>
        <v>783646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2747+10330+3757</f>
        <v>16834</v>
      </c>
      <c r="G296" s="18">
        <f>205+462+1159+569</f>
        <v>2395</v>
      </c>
      <c r="H296" s="18">
        <f>525+445+1250</f>
        <v>2220</v>
      </c>
      <c r="I296" s="18">
        <f>1300+309+3134+5754+2368</f>
        <v>12865</v>
      </c>
      <c r="J296" s="18">
        <f>12826-15358+22499</f>
        <v>19967</v>
      </c>
      <c r="K296" s="18"/>
      <c r="L296" s="19">
        <f>SUM(F296:K296)</f>
        <v>54281</v>
      </c>
      <c r="M296" s="8"/>
      <c r="N296" s="264"/>
    </row>
    <row r="297" spans="1:14" s="3" customFormat="1" ht="12.2" customHeight="1" x14ac:dyDescent="0.15">
      <c r="A297" s="1" t="s">
        <v>439</v>
      </c>
      <c r="B297" s="2" t="s">
        <v>358</v>
      </c>
      <c r="C297" s="2" t="s">
        <v>291</v>
      </c>
      <c r="D297" s="2" t="s">
        <v>431</v>
      </c>
      <c r="E297" s="6">
        <v>1200</v>
      </c>
      <c r="F297" s="18">
        <f>39000</f>
        <v>39000</v>
      </c>
      <c r="G297" s="18"/>
      <c r="H297" s="18">
        <f>5423+6552+52348+49532</f>
        <v>113855</v>
      </c>
      <c r="I297" s="18">
        <f>3002+488+808</f>
        <v>4298</v>
      </c>
      <c r="J297" s="18">
        <f>2985-2085</f>
        <v>900</v>
      </c>
      <c r="K297" s="18"/>
      <c r="L297" s="19">
        <f>SUM(F297:K297)</f>
        <v>158053</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f>900</f>
        <v>900</v>
      </c>
      <c r="G299" s="18">
        <f>67+160</f>
        <v>227</v>
      </c>
      <c r="H299" s="18">
        <f>4500-918</f>
        <v>3582</v>
      </c>
      <c r="I299" s="18">
        <f>1269+4820+918+4045+668</f>
        <v>11720</v>
      </c>
      <c r="J299" s="18">
        <f>1730</f>
        <v>1730</v>
      </c>
      <c r="K299" s="18"/>
      <c r="L299" s="19">
        <f>SUM(F299:K299)</f>
        <v>18159</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f>3054+293+2340+1103+1200+5510+800+1073+600+6483+395+10857+27463</f>
        <v>61171</v>
      </c>
      <c r="G301" s="18">
        <f>1398+941+233+51+38+60+232+92+46+411+490+166+83+672+261+123+142+544+214+107+871</f>
        <v>7175</v>
      </c>
      <c r="H301" s="18">
        <f>353+1519+667+1433+333+4650+1267+267+315+1238+138</f>
        <v>12180</v>
      </c>
      <c r="I301" s="18">
        <f>1514+192+4076+106+611+3858+400+887+191</f>
        <v>11835</v>
      </c>
      <c r="J301" s="18">
        <f>750</f>
        <v>750</v>
      </c>
      <c r="K301" s="18"/>
      <c r="L301" s="19">
        <f t="shared" ref="L301:L307" si="14">SUM(F301:K301)</f>
        <v>93111</v>
      </c>
      <c r="M301" s="8"/>
      <c r="N301" s="264"/>
    </row>
    <row r="302" spans="1:14" s="3" customFormat="1" ht="12.2" customHeight="1" x14ac:dyDescent="0.15">
      <c r="A302" s="1" t="s">
        <v>443</v>
      </c>
      <c r="B302" s="2" t="s">
        <v>358</v>
      </c>
      <c r="C302" s="2" t="s">
        <v>295</v>
      </c>
      <c r="D302" s="2" t="s">
        <v>431</v>
      </c>
      <c r="E302" s="6">
        <v>2200</v>
      </c>
      <c r="F302" s="18">
        <f>480+907+2667</f>
        <v>4054</v>
      </c>
      <c r="G302" s="18">
        <f>36.5+42.5+67+193+161+474</f>
        <v>974</v>
      </c>
      <c r="H302" s="18">
        <f>2550+2900+1600+500+500+4500</f>
        <v>12550</v>
      </c>
      <c r="I302" s="18"/>
      <c r="J302" s="18"/>
      <c r="K302" s="18"/>
      <c r="L302" s="19">
        <f t="shared" si="14"/>
        <v>17578</v>
      </c>
      <c r="M302" s="8"/>
      <c r="N302" s="264"/>
    </row>
    <row r="303" spans="1:14" s="3" customFormat="1" ht="12.2" customHeight="1" x14ac:dyDescent="0.15">
      <c r="A303" s="1" t="s">
        <v>444</v>
      </c>
      <c r="B303" s="2" t="s">
        <v>358</v>
      </c>
      <c r="C303" s="2" t="s">
        <v>296</v>
      </c>
      <c r="D303" s="2" t="s">
        <v>431</v>
      </c>
      <c r="E303" s="6">
        <v>2300</v>
      </c>
      <c r="F303" s="18">
        <f>1690</f>
        <v>1690</v>
      </c>
      <c r="G303" s="18"/>
      <c r="H303" s="18">
        <f>4543</f>
        <v>4543</v>
      </c>
      <c r="I303" s="18"/>
      <c r="J303" s="18">
        <f>9565+46627+7195</f>
        <v>63387</v>
      </c>
      <c r="K303" s="18"/>
      <c r="L303" s="19">
        <f t="shared" si="14"/>
        <v>69620</v>
      </c>
      <c r="M303" s="8"/>
      <c r="N303" s="264"/>
    </row>
    <row r="304" spans="1:14" s="3" customFormat="1" ht="12.2" customHeight="1" x14ac:dyDescent="0.15">
      <c r="A304" s="1" t="s">
        <v>445</v>
      </c>
      <c r="B304" s="2" t="s">
        <v>358</v>
      </c>
      <c r="C304" s="2" t="s">
        <v>297</v>
      </c>
      <c r="D304" s="2" t="s">
        <v>431</v>
      </c>
      <c r="E304" s="6">
        <v>2400</v>
      </c>
      <c r="F304" s="18"/>
      <c r="G304" s="18"/>
      <c r="H304" s="18">
        <f>5243</f>
        <v>5243</v>
      </c>
      <c r="I304" s="18"/>
      <c r="J304" s="18"/>
      <c r="K304" s="18">
        <f>816+13</f>
        <v>829</v>
      </c>
      <c r="L304" s="19">
        <f t="shared" si="14"/>
        <v>6072</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f>10025</f>
        <v>10025</v>
      </c>
      <c r="J306" s="18"/>
      <c r="K306" s="18"/>
      <c r="L306" s="19">
        <f t="shared" si="14"/>
        <v>10025</v>
      </c>
      <c r="M306" s="8"/>
      <c r="N306" s="264"/>
    </row>
    <row r="307" spans="1:14" s="3" customFormat="1" ht="12.2" customHeight="1" x14ac:dyDescent="0.15">
      <c r="A307" s="1" t="s">
        <v>448</v>
      </c>
      <c r="B307" s="2" t="s">
        <v>358</v>
      </c>
      <c r="C307" s="2" t="s">
        <v>300</v>
      </c>
      <c r="D307" s="2" t="s">
        <v>431</v>
      </c>
      <c r="E307" s="6">
        <v>2700</v>
      </c>
      <c r="F307" s="18"/>
      <c r="G307" s="18"/>
      <c r="H307" s="18">
        <f>700</f>
        <v>700</v>
      </c>
      <c r="I307" s="18"/>
      <c r="J307" s="18"/>
      <c r="K307" s="18"/>
      <c r="L307" s="19">
        <f t="shared" si="14"/>
        <v>700</v>
      </c>
      <c r="M307" s="8"/>
      <c r="N307" s="264"/>
    </row>
    <row r="308" spans="1:14" s="3" customFormat="1" ht="12.2" customHeight="1" x14ac:dyDescent="0.15">
      <c r="A308" s="1" t="s">
        <v>449</v>
      </c>
      <c r="B308" s="2" t="s">
        <v>358</v>
      </c>
      <c r="C308" s="2" t="s">
        <v>343</v>
      </c>
      <c r="D308" s="2" t="s">
        <v>431</v>
      </c>
      <c r="E308" s="6">
        <v>2800</v>
      </c>
      <c r="F308" s="18"/>
      <c r="G308" s="18"/>
      <c r="H308" s="18">
        <f>4500+922+709+6381+1500+3467+3387</f>
        <v>20866</v>
      </c>
      <c r="I308" s="18"/>
      <c r="J308" s="18"/>
      <c r="K308" s="18"/>
      <c r="L308" s="19">
        <f>SUM(F308:K308)</f>
        <v>20866</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123649</v>
      </c>
      <c r="G310" s="42">
        <f t="shared" si="15"/>
        <v>10771</v>
      </c>
      <c r="H310" s="42">
        <f t="shared" si="15"/>
        <v>175739</v>
      </c>
      <c r="I310" s="42">
        <f t="shared" si="15"/>
        <v>50743</v>
      </c>
      <c r="J310" s="42">
        <f t="shared" si="15"/>
        <v>86734</v>
      </c>
      <c r="K310" s="42">
        <f t="shared" si="15"/>
        <v>829</v>
      </c>
      <c r="L310" s="41">
        <f t="shared" si="15"/>
        <v>448465</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6210+198+10330+3758</f>
        <v>20496</v>
      </c>
      <c r="G315" s="18">
        <f>447+1105+15+35+243+1159+570</f>
        <v>3574</v>
      </c>
      <c r="H315" s="18">
        <f>993+883+115000+525</f>
        <v>117401</v>
      </c>
      <c r="I315" s="18">
        <f>1797+2674+19635+39671+3133+5754+2368</f>
        <v>75032</v>
      </c>
      <c r="J315" s="18">
        <f>-15358+22499</f>
        <v>7141</v>
      </c>
      <c r="K315" s="18">
        <f>539+2687</f>
        <v>3226</v>
      </c>
      <c r="L315" s="19">
        <f>SUM(F315:K315)</f>
        <v>226870</v>
      </c>
      <c r="M315" s="8"/>
      <c r="N315" s="264"/>
    </row>
    <row r="316" spans="1:14" s="3" customFormat="1" ht="12.2" customHeight="1" x14ac:dyDescent="0.15">
      <c r="A316" s="1" t="s">
        <v>439</v>
      </c>
      <c r="B316" s="2" t="s">
        <v>359</v>
      </c>
      <c r="C316" s="2" t="s">
        <v>291</v>
      </c>
      <c r="D316" s="2" t="s">
        <v>431</v>
      </c>
      <c r="E316" s="6">
        <v>1200</v>
      </c>
      <c r="F316" s="18">
        <f>45100</f>
        <v>45100</v>
      </c>
      <c r="G316" s="18"/>
      <c r="H316" s="18">
        <f>5626+6552+27018</f>
        <v>39196</v>
      </c>
      <c r="I316" s="18">
        <f>3002+488+808</f>
        <v>4298</v>
      </c>
      <c r="J316" s="18">
        <f>2985-2085</f>
        <v>900</v>
      </c>
      <c r="K316" s="18"/>
      <c r="L316" s="19">
        <f>SUM(F316:K316)</f>
        <v>89494</v>
      </c>
      <c r="M316" s="8"/>
      <c r="N316" s="264"/>
    </row>
    <row r="317" spans="1:14" s="3" customFormat="1" ht="12.2" customHeight="1" x14ac:dyDescent="0.15">
      <c r="A317" s="1" t="s">
        <v>440</v>
      </c>
      <c r="B317" s="2" t="s">
        <v>359</v>
      </c>
      <c r="C317" s="2" t="s">
        <v>292</v>
      </c>
      <c r="D317" s="2" t="s">
        <v>431</v>
      </c>
      <c r="E317" s="6">
        <v>1300</v>
      </c>
      <c r="F317" s="18">
        <f>3440</f>
        <v>3440</v>
      </c>
      <c r="G317" s="18"/>
      <c r="H317" s="18">
        <f>800+144+1000+5125+222+3755-2700+1617</f>
        <v>9963</v>
      </c>
      <c r="I317" s="18">
        <f>8139+1980</f>
        <v>10119</v>
      </c>
      <c r="J317" s="18">
        <f>1720</f>
        <v>1720</v>
      </c>
      <c r="K317" s="18">
        <f>30</f>
        <v>30</v>
      </c>
      <c r="L317" s="19">
        <f>SUM(F317:K317)</f>
        <v>25272</v>
      </c>
      <c r="M317" s="8"/>
      <c r="N317" s="264"/>
    </row>
    <row r="318" spans="1:14" s="3" customFormat="1" ht="12.2" customHeight="1" x14ac:dyDescent="0.15">
      <c r="A318" s="1" t="s">
        <v>441</v>
      </c>
      <c r="B318" s="2" t="s">
        <v>359</v>
      </c>
      <c r="C318" s="2" t="s">
        <v>293</v>
      </c>
      <c r="D318" s="2" t="s">
        <v>431</v>
      </c>
      <c r="E318" s="6">
        <v>1400</v>
      </c>
      <c r="F318" s="18">
        <f>3840</f>
        <v>3840</v>
      </c>
      <c r="G318" s="18">
        <f>282+684</f>
        <v>966</v>
      </c>
      <c r="H318" s="18"/>
      <c r="I318" s="18">
        <f>722+3786</f>
        <v>4508</v>
      </c>
      <c r="J318" s="18"/>
      <c r="K318" s="18"/>
      <c r="L318" s="19">
        <f>SUM(F318:K318)</f>
        <v>9314</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3055+294+2341+70+1103+1200+5510+800+1073+600+6483+395+10857+27463</f>
        <v>61244</v>
      </c>
      <c r="G320" s="18">
        <f>1399+942+233+52+38+28+18+12+6+19+9+60+233+92+67+46+411+491+167+88+5+83+672+262+132+8+123+143+544+214+107+871</f>
        <v>7575</v>
      </c>
      <c r="H320" s="18">
        <f>354+1519+667+1433+334+4650+1267+41+1239+80+138</f>
        <v>11722</v>
      </c>
      <c r="I320" s="18">
        <f>1000+1515+175+4077+612+3858+887+192</f>
        <v>12316</v>
      </c>
      <c r="J320" s="18"/>
      <c r="K320" s="18"/>
      <c r="L320" s="19">
        <f t="shared" ref="L320:L326" si="16">SUM(F320:K320)</f>
        <v>92857</v>
      </c>
      <c r="M320" s="8"/>
      <c r="N320" s="264"/>
    </row>
    <row r="321" spans="1:14" s="3" customFormat="1" ht="12.2" customHeight="1" x14ac:dyDescent="0.15">
      <c r="A321" s="1" t="s">
        <v>443</v>
      </c>
      <c r="B321" s="2" t="s">
        <v>359</v>
      </c>
      <c r="C321" s="2" t="s">
        <v>295</v>
      </c>
      <c r="D321" s="2" t="s">
        <v>431</v>
      </c>
      <c r="E321" s="6">
        <v>2200</v>
      </c>
      <c r="F321" s="18">
        <f>4800+907+2667</f>
        <v>8374</v>
      </c>
      <c r="G321" s="18">
        <f>367+854+67+193+161+475</f>
        <v>2117</v>
      </c>
      <c r="H321" s="18">
        <f>675+2900+1600+500+267</f>
        <v>5942</v>
      </c>
      <c r="I321" s="18"/>
      <c r="J321" s="18"/>
      <c r="K321" s="18"/>
      <c r="L321" s="19">
        <f t="shared" si="16"/>
        <v>16433</v>
      </c>
      <c r="M321" s="8"/>
      <c r="N321" s="264"/>
    </row>
    <row r="322" spans="1:14" s="3" customFormat="1" ht="12.2" customHeight="1" x14ac:dyDescent="0.15">
      <c r="A322" s="1" t="s">
        <v>444</v>
      </c>
      <c r="B322" s="2" t="s">
        <v>359</v>
      </c>
      <c r="C322" s="2" t="s">
        <v>296</v>
      </c>
      <c r="D322" s="2" t="s">
        <v>431</v>
      </c>
      <c r="E322" s="6">
        <v>2300</v>
      </c>
      <c r="F322" s="18">
        <f>1690</f>
        <v>1690</v>
      </c>
      <c r="G322" s="18"/>
      <c r="H322" s="18">
        <f>4543+650</f>
        <v>5193</v>
      </c>
      <c r="I322" s="18"/>
      <c r="J322" s="18">
        <f>9565+46627+7195</f>
        <v>63387</v>
      </c>
      <c r="K322" s="18"/>
      <c r="L322" s="19">
        <f t="shared" si="16"/>
        <v>70270</v>
      </c>
      <c r="M322" s="8"/>
      <c r="N322" s="264"/>
    </row>
    <row r="323" spans="1:14" s="3" customFormat="1" ht="12.2" customHeight="1" x14ac:dyDescent="0.15">
      <c r="A323" s="1" t="s">
        <v>445</v>
      </c>
      <c r="B323" s="2" t="s">
        <v>359</v>
      </c>
      <c r="C323" s="2" t="s">
        <v>297</v>
      </c>
      <c r="D323" s="2" t="s">
        <v>431</v>
      </c>
      <c r="E323" s="6">
        <v>2400</v>
      </c>
      <c r="F323" s="18"/>
      <c r="G323" s="18"/>
      <c r="H323" s="18">
        <f>5243</f>
        <v>5243</v>
      </c>
      <c r="I323" s="18"/>
      <c r="J323" s="18"/>
      <c r="K323" s="18">
        <v>300</v>
      </c>
      <c r="L323" s="19">
        <f t="shared" si="16"/>
        <v>5543</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f>10026</f>
        <v>10026</v>
      </c>
      <c r="J325" s="18"/>
      <c r="K325" s="18"/>
      <c r="L325" s="19">
        <f t="shared" si="16"/>
        <v>10026</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f>4500+922+710+85+6382+1500+3468+850+3387+817+300</f>
        <v>22921</v>
      </c>
      <c r="I327" s="18"/>
      <c r="J327" s="18"/>
      <c r="K327" s="18"/>
      <c r="L327" s="19">
        <f>SUM(F327:K327)</f>
        <v>22921</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144184</v>
      </c>
      <c r="G329" s="42">
        <f t="shared" si="17"/>
        <v>14232</v>
      </c>
      <c r="H329" s="42">
        <f t="shared" si="17"/>
        <v>217581</v>
      </c>
      <c r="I329" s="42">
        <f t="shared" si="17"/>
        <v>116299</v>
      </c>
      <c r="J329" s="42">
        <f t="shared" si="17"/>
        <v>73148</v>
      </c>
      <c r="K329" s="42">
        <f t="shared" si="17"/>
        <v>3556</v>
      </c>
      <c r="L329" s="41">
        <f t="shared" si="17"/>
        <v>569000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f>1963+3000+2409+3880</f>
        <v>11252</v>
      </c>
      <c r="I333" s="18">
        <f>2356+1599</f>
        <v>3955</v>
      </c>
      <c r="J333" s="18">
        <f>19038</f>
        <v>19038</v>
      </c>
      <c r="K333" s="18"/>
      <c r="L333" s="19">
        <f t="shared" ref="L333:L338" si="18">SUM(F333:K333)</f>
        <v>34245</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f>19308+25122+12544+76665</f>
        <v>133639</v>
      </c>
      <c r="I337" s="18"/>
      <c r="J337" s="18"/>
      <c r="K337" s="18"/>
      <c r="L337" s="19">
        <f t="shared" si="18"/>
        <v>133639</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144891</v>
      </c>
      <c r="I338" s="41">
        <f t="shared" si="19"/>
        <v>3955</v>
      </c>
      <c r="J338" s="41">
        <f t="shared" si="19"/>
        <v>19038</v>
      </c>
      <c r="K338" s="41">
        <f t="shared" si="19"/>
        <v>0</v>
      </c>
      <c r="L338" s="41">
        <f t="shared" si="18"/>
        <v>167884</v>
      </c>
      <c r="M338" s="8"/>
      <c r="N338" s="264"/>
    </row>
    <row r="339" spans="1:43" s="3" customFormat="1" ht="12.2" customHeight="1" thickTop="1" x14ac:dyDescent="0.15">
      <c r="A339" s="38" t="s">
        <v>468</v>
      </c>
      <c r="B339" s="40">
        <v>14</v>
      </c>
      <c r="C339" s="40">
        <v>7</v>
      </c>
      <c r="D339" s="39" t="s">
        <v>431</v>
      </c>
      <c r="E339" s="40"/>
      <c r="F339" s="41">
        <f t="shared" ref="F339:L339" si="20">F291+F310+F329+F338</f>
        <v>633415</v>
      </c>
      <c r="G339" s="41">
        <f t="shared" si="20"/>
        <v>123361</v>
      </c>
      <c r="H339" s="41">
        <f t="shared" si="20"/>
        <v>645563</v>
      </c>
      <c r="I339" s="41">
        <f t="shared" si="20"/>
        <v>306468</v>
      </c>
      <c r="J339" s="41">
        <f t="shared" si="20"/>
        <v>245515</v>
      </c>
      <c r="K339" s="41">
        <f t="shared" si="20"/>
        <v>14673</v>
      </c>
      <c r="L339" s="41">
        <f t="shared" si="20"/>
        <v>1968995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633415</v>
      </c>
      <c r="G353" s="41">
        <f>G339</f>
        <v>123361</v>
      </c>
      <c r="H353" s="41">
        <f>H339</f>
        <v>645563</v>
      </c>
      <c r="I353" s="41">
        <f>I339</f>
        <v>306468</v>
      </c>
      <c r="J353" s="41">
        <f>J339</f>
        <v>245515</v>
      </c>
      <c r="K353" s="47">
        <f>K339+K352</f>
        <v>14673</v>
      </c>
      <c r="L353" s="41">
        <f>L339+L352</f>
        <v>1968995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74811</f>
        <v>74811</v>
      </c>
      <c r="G359" s="18">
        <f>7260+15890+225+24+85+24+1056+3039+2028+9+84</f>
        <v>29724</v>
      </c>
      <c r="H359" s="18"/>
      <c r="I359" s="18">
        <f>693+693+13283+8277+38434+1192</f>
        <v>62572</v>
      </c>
      <c r="J359" s="18"/>
      <c r="K359" s="18">
        <v>14602</v>
      </c>
      <c r="L359" s="13">
        <f>SUM(F359:K359)</f>
        <v>181709</v>
      </c>
      <c r="M359" s="8"/>
      <c r="N359" s="264"/>
    </row>
    <row r="360" spans="1:22" s="3" customFormat="1" ht="12.2" customHeight="1" x14ac:dyDescent="0.15">
      <c r="A360" s="1" t="s">
        <v>542</v>
      </c>
      <c r="B360" s="2" t="s">
        <v>366</v>
      </c>
      <c r="C360" s="6">
        <v>2</v>
      </c>
      <c r="D360" s="2" t="s">
        <v>431</v>
      </c>
      <c r="E360" s="6"/>
      <c r="F360" s="18">
        <f>33840</f>
        <v>33840</v>
      </c>
      <c r="G360" s="18">
        <f>7260+2252+225+24+28+24+1056+1566+2028+1+5</f>
        <v>14469</v>
      </c>
      <c r="H360" s="18"/>
      <c r="I360" s="18">
        <f>22989+1192</f>
        <v>24181</v>
      </c>
      <c r="J360" s="18"/>
      <c r="K360" s="18">
        <v>8734</v>
      </c>
      <c r="L360" s="19">
        <f>SUM(F360:K360)</f>
        <v>81224</v>
      </c>
      <c r="M360" s="8"/>
      <c r="N360" s="264"/>
    </row>
    <row r="361" spans="1:22" s="3" customFormat="1" ht="12.2" customHeight="1" x14ac:dyDescent="0.15">
      <c r="A361" s="3" t="s">
        <v>543</v>
      </c>
      <c r="B361" s="2" t="s">
        <v>366</v>
      </c>
      <c r="C361" s="6">
        <v>3</v>
      </c>
      <c r="D361" s="2" t="s">
        <v>431</v>
      </c>
      <c r="E361" s="6"/>
      <c r="F361" s="18">
        <f>68265</f>
        <v>68265</v>
      </c>
      <c r="G361" s="18">
        <f>7261+7507+225+24+80+25+1057+5517+2028-294+4-27+129</f>
        <v>23536</v>
      </c>
      <c r="H361" s="18"/>
      <c r="I361" s="18">
        <f>31840+1192</f>
        <v>33032</v>
      </c>
      <c r="J361" s="18">
        <v>3940</v>
      </c>
      <c r="K361" s="18">
        <v>12097</v>
      </c>
      <c r="L361" s="19">
        <f>SUM(F361:K361)</f>
        <v>140870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176916</v>
      </c>
      <c r="G363" s="47">
        <f t="shared" si="22"/>
        <v>67729</v>
      </c>
      <c r="H363" s="47">
        <f t="shared" si="22"/>
        <v>0</v>
      </c>
      <c r="I363" s="47">
        <f t="shared" si="22"/>
        <v>119785</v>
      </c>
      <c r="J363" s="47">
        <f t="shared" si="22"/>
        <v>3940</v>
      </c>
      <c r="K363" s="47">
        <f t="shared" si="22"/>
        <v>35433</v>
      </c>
      <c r="L363" s="47">
        <f t="shared" si="22"/>
        <v>403803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56315</v>
      </c>
      <c r="G368" s="18">
        <v>21763</v>
      </c>
      <c r="H368" s="18">
        <v>29729</v>
      </c>
      <c r="I368" s="56">
        <f>SUM(F368:H368)</f>
        <v>107807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6257</v>
      </c>
      <c r="G369" s="63">
        <v>2418</v>
      </c>
      <c r="H369" s="63">
        <v>3303</v>
      </c>
      <c r="I369" s="56">
        <f>SUM(F369:H369)</f>
        <v>11978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62572</v>
      </c>
      <c r="G370" s="47">
        <f>SUM(G368:G369)</f>
        <v>24181</v>
      </c>
      <c r="H370" s="47">
        <f>SUM(H368:H369)</f>
        <v>33032</v>
      </c>
      <c r="I370" s="47">
        <f>SUM(I368:I369)</f>
        <v>119785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450000</v>
      </c>
      <c r="H390" s="18"/>
      <c r="I390" s="18"/>
      <c r="J390" s="24" t="s">
        <v>288</v>
      </c>
      <c r="K390" s="24" t="s">
        <v>288</v>
      </c>
      <c r="L390" s="56">
        <f t="shared" si="25"/>
        <v>450000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450000</v>
      </c>
      <c r="H394" s="139">
        <f>SUM(H388:H393)</f>
        <v>0</v>
      </c>
      <c r="I394" s="65">
        <f>SUM(I388:I393)</f>
        <v>0</v>
      </c>
      <c r="J394" s="45" t="s">
        <v>288</v>
      </c>
      <c r="K394" s="45" t="s">
        <v>288</v>
      </c>
      <c r="L394" s="47">
        <f>SUM(L388:L393)</f>
        <v>450000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v>90000</v>
      </c>
      <c r="H398" s="18"/>
      <c r="I398" s="18"/>
      <c r="J398" s="24" t="s">
        <v>288</v>
      </c>
      <c r="K398" s="24" t="s">
        <v>288</v>
      </c>
      <c r="L398" s="56">
        <f t="shared" si="26"/>
        <v>90000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90000</v>
      </c>
      <c r="H402" s="47">
        <f>SUM(H396:H401)</f>
        <v>0</v>
      </c>
      <c r="I402" s="47">
        <f>SUM(I396:I401)</f>
        <v>0</v>
      </c>
      <c r="J402" s="45" t="s">
        <v>288</v>
      </c>
      <c r="K402" s="45" t="s">
        <v>288</v>
      </c>
      <c r="L402" s="47">
        <f>SUM(L396:L401)</f>
        <v>90000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540000</v>
      </c>
      <c r="H409" s="47">
        <f>H394+H402+H408</f>
        <v>0</v>
      </c>
      <c r="I409" s="47">
        <f>I394+I402+I408</f>
        <v>0</v>
      </c>
      <c r="J409" s="24" t="s">
        <v>288</v>
      </c>
      <c r="K409" s="24" t="s">
        <v>288</v>
      </c>
      <c r="L409" s="47">
        <f>L394+L402+L408</f>
        <v>540000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101335.89</v>
      </c>
      <c r="I416" s="18"/>
      <c r="J416" s="18"/>
      <c r="K416" s="18"/>
      <c r="L416" s="56">
        <f t="shared" si="27"/>
        <v>101335.89</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101335.89</v>
      </c>
      <c r="I420" s="139">
        <f t="shared" si="28"/>
        <v>0</v>
      </c>
      <c r="J420" s="139">
        <f t="shared" si="28"/>
        <v>0</v>
      </c>
      <c r="K420" s="139">
        <f t="shared" si="28"/>
        <v>0</v>
      </c>
      <c r="L420" s="47">
        <f t="shared" si="28"/>
        <v>101335.89</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101335.89</v>
      </c>
      <c r="I435" s="47">
        <f t="shared" si="32"/>
        <v>0</v>
      </c>
      <c r="J435" s="47">
        <f t="shared" si="32"/>
        <v>0</v>
      </c>
      <c r="K435" s="47">
        <f t="shared" si="32"/>
        <v>0</v>
      </c>
      <c r="L435" s="47">
        <f t="shared" si="32"/>
        <v>101335.89</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1511068.76</v>
      </c>
      <c r="G443" s="18">
        <v>231692.42</v>
      </c>
      <c r="H443" s="18"/>
      <c r="I443" s="56">
        <f t="shared" si="33"/>
        <v>1742761.18</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1511068.76</v>
      </c>
      <c r="G447" s="13">
        <f>SUM(G440:G446)</f>
        <v>231692.42</v>
      </c>
      <c r="H447" s="13">
        <f>SUM(H440:H446)</f>
        <v>0</v>
      </c>
      <c r="I447" s="13">
        <f>SUM(I440:I446)</f>
        <v>1742761.18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169094</v>
      </c>
      <c r="G449" s="18"/>
      <c r="H449" s="18"/>
      <c r="I449" s="56">
        <f>SUM(F449:H449)</f>
        <v>169094</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169094</v>
      </c>
      <c r="G453" s="72">
        <f>SUM(G449:G452)</f>
        <v>0</v>
      </c>
      <c r="H453" s="72">
        <f>SUM(H449:H452)</f>
        <v>0</v>
      </c>
      <c r="I453" s="72">
        <f>SUM(I449:I452)</f>
        <v>169094</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1341974.76</v>
      </c>
      <c r="G460" s="18">
        <v>231692.42</v>
      </c>
      <c r="H460" s="18"/>
      <c r="I460" s="56">
        <f t="shared" si="34"/>
        <v>1573667.18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1341974.76</v>
      </c>
      <c r="G461" s="83">
        <f>SUM(G455:G460)</f>
        <v>231692.42</v>
      </c>
      <c r="H461" s="83">
        <f>SUM(H455:H460)</f>
        <v>0</v>
      </c>
      <c r="I461" s="83">
        <f>SUM(I455:I460)</f>
        <v>1573667.18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1511068.76</v>
      </c>
      <c r="G462" s="42">
        <f>G453+G461</f>
        <v>231692.42</v>
      </c>
      <c r="H462" s="42">
        <f>H453+H461</f>
        <v>0</v>
      </c>
      <c r="I462" s="42">
        <f>I453+I461</f>
        <v>1742761.18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1942718</v>
      </c>
      <c r="G466" s="18">
        <v>140301</v>
      </c>
      <c r="H466" s="18">
        <v>0</v>
      </c>
      <c r="I466" s="18"/>
      <c r="J466" s="18">
        <v>1133917.4099999999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25925001</v>
      </c>
      <c r="G469" s="18">
        <f>G194</f>
        <v>397511</v>
      </c>
      <c r="H469" s="18">
        <f>H194</f>
        <v>1968995</v>
      </c>
      <c r="I469" s="18"/>
      <c r="J469" s="18">
        <v>540000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f>202.17+883.49</f>
        <v>1085.6600000000001</v>
      </c>
      <c r="K470" s="24" t="s">
        <v>288</v>
      </c>
      <c r="L470" s="24" t="s">
        <v>288</v>
      </c>
      <c r="N470" s="263"/>
    </row>
    <row r="471" spans="1:14" s="52" customFormat="1" ht="12.2" customHeight="1" x14ac:dyDescent="0.2">
      <c r="A471" s="92" t="s">
        <v>425</v>
      </c>
      <c r="B471" s="75">
        <v>19</v>
      </c>
      <c r="C471" s="80">
        <v>4</v>
      </c>
      <c r="D471" s="2" t="s">
        <v>432</v>
      </c>
      <c r="E471" s="80"/>
      <c r="F471" s="53">
        <f>SUM(F469:F470)</f>
        <v>25925001</v>
      </c>
      <c r="G471" s="53">
        <f>SUM(G469:G470)</f>
        <v>397511</v>
      </c>
      <c r="H471" s="53">
        <f>SUM(H469:H470)</f>
        <v>1968995</v>
      </c>
      <c r="I471" s="53">
        <f>SUM(I469:I470)</f>
        <v>0</v>
      </c>
      <c r="J471" s="53">
        <f>SUM(J469:J470)</f>
        <v>541085.66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24132457</v>
      </c>
      <c r="G473" s="18">
        <f>L363</f>
        <v>403803</v>
      </c>
      <c r="H473" s="18">
        <f>L353</f>
        <v>1968995</v>
      </c>
      <c r="I473" s="18"/>
      <c r="J473" s="18">
        <v>101335.89</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24132457</v>
      </c>
      <c r="G475" s="53">
        <f>SUM(G473:G474)</f>
        <v>403803</v>
      </c>
      <c r="H475" s="53">
        <f>SUM(H473:H474)</f>
        <v>1968995</v>
      </c>
      <c r="I475" s="53">
        <f>SUM(I473:I474)</f>
        <v>0</v>
      </c>
      <c r="J475" s="53">
        <f>SUM(J473:J474)</f>
        <v>101335.89</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3735262</v>
      </c>
      <c r="G477" s="53">
        <f>(G466+G471)- G475</f>
        <v>134009</v>
      </c>
      <c r="H477" s="53">
        <f>(H466+H471)- H475</f>
        <v>0</v>
      </c>
      <c r="I477" s="53">
        <f>(I466+I471)- I475</f>
        <v>0</v>
      </c>
      <c r="J477" s="53">
        <f>(J466+J471)- J475</f>
        <v>1573667.18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1676</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10</v>
      </c>
      <c r="G491" s="154">
        <v>15</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8625000</v>
      </c>
      <c r="G494" s="18">
        <v>3396240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3.19</v>
      </c>
      <c r="G495" s="18">
        <v>1.4</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1595000</v>
      </c>
      <c r="G496" s="18">
        <v>155679</v>
      </c>
      <c r="H496" s="18"/>
      <c r="I496" s="18"/>
      <c r="J496" s="18"/>
      <c r="K496" s="53">
        <f>SUM(F496:J496)</f>
        <v>1750679</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800000</v>
      </c>
      <c r="G498" s="18">
        <v>228822</v>
      </c>
      <c r="H498" s="18"/>
      <c r="I498" s="18"/>
      <c r="J498" s="18"/>
      <c r="K498" s="53">
        <f t="shared" si="35"/>
        <v>1028822</v>
      </c>
      <c r="L498" s="24" t="s">
        <v>288</v>
      </c>
      <c r="N498" s="263"/>
    </row>
    <row r="499" spans="1:14" s="52" customFormat="1" ht="12.2" customHeight="1" x14ac:dyDescent="0.2">
      <c r="A499" s="200" t="s">
        <v>622</v>
      </c>
      <c r="B499" s="201">
        <v>20</v>
      </c>
      <c r="C499" s="202">
        <v>9</v>
      </c>
      <c r="D499" s="203" t="s">
        <v>432</v>
      </c>
      <c r="E499" s="202"/>
      <c r="F499" s="204">
        <v>795000</v>
      </c>
      <c r="G499" s="204">
        <v>926085</v>
      </c>
      <c r="H499" s="204"/>
      <c r="I499" s="204"/>
      <c r="J499" s="204"/>
      <c r="K499" s="205">
        <f t="shared" si="35"/>
        <v>1721085</v>
      </c>
      <c r="L499" s="206" t="s">
        <v>288</v>
      </c>
      <c r="N499" s="263"/>
    </row>
    <row r="500" spans="1:14" s="52" customFormat="1" ht="12.2" customHeight="1" thickBot="1" x14ac:dyDescent="0.25">
      <c r="A500" s="22" t="s">
        <v>623</v>
      </c>
      <c r="B500" s="75">
        <v>20</v>
      </c>
      <c r="C500" s="115">
        <v>10</v>
      </c>
      <c r="D500" s="2" t="s">
        <v>432</v>
      </c>
      <c r="E500" s="115"/>
      <c r="F500" s="18">
        <v>17887.5</v>
      </c>
      <c r="G500" s="18">
        <v>32489</v>
      </c>
      <c r="H500" s="18"/>
      <c r="I500" s="18"/>
      <c r="J500" s="18"/>
      <c r="K500" s="53">
        <f t="shared" si="35"/>
        <v>50376.5</v>
      </c>
      <c r="L500" s="24" t="s">
        <v>288</v>
      </c>
      <c r="N500" s="263"/>
    </row>
    <row r="501" spans="1:14" s="52" customFormat="1" ht="12.2" customHeight="1" thickTop="1" x14ac:dyDescent="0.2">
      <c r="A501" s="139" t="s">
        <v>624</v>
      </c>
      <c r="B501" s="44">
        <v>20</v>
      </c>
      <c r="C501" s="195">
        <v>11</v>
      </c>
      <c r="D501" s="39" t="s">
        <v>432</v>
      </c>
      <c r="E501" s="195"/>
      <c r="F501" s="42">
        <f>SUM(F499:F500)</f>
        <v>812887.5</v>
      </c>
      <c r="G501" s="42">
        <f>SUM(G499:G500)</f>
        <v>958574</v>
      </c>
      <c r="H501" s="42">
        <f>SUM(H499:H500)</f>
        <v>0</v>
      </c>
      <c r="I501" s="42">
        <f>SUM(I499:I500)</f>
        <v>0</v>
      </c>
      <c r="J501" s="42">
        <f>SUM(J499:J500)</f>
        <v>0</v>
      </c>
      <c r="K501" s="42">
        <f t="shared" si="35"/>
        <v>1771461.5</v>
      </c>
      <c r="L501" s="45" t="s">
        <v>288</v>
      </c>
      <c r="N501" s="263"/>
    </row>
    <row r="502" spans="1:14" s="52" customFormat="1" ht="12.2" customHeight="1" x14ac:dyDescent="0.2">
      <c r="A502" s="200" t="s">
        <v>651</v>
      </c>
      <c r="B502" s="201">
        <v>20</v>
      </c>
      <c r="C502" s="202">
        <v>12</v>
      </c>
      <c r="D502" s="203" t="s">
        <v>432</v>
      </c>
      <c r="E502" s="202"/>
      <c r="F502" s="204">
        <v>795000</v>
      </c>
      <c r="G502" s="204">
        <v>229896</v>
      </c>
      <c r="H502" s="204"/>
      <c r="I502" s="204"/>
      <c r="J502" s="204"/>
      <c r="K502" s="205">
        <f t="shared" si="35"/>
        <v>1024896</v>
      </c>
      <c r="L502" s="206" t="s">
        <v>288</v>
      </c>
      <c r="N502" s="263"/>
    </row>
    <row r="503" spans="1:14" s="52" customFormat="1" ht="12.2" customHeight="1" thickBot="1" x14ac:dyDescent="0.25">
      <c r="A503" s="22" t="s">
        <v>625</v>
      </c>
      <c r="B503" s="75">
        <v>20</v>
      </c>
      <c r="C503" s="115">
        <v>13</v>
      </c>
      <c r="D503" s="2" t="s">
        <v>432</v>
      </c>
      <c r="E503" s="115"/>
      <c r="F503" s="18">
        <v>17887.5</v>
      </c>
      <c r="G503" s="18">
        <v>12965</v>
      </c>
      <c r="H503" s="18"/>
      <c r="I503" s="18"/>
      <c r="J503" s="18"/>
      <c r="K503" s="53">
        <f t="shared" si="35"/>
        <v>30852.5</v>
      </c>
      <c r="L503" s="24" t="s">
        <v>288</v>
      </c>
      <c r="N503" s="263"/>
    </row>
    <row r="504" spans="1:14" s="52" customFormat="1" ht="12.2" customHeight="1" thickTop="1" x14ac:dyDescent="0.2">
      <c r="A504" s="139" t="s">
        <v>626</v>
      </c>
      <c r="B504" s="44">
        <v>20</v>
      </c>
      <c r="C504" s="195">
        <v>14</v>
      </c>
      <c r="D504" s="39" t="s">
        <v>432</v>
      </c>
      <c r="E504" s="195"/>
      <c r="F504" s="42">
        <f>SUM(F502:F503)</f>
        <v>812887.5</v>
      </c>
      <c r="G504" s="42">
        <f>SUM(G502:G503)</f>
        <v>242861</v>
      </c>
      <c r="H504" s="42">
        <f>SUM(H502:H503)</f>
        <v>0</v>
      </c>
      <c r="I504" s="42">
        <f>SUM(I502:I503)</f>
        <v>0</v>
      </c>
      <c r="J504" s="42">
        <f>SUM(J502:J503)</f>
        <v>0</v>
      </c>
      <c r="K504" s="42">
        <f t="shared" si="35"/>
        <v>1055748.5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1014204.32</v>
      </c>
      <c r="G522" s="18">
        <v>377340.92</v>
      </c>
      <c r="H522" s="18">
        <v>816994.99</v>
      </c>
      <c r="I522" s="18">
        <v>3165.54</v>
      </c>
      <c r="J522" s="18"/>
      <c r="K522" s="18">
        <v>10229.08</v>
      </c>
      <c r="L522" s="88">
        <f>SUM(F522:K522)</f>
        <v>2221934.85</v>
      </c>
      <c r="N522" s="263"/>
    </row>
    <row r="523" spans="1:14" s="52" customFormat="1" ht="12.2" customHeight="1" x14ac:dyDescent="0.2">
      <c r="A523" s="22" t="s">
        <v>634</v>
      </c>
      <c r="B523" s="105">
        <v>21</v>
      </c>
      <c r="C523" s="115">
        <v>2</v>
      </c>
      <c r="D523" s="2" t="s">
        <v>432</v>
      </c>
      <c r="E523" s="115"/>
      <c r="F523" s="18">
        <v>419193.9</v>
      </c>
      <c r="G523" s="18">
        <v>147780.73000000001</v>
      </c>
      <c r="H523" s="18">
        <v>488738.07</v>
      </c>
      <c r="I523" s="18">
        <v>1419.8</v>
      </c>
      <c r="J523" s="18"/>
      <c r="K523" s="18">
        <v>6119.18</v>
      </c>
      <c r="L523" s="88">
        <f>SUM(F523:K523)</f>
        <v>1063251.68</v>
      </c>
      <c r="N523" s="263"/>
    </row>
    <row r="524" spans="1:14" s="52" customFormat="1" ht="12.2" customHeight="1" thickBot="1" x14ac:dyDescent="0.25">
      <c r="A524" s="22" t="s">
        <v>635</v>
      </c>
      <c r="B524" s="105">
        <v>21</v>
      </c>
      <c r="C524" s="115">
        <v>3</v>
      </c>
      <c r="D524" s="2" t="s">
        <v>432</v>
      </c>
      <c r="E524" s="115"/>
      <c r="F524" s="18">
        <v>530699.1</v>
      </c>
      <c r="G524" s="18">
        <v>182049.98</v>
      </c>
      <c r="H524" s="18">
        <v>676938.71</v>
      </c>
      <c r="I524" s="18">
        <v>6749.5</v>
      </c>
      <c r="J524" s="18">
        <v>189</v>
      </c>
      <c r="K524" s="18">
        <v>8475.5300000000007</v>
      </c>
      <c r="L524" s="88">
        <f>SUM(F524:K524)</f>
        <v>1405101.82</v>
      </c>
      <c r="N524" s="263"/>
    </row>
    <row r="525" spans="1:14" s="52" customFormat="1" ht="12.2" customHeight="1" thickTop="1" x14ac:dyDescent="0.2">
      <c r="A525" s="139" t="s">
        <v>63</v>
      </c>
      <c r="B525" s="107">
        <v>21</v>
      </c>
      <c r="C525" s="195">
        <v>4</v>
      </c>
      <c r="D525" s="196" t="s">
        <v>432</v>
      </c>
      <c r="E525" s="195"/>
      <c r="F525" s="108">
        <f>SUM(F522:F524)</f>
        <v>1964097.3199999998</v>
      </c>
      <c r="G525" s="108">
        <f t="shared" ref="G525:L525" si="36">SUM(G522:G524)</f>
        <v>707171.63</v>
      </c>
      <c r="H525" s="108">
        <f t="shared" si="36"/>
        <v>1982671.77</v>
      </c>
      <c r="I525" s="108">
        <f t="shared" si="36"/>
        <v>11334.84</v>
      </c>
      <c r="J525" s="108">
        <f t="shared" si="36"/>
        <v>189</v>
      </c>
      <c r="K525" s="108">
        <f t="shared" si="36"/>
        <v>24823.79</v>
      </c>
      <c r="L525" s="89">
        <f t="shared" si="36"/>
        <v>4690288.3500000006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61736.62</v>
      </c>
      <c r="G527" s="18">
        <v>12670.85</v>
      </c>
      <c r="H527" s="18">
        <v>647.65</v>
      </c>
      <c r="I527" s="18">
        <v>1164.18</v>
      </c>
      <c r="J527" s="18"/>
      <c r="K527" s="18"/>
      <c r="L527" s="88">
        <f>SUM(F527:K527)</f>
        <v>76219.299999999988</v>
      </c>
      <c r="M527" s="8"/>
      <c r="N527" s="264"/>
    </row>
    <row r="528" spans="1:14" s="3" customFormat="1" ht="12.2" customHeight="1" x14ac:dyDescent="0.15">
      <c r="A528" s="22" t="s">
        <v>634</v>
      </c>
      <c r="B528" s="105">
        <v>21</v>
      </c>
      <c r="C528" s="115">
        <v>6</v>
      </c>
      <c r="D528" s="2" t="s">
        <v>432</v>
      </c>
      <c r="E528" s="115"/>
      <c r="F528" s="18">
        <v>5007.84</v>
      </c>
      <c r="G528" s="18">
        <v>7579.88</v>
      </c>
      <c r="H528" s="18">
        <v>125.72</v>
      </c>
      <c r="I528" s="18">
        <v>696.43</v>
      </c>
      <c r="J528" s="18"/>
      <c r="K528" s="18"/>
      <c r="L528" s="88">
        <f>SUM(F528:K528)</f>
        <v>13409.87</v>
      </c>
      <c r="M528" s="8"/>
      <c r="N528" s="264"/>
    </row>
    <row r="529" spans="1:14" s="3" customFormat="1" ht="12.2" customHeight="1" thickBot="1" x14ac:dyDescent="0.2">
      <c r="A529" s="22" t="s">
        <v>635</v>
      </c>
      <c r="B529" s="118">
        <v>21</v>
      </c>
      <c r="C529" s="118">
        <v>7</v>
      </c>
      <c r="D529" s="2" t="s">
        <v>432</v>
      </c>
      <c r="E529" s="118"/>
      <c r="F529" s="18">
        <v>6936.24</v>
      </c>
      <c r="G529" s="18">
        <v>10498.7</v>
      </c>
      <c r="H529" s="18">
        <v>174.13</v>
      </c>
      <c r="I529" s="18">
        <v>964.61</v>
      </c>
      <c r="J529" s="18"/>
      <c r="K529" s="18"/>
      <c r="L529" s="88">
        <f>SUM(F529:K529)</f>
        <v>18573.680000000004</v>
      </c>
      <c r="M529" s="8"/>
      <c r="N529" s="264"/>
    </row>
    <row r="530" spans="1:14" s="3" customFormat="1" ht="12.2" customHeight="1" thickTop="1" x14ac:dyDescent="0.15">
      <c r="A530" s="139" t="s">
        <v>65</v>
      </c>
      <c r="B530" s="107">
        <v>21</v>
      </c>
      <c r="C530" s="107">
        <v>8</v>
      </c>
      <c r="D530" s="158" t="s">
        <v>432</v>
      </c>
      <c r="E530" s="107"/>
      <c r="F530" s="89">
        <f>SUM(F527:F529)</f>
        <v>73680.700000000012</v>
      </c>
      <c r="G530" s="89">
        <f t="shared" ref="G530:L530" si="37">SUM(G527:G529)</f>
        <v>30749.43</v>
      </c>
      <c r="H530" s="89">
        <f t="shared" si="37"/>
        <v>947.5</v>
      </c>
      <c r="I530" s="89">
        <f t="shared" si="37"/>
        <v>2825.2200000000003</v>
      </c>
      <c r="J530" s="89">
        <f t="shared" si="37"/>
        <v>0</v>
      </c>
      <c r="K530" s="89">
        <f t="shared" si="37"/>
        <v>0</v>
      </c>
      <c r="L530" s="89">
        <f t="shared" si="37"/>
        <v>108202.84999999999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127007.69</v>
      </c>
      <c r="G532" s="18">
        <v>52229.51</v>
      </c>
      <c r="H532" s="18"/>
      <c r="I532" s="18"/>
      <c r="J532" s="18"/>
      <c r="K532" s="18"/>
      <c r="L532" s="88">
        <f>SUM(F532:K532)</f>
        <v>179237.2</v>
      </c>
      <c r="M532" s="8"/>
      <c r="N532" s="264"/>
    </row>
    <row r="533" spans="1:14" s="3" customFormat="1" ht="12.2" customHeight="1" x14ac:dyDescent="0.15">
      <c r="A533" s="22" t="s">
        <v>634</v>
      </c>
      <c r="B533" s="105">
        <v>21</v>
      </c>
      <c r="C533" s="105">
        <v>10</v>
      </c>
      <c r="D533" s="2" t="s">
        <v>432</v>
      </c>
      <c r="E533" s="105"/>
      <c r="F533" s="18">
        <v>75970.39</v>
      </c>
      <c r="G533" s="18">
        <v>31241.38</v>
      </c>
      <c r="H533" s="18"/>
      <c r="I533" s="18"/>
      <c r="J533" s="18"/>
      <c r="K533" s="18"/>
      <c r="L533" s="88">
        <f>SUM(F533:K533)</f>
        <v>107211.77</v>
      </c>
      <c r="M533" s="8"/>
      <c r="N533" s="264"/>
    </row>
    <row r="534" spans="1:14" s="3" customFormat="1" ht="12.2" customHeight="1" thickBot="1" x14ac:dyDescent="0.2">
      <c r="A534" s="22" t="s">
        <v>635</v>
      </c>
      <c r="B534" s="105">
        <v>21</v>
      </c>
      <c r="C534" s="105">
        <v>11</v>
      </c>
      <c r="D534" s="2" t="s">
        <v>432</v>
      </c>
      <c r="E534" s="105"/>
      <c r="F534" s="18">
        <v>105218.22</v>
      </c>
      <c r="G534" s="18">
        <v>43269</v>
      </c>
      <c r="H534" s="18"/>
      <c r="I534" s="18"/>
      <c r="J534" s="18"/>
      <c r="K534" s="18"/>
      <c r="L534" s="88">
        <f>SUM(F534:K534)</f>
        <v>148487.22</v>
      </c>
      <c r="M534" s="8"/>
      <c r="N534" s="264"/>
    </row>
    <row r="535" spans="1:14" s="3" customFormat="1" ht="12.2" customHeight="1" thickTop="1" x14ac:dyDescent="0.15">
      <c r="A535" s="139" t="s">
        <v>67</v>
      </c>
      <c r="B535" s="107">
        <v>21</v>
      </c>
      <c r="C535" s="107">
        <v>12</v>
      </c>
      <c r="D535" s="158" t="s">
        <v>432</v>
      </c>
      <c r="E535" s="107"/>
      <c r="F535" s="89">
        <f>SUM(F532:F534)</f>
        <v>308196.30000000005</v>
      </c>
      <c r="G535" s="89">
        <f t="shared" ref="G535:L535" si="38">SUM(G532:G534)</f>
        <v>126739.89</v>
      </c>
      <c r="H535" s="89">
        <f t="shared" si="38"/>
        <v>0</v>
      </c>
      <c r="I535" s="89">
        <f t="shared" si="38"/>
        <v>0</v>
      </c>
      <c r="J535" s="89">
        <f t="shared" si="38"/>
        <v>0</v>
      </c>
      <c r="K535" s="89">
        <f t="shared" si="38"/>
        <v>0</v>
      </c>
      <c r="L535" s="89">
        <f t="shared" si="38"/>
        <v>434936.19000000006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180.28</v>
      </c>
      <c r="I537" s="18"/>
      <c r="J537" s="18"/>
      <c r="K537" s="18"/>
      <c r="L537" s="88">
        <f>SUM(F537:K537)</f>
        <v>180.28</v>
      </c>
      <c r="M537" s="8"/>
      <c r="N537" s="264"/>
    </row>
    <row r="538" spans="1:14" s="3" customFormat="1" ht="12.2" customHeight="1" x14ac:dyDescent="0.15">
      <c r="A538" s="22" t="s">
        <v>634</v>
      </c>
      <c r="B538" s="105">
        <v>21</v>
      </c>
      <c r="C538" s="105">
        <v>14</v>
      </c>
      <c r="D538" s="2" t="s">
        <v>432</v>
      </c>
      <c r="E538" s="105"/>
      <c r="F538" s="18"/>
      <c r="G538" s="18"/>
      <c r="H538" s="18">
        <v>107.85</v>
      </c>
      <c r="I538" s="18"/>
      <c r="J538" s="18"/>
      <c r="K538" s="18"/>
      <c r="L538" s="88">
        <f>SUM(F538:K538)</f>
        <v>107.85</v>
      </c>
      <c r="M538" s="8"/>
      <c r="N538" s="264"/>
    </row>
    <row r="539" spans="1:14" s="3" customFormat="1" ht="12.2" customHeight="1" thickBot="1" x14ac:dyDescent="0.2">
      <c r="A539" s="22" t="s">
        <v>635</v>
      </c>
      <c r="B539" s="105">
        <v>21</v>
      </c>
      <c r="C539" s="105">
        <v>15</v>
      </c>
      <c r="D539" s="2" t="s">
        <v>432</v>
      </c>
      <c r="E539" s="105"/>
      <c r="F539" s="18"/>
      <c r="G539" s="18"/>
      <c r="H539" s="18">
        <v>149.37</v>
      </c>
      <c r="I539" s="18"/>
      <c r="J539" s="18"/>
      <c r="K539" s="18"/>
      <c r="L539" s="88">
        <f>SUM(F539:K539)</f>
        <v>149.37</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437.5</v>
      </c>
      <c r="I540" s="89">
        <f t="shared" si="39"/>
        <v>0</v>
      </c>
      <c r="J540" s="89">
        <f t="shared" si="39"/>
        <v>0</v>
      </c>
      <c r="K540" s="89">
        <f t="shared" si="39"/>
        <v>0</v>
      </c>
      <c r="L540" s="89">
        <f t="shared" si="39"/>
        <v>437.5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80405.69</v>
      </c>
      <c r="I542" s="18"/>
      <c r="J542" s="18"/>
      <c r="K542" s="18"/>
      <c r="L542" s="88">
        <f>SUM(F542:K542)</f>
        <v>80405.69</v>
      </c>
      <c r="M542" s="8"/>
      <c r="N542" s="264"/>
    </row>
    <row r="543" spans="1:14" s="3" customFormat="1" ht="12.2" customHeight="1" x14ac:dyDescent="0.15">
      <c r="A543" s="22" t="s">
        <v>634</v>
      </c>
      <c r="B543" s="105">
        <v>21</v>
      </c>
      <c r="C543" s="105">
        <v>18</v>
      </c>
      <c r="D543" s="2" t="s">
        <v>432</v>
      </c>
      <c r="E543" s="105"/>
      <c r="F543" s="18"/>
      <c r="G543" s="18"/>
      <c r="H543" s="18">
        <v>48095.13</v>
      </c>
      <c r="I543" s="18"/>
      <c r="J543" s="18"/>
      <c r="K543" s="18"/>
      <c r="L543" s="88">
        <f>SUM(F543:K543)</f>
        <v>48095.13</v>
      </c>
      <c r="M543" s="8"/>
      <c r="N543" s="264"/>
    </row>
    <row r="544" spans="1:14" s="3" customFormat="1" ht="12.2" customHeight="1" thickBot="1" x14ac:dyDescent="0.2">
      <c r="A544" s="22" t="s">
        <v>635</v>
      </c>
      <c r="B544" s="105">
        <v>21</v>
      </c>
      <c r="C544" s="105">
        <v>19</v>
      </c>
      <c r="D544" s="2" t="s">
        <v>432</v>
      </c>
      <c r="E544" s="105"/>
      <c r="F544" s="18"/>
      <c r="G544" s="18"/>
      <c r="H544" s="18">
        <v>66611.27</v>
      </c>
      <c r="I544" s="18"/>
      <c r="J544" s="18"/>
      <c r="K544" s="18"/>
      <c r="L544" s="88">
        <f>SUM(F544:K544)</f>
        <v>66611.27</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195112.09000000003</v>
      </c>
      <c r="I545" s="193">
        <f t="shared" si="40"/>
        <v>0</v>
      </c>
      <c r="J545" s="193">
        <f t="shared" si="40"/>
        <v>0</v>
      </c>
      <c r="K545" s="193">
        <f t="shared" si="40"/>
        <v>0</v>
      </c>
      <c r="L545" s="193">
        <f t="shared" si="40"/>
        <v>195112.09000000003</v>
      </c>
      <c r="M545" s="8"/>
      <c r="N545" s="264"/>
    </row>
    <row r="546" spans="1:14" s="3" customFormat="1" ht="12.2" customHeight="1" thickTop="1" x14ac:dyDescent="0.15">
      <c r="A546" s="98" t="s">
        <v>72</v>
      </c>
      <c r="B546" s="107">
        <v>21</v>
      </c>
      <c r="C546" s="107">
        <v>21</v>
      </c>
      <c r="D546" s="158" t="s">
        <v>432</v>
      </c>
      <c r="E546" s="107"/>
      <c r="F546" s="89">
        <f>F525+F530+F535+F540+F545</f>
        <v>2345974.3199999998</v>
      </c>
      <c r="G546" s="89">
        <f t="shared" ref="G546:L546" si="41">G525+G530+G535+G540+G545</f>
        <v>864660.95000000007</v>
      </c>
      <c r="H546" s="89">
        <f t="shared" si="41"/>
        <v>2179168.86</v>
      </c>
      <c r="I546" s="89">
        <f t="shared" si="41"/>
        <v>14160.060000000001</v>
      </c>
      <c r="J546" s="89">
        <f t="shared" si="41"/>
        <v>189</v>
      </c>
      <c r="K546" s="89">
        <f t="shared" si="41"/>
        <v>24823.79</v>
      </c>
      <c r="L546" s="89">
        <f t="shared" si="41"/>
        <v>5428976.9800000004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2221934.85</v>
      </c>
      <c r="G550" s="87">
        <f>L527</f>
        <v>76219.299999999988</v>
      </c>
      <c r="H550" s="87">
        <f>L532</f>
        <v>179237.2</v>
      </c>
      <c r="I550" s="87">
        <f>L537</f>
        <v>180.28</v>
      </c>
      <c r="J550" s="87">
        <f>L542</f>
        <v>80405.69</v>
      </c>
      <c r="K550" s="87">
        <f>SUM(F550:J550)</f>
        <v>2557977.3199999998</v>
      </c>
      <c r="L550" s="24" t="s">
        <v>288</v>
      </c>
      <c r="M550" s="8"/>
      <c r="N550" s="264"/>
    </row>
    <row r="551" spans="1:14" s="3" customFormat="1" ht="12.2" customHeight="1" x14ac:dyDescent="0.15">
      <c r="A551" s="22" t="s">
        <v>634</v>
      </c>
      <c r="B551" s="75">
        <v>21</v>
      </c>
      <c r="C551" s="75">
        <v>23</v>
      </c>
      <c r="D551" s="2" t="s">
        <v>432</v>
      </c>
      <c r="E551" s="75"/>
      <c r="F551" s="87">
        <f>L523</f>
        <v>1063251.68</v>
      </c>
      <c r="G551" s="87">
        <f>L528</f>
        <v>13409.87</v>
      </c>
      <c r="H551" s="87">
        <f>L533</f>
        <v>107211.77</v>
      </c>
      <c r="I551" s="87">
        <f>L538</f>
        <v>107.85</v>
      </c>
      <c r="J551" s="87">
        <f>L543</f>
        <v>48095.13</v>
      </c>
      <c r="K551" s="87">
        <f>SUM(F551:J551)</f>
        <v>1232076.3</v>
      </c>
      <c r="L551" s="24" t="s">
        <v>288</v>
      </c>
      <c r="M551" s="8"/>
      <c r="N551" s="264"/>
    </row>
    <row r="552" spans="1:14" s="3" customFormat="1" ht="12.2" customHeight="1" thickBot="1" x14ac:dyDescent="0.2">
      <c r="A552" s="22" t="s">
        <v>635</v>
      </c>
      <c r="B552" s="75">
        <v>21</v>
      </c>
      <c r="C552" s="75">
        <v>24</v>
      </c>
      <c r="D552" s="2" t="s">
        <v>432</v>
      </c>
      <c r="E552" s="75"/>
      <c r="F552" s="87">
        <f>L524</f>
        <v>1405101.82</v>
      </c>
      <c r="G552" s="87">
        <f>L529</f>
        <v>18573.680000000004</v>
      </c>
      <c r="H552" s="87">
        <f>L534</f>
        <v>148487.22</v>
      </c>
      <c r="I552" s="87">
        <f>L539</f>
        <v>149.37</v>
      </c>
      <c r="J552" s="87">
        <f>L544</f>
        <v>66611.27</v>
      </c>
      <c r="K552" s="87">
        <f>SUM(F552:J552)</f>
        <v>1638923.36</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4690288.3500000006</v>
      </c>
      <c r="G553" s="89">
        <f t="shared" si="42"/>
        <v>108202.84999999999</v>
      </c>
      <c r="H553" s="89">
        <f t="shared" si="42"/>
        <v>434936.19000000006</v>
      </c>
      <c r="I553" s="89">
        <f t="shared" si="42"/>
        <v>437.5</v>
      </c>
      <c r="J553" s="89">
        <f t="shared" si="42"/>
        <v>195112.09000000003</v>
      </c>
      <c r="K553" s="89">
        <f t="shared" si="42"/>
        <v>5428976.9800000004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17893.52</v>
      </c>
      <c r="G563" s="18">
        <v>8916.49</v>
      </c>
      <c r="H563" s="18"/>
      <c r="I563" s="18">
        <v>460.1</v>
      </c>
      <c r="J563" s="18"/>
      <c r="K563" s="18"/>
      <c r="L563" s="88">
        <f>SUM(F563:K563)</f>
        <v>27270.11</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17893.52</v>
      </c>
      <c r="G566" s="89">
        <f t="shared" si="44"/>
        <v>8916.49</v>
      </c>
      <c r="H566" s="89">
        <f t="shared" si="44"/>
        <v>0</v>
      </c>
      <c r="I566" s="89">
        <f t="shared" si="44"/>
        <v>460.1</v>
      </c>
      <c r="J566" s="89">
        <f t="shared" si="44"/>
        <v>0</v>
      </c>
      <c r="K566" s="89">
        <f t="shared" si="44"/>
        <v>0</v>
      </c>
      <c r="L566" s="89">
        <f t="shared" si="44"/>
        <v>27270.11</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17893.52</v>
      </c>
      <c r="G572" s="89">
        <f t="shared" ref="G572:L572" si="46">G561+G566+G571</f>
        <v>8916.49</v>
      </c>
      <c r="H572" s="89">
        <f t="shared" si="46"/>
        <v>0</v>
      </c>
      <c r="I572" s="89">
        <f t="shared" si="46"/>
        <v>460.1</v>
      </c>
      <c r="J572" s="89">
        <f t="shared" si="46"/>
        <v>0</v>
      </c>
      <c r="K572" s="89">
        <f t="shared" si="46"/>
        <v>0</v>
      </c>
      <c r="L572" s="89">
        <f t="shared" si="46"/>
        <v>27270.11</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13000</v>
      </c>
      <c r="I576" s="87">
        <f>SUM(F576:H576)</f>
        <v>13000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v>49532.03</v>
      </c>
      <c r="I581" s="87">
        <f t="shared" si="47"/>
        <v>49532.03</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107056.82</v>
      </c>
      <c r="G583" s="18">
        <v>64036.66</v>
      </c>
      <c r="H583" s="18">
        <v>89025.24</v>
      </c>
      <c r="I583" s="87">
        <f t="shared" si="47"/>
        <v>260118.72000000003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123179.74</v>
      </c>
      <c r="I585" s="87">
        <f t="shared" si="47"/>
        <v>123179.74</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314140.78-1.47</f>
        <v>314139.31000000006</v>
      </c>
      <c r="I592" s="18">
        <v>187905.13</v>
      </c>
      <c r="J592" s="18">
        <v>260246.7</v>
      </c>
      <c r="K592" s="104">
        <f t="shared" ref="K592:K598" si="48">SUM(H592:J592)</f>
        <v>762291.14000000013</v>
      </c>
      <c r="L592" s="24" t="s">
        <v>288</v>
      </c>
      <c r="M592" s="8"/>
      <c r="N592" s="264"/>
    </row>
    <row r="593" spans="1:14" s="3" customFormat="1" ht="12.2" customHeight="1" x14ac:dyDescent="0.15">
      <c r="A593" s="3" t="s">
        <v>638</v>
      </c>
      <c r="B593" s="75">
        <v>23</v>
      </c>
      <c r="C593" s="75">
        <v>2</v>
      </c>
      <c r="D593" s="2" t="s">
        <v>432</v>
      </c>
      <c r="E593" s="75"/>
      <c r="F593" s="102">
        <v>2722</v>
      </c>
      <c r="G593" s="103" t="s">
        <v>97</v>
      </c>
      <c r="H593" s="18">
        <v>80405.69</v>
      </c>
      <c r="I593" s="18">
        <v>48095.13</v>
      </c>
      <c r="J593" s="18">
        <v>66611.27</v>
      </c>
      <c r="K593" s="104">
        <f t="shared" si="48"/>
        <v>195112.09000000003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12227.02</v>
      </c>
      <c r="K594" s="104">
        <f t="shared" si="48"/>
        <v>12227.02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6810.96</v>
      </c>
      <c r="J595" s="18">
        <v>15205.31</v>
      </c>
      <c r="K595" s="104">
        <f t="shared" si="48"/>
        <v>22016.27</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592.16999999999996</v>
      </c>
      <c r="I596" s="18"/>
      <c r="J596" s="18">
        <v>558.30999999999995</v>
      </c>
      <c r="K596" s="104">
        <f t="shared" si="48"/>
        <v>1150.48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395137.17000000004</v>
      </c>
      <c r="I599" s="108">
        <f>SUM(I592:I598)</f>
        <v>242811.22</v>
      </c>
      <c r="J599" s="108">
        <f>SUM(J592:J598)</f>
        <v>354848.61000000004</v>
      </c>
      <c r="K599" s="108">
        <f>SUM(K592:K598)</f>
        <v>992797.00000000023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145170</v>
      </c>
      <c r="I605" s="18">
        <f>167324.1+19396</f>
        <v>186720.1</v>
      </c>
      <c r="J605" s="18">
        <v>202170.03</v>
      </c>
      <c r="K605" s="104">
        <f>SUM(H605:J605)</f>
        <v>534060.13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145170</v>
      </c>
      <c r="I606" s="108">
        <f>SUM(I603:I605)</f>
        <v>186720.1</v>
      </c>
      <c r="J606" s="108">
        <f>SUM(J603:J605)</f>
        <v>202170.03</v>
      </c>
      <c r="K606" s="108">
        <f>SUM(K603:K605)</f>
        <v>534060.13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4970722</v>
      </c>
      <c r="H618" s="109">
        <f>SUM(F52)</f>
        <v>4970722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152450</v>
      </c>
      <c r="H619" s="109">
        <f>SUM(G52)</f>
        <v>152450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933959</v>
      </c>
      <c r="H620" s="109">
        <f>SUM(H52)</f>
        <v>933959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1742761.18</v>
      </c>
      <c r="H622" s="109">
        <f>SUM(J52)</f>
        <v>1742761.18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3735262</v>
      </c>
      <c r="H623" s="109">
        <f>F477</f>
        <v>3735262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134009</v>
      </c>
      <c r="H624" s="109">
        <f>G477</f>
        <v>134009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1573667.18</v>
      </c>
      <c r="H627" s="109">
        <f>J477</f>
        <v>1573667.18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25925001</v>
      </c>
      <c r="H628" s="104">
        <f>SUM(F469)</f>
        <v>25925001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397511</v>
      </c>
      <c r="H629" s="104">
        <f>SUM(G469)</f>
        <v>397511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1968995</v>
      </c>
      <c r="H630" s="104">
        <f>SUM(H469)</f>
        <v>1968995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540000</v>
      </c>
      <c r="H632" s="104">
        <f>SUM(J469)</f>
        <v>540000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24132457</v>
      </c>
      <c r="H633" s="104">
        <f>SUM(F473)</f>
        <v>24132457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1968995</v>
      </c>
      <c r="H634" s="104">
        <f>SUM(H473)</f>
        <v>1968995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119785</v>
      </c>
      <c r="H635" s="104">
        <f>I370</f>
        <v>119785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403803</v>
      </c>
      <c r="H636" s="104">
        <f>SUM(G473)</f>
        <v>403803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540000</v>
      </c>
      <c r="H638" s="164">
        <f>SUM(J469)</f>
        <v>540000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101335.89</v>
      </c>
      <c r="H639" s="164">
        <f>SUM(J473)</f>
        <v>101335.89</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1511068.76</v>
      </c>
      <c r="H640" s="104">
        <f>SUM(F462)</f>
        <v>1511068.76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231692.42</v>
      </c>
      <c r="H641" s="104">
        <f>SUM(G462)</f>
        <v>231692.42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1742761.18</v>
      </c>
      <c r="H643" s="104">
        <f>SUM(I462)</f>
        <v>1742761.18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540000</v>
      </c>
      <c r="H646" s="104">
        <f>G409</f>
        <v>540000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540000</v>
      </c>
      <c r="H647" s="104">
        <f>L409</f>
        <v>540000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992797.00000000023</v>
      </c>
      <c r="H648" s="104">
        <f>L209+L227+L245</f>
        <v>992797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534060.13</v>
      </c>
      <c r="H649" s="104">
        <f>(J258+J339)-(J256+J337)</f>
        <v>534060.13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395137.17000000004</v>
      </c>
      <c r="H650" s="104">
        <f>H599</f>
        <v>395137.17000000004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242811.22</v>
      </c>
      <c r="H651" s="104">
        <f>I599</f>
        <v>242811.22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354848.61</v>
      </c>
      <c r="H652" s="104">
        <f>J599</f>
        <v>354848.61000000004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540000</v>
      </c>
      <c r="H656" s="104">
        <f>K267+K348</f>
        <v>540000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10266048.030000001</v>
      </c>
      <c r="G661" s="19">
        <f>(L230+L310+L360)</f>
        <v>6311151.6900000004</v>
      </c>
      <c r="H661" s="19">
        <f>(L248+L329+L361)</f>
        <v>8123405.29</v>
      </c>
      <c r="I661" s="19">
        <f>SUM(F661:H661)</f>
        <v>24700605.010000002</v>
      </c>
      <c r="J661" s="13"/>
      <c r="K661" s="13"/>
      <c r="L661" s="13"/>
      <c r="M661" s="9"/>
    </row>
    <row r="662" spans="1:13" s="3" customFormat="1" ht="12.2" customHeight="1" x14ac:dyDescent="0.2">
      <c r="A662" s="1" t="s">
        <v>127</v>
      </c>
      <c r="F662" s="19">
        <f>(L359/IF(SUM(L359:L361)=0,1,SUM(L359:L361))*(SUM(G97:G110)))</f>
        <v>18576.209758223689</v>
      </c>
      <c r="G662" s="19">
        <f>(L360/IF(SUM(L359:L361)=0,1,SUM(L359:L361))*(SUM(G97:G110)))</f>
        <v>8303.5736336778082</v>
      </c>
      <c r="H662" s="19">
        <f>(L361/IF(SUM(L359:L361)=0,1,SUM(L359:L361))*(SUM(G97:G110)))</f>
        <v>14401.216608098503</v>
      </c>
      <c r="I662" s="19">
        <f>SUM(F662:H662)</f>
        <v>41281</v>
      </c>
      <c r="J662"/>
      <c r="K662" s="13"/>
      <c r="L662" s="13"/>
      <c r="M662" s="8"/>
    </row>
    <row r="663" spans="1:13" s="3" customFormat="1" ht="12.2" customHeight="1" x14ac:dyDescent="0.2">
      <c r="A663" s="1" t="s">
        <v>128</v>
      </c>
      <c r="F663" s="19">
        <f>(L209+L288)-(J209+J288)</f>
        <v>395137.17000000004</v>
      </c>
      <c r="G663" s="19">
        <f>(L227+L307)-(J227+J307)</f>
        <v>243511.22</v>
      </c>
      <c r="H663" s="19">
        <f>(L245+L326)-(J245+J326)</f>
        <v>354848.61</v>
      </c>
      <c r="I663" s="19">
        <f>SUM(F663:H663)</f>
        <v>993497</v>
      </c>
      <c r="J663"/>
      <c r="K663" s="13"/>
      <c r="L663" s="13"/>
      <c r="M663" s="9"/>
    </row>
    <row r="664" spans="1:13" s="3" customFormat="1" ht="12.2" customHeight="1" x14ac:dyDescent="0.15">
      <c r="A664" s="198" t="s">
        <v>129</v>
      </c>
      <c r="B664" s="169"/>
      <c r="C664" s="169"/>
      <c r="D664" s="169"/>
      <c r="E664" s="169"/>
      <c r="F664" s="199">
        <f>SUM(F576:F588)+SUM(H603:H605)+SUM(L612)</f>
        <v>252226.82</v>
      </c>
      <c r="G664" s="199">
        <f>SUM(G576:G588)+SUM(I603:I605)+L613</f>
        <v>250756.76</v>
      </c>
      <c r="H664" s="199">
        <f>SUM(H576:H588)+SUM(J603:J605)+L614</f>
        <v>476907.04000000004</v>
      </c>
      <c r="I664" s="19">
        <f>SUM(F664:H664)</f>
        <v>979890.62000000011</v>
      </c>
      <c r="J664" s="13"/>
      <c r="K664" s="13"/>
      <c r="L664" s="13"/>
      <c r="M664" s="9"/>
    </row>
    <row r="665" spans="1:13" s="3" customFormat="1" ht="12.2" customHeight="1" x14ac:dyDescent="0.15">
      <c r="A665" s="1" t="s">
        <v>130</v>
      </c>
      <c r="F665" s="19">
        <f>F661-SUM(F662:F664)</f>
        <v>9600107.830241777</v>
      </c>
      <c r="G665" s="19">
        <f>G661-SUM(G662:G664)</f>
        <v>5808580.1363663226</v>
      </c>
      <c r="H665" s="19">
        <f>H661-SUM(H662:H664)</f>
        <v>7277248.4233919019</v>
      </c>
      <c r="I665" s="19">
        <f>I661-SUM(I662:I664)</f>
        <v>22685936.390000001</v>
      </c>
      <c r="J665" s="13"/>
      <c r="K665" s="13"/>
      <c r="L665" s="13"/>
      <c r="M665" s="8"/>
    </row>
    <row r="666" spans="1:13" s="3" customFormat="1" ht="12.2" customHeight="1" x14ac:dyDescent="0.25">
      <c r="A666" s="1" t="s">
        <v>131</v>
      </c>
      <c r="F666" s="361">
        <v>504.08</v>
      </c>
      <c r="G666" s="361">
        <v>314.13</v>
      </c>
      <c r="H666" s="361">
        <v>442.56</v>
      </c>
      <c r="I666" s="19">
        <f>SUM(F666:H666)</f>
        <v>1260.77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19044.810000000001</v>
      </c>
      <c r="G668" s="19">
        <f>ROUND(G665/G666,2)</f>
        <v>18491.009999999998</v>
      </c>
      <c r="H668" s="19">
        <f>ROUND(H665/H666,2)</f>
        <v>16443.53</v>
      </c>
      <c r="I668" s="19">
        <f>ROUND(I665/I666,2)</f>
        <v>17993.72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-11.34</v>
      </c>
      <c r="I671" s="19">
        <f>SUM(F671:H671)</f>
        <v>-11.34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19044.810000000001</v>
      </c>
      <c r="G673" s="19">
        <f>ROUND((G665+G670)/(G666+G671),2)</f>
        <v>18491.009999999998</v>
      </c>
      <c r="H673" s="19">
        <f>ROUND((H665+H670)/(H666+H671),2)</f>
        <v>16875.95</v>
      </c>
      <c r="I673" s="19">
        <f>ROUND((I665+I670)/(I666+I671),2)</f>
        <v>18157.03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18" sqref="E18"/>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364968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60">
        <v>283600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59">
        <v>347229.52</v>
      </c>
      <c r="F22" s="346"/>
    </row>
    <row r="23" spans="2:8" x14ac:dyDescent="0.25">
      <c r="B23" s="346"/>
      <c r="C23" s="346"/>
      <c r="D23" s="346"/>
      <c r="E23" s="346"/>
      <c r="F23" s="346"/>
    </row>
    <row r="24" spans="2:8" ht="26.25" customHeight="1" x14ac:dyDescent="0.25">
      <c r="B24" s="346"/>
      <c r="C24" s="348" t="s">
        <v>1661</v>
      </c>
      <c r="D24" s="346"/>
      <c r="E24" s="359">
        <v>229456.97</v>
      </c>
      <c r="F24" s="346"/>
    </row>
    <row r="25" spans="2:8" ht="18" x14ac:dyDescent="0.25">
      <c r="B25" s="346"/>
      <c r="C25" s="349"/>
      <c r="D25" s="346"/>
      <c r="E25" s="346"/>
      <c r="F25" s="346"/>
    </row>
    <row r="26" spans="2:8" ht="27.75" customHeight="1" x14ac:dyDescent="0.25">
      <c r="B26" s="346"/>
      <c r="C26" s="348" t="s">
        <v>1662</v>
      </c>
      <c r="D26" s="346"/>
      <c r="E26" s="359">
        <v>104792.3</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59">
        <v>226321.22</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7"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Winnisquam</v>
      </c>
      <c r="C5" s="365"/>
      <c r="D5" s="365"/>
      <c r="E5" s="365"/>
      <c r="F5" s="365"/>
    </row>
    <row r="8" spans="1:9" ht="18" x14ac:dyDescent="0.25">
      <c r="A8" s="317" t="s">
        <v>1576</v>
      </c>
      <c r="F8" s="324" t="s">
        <v>1594</v>
      </c>
    </row>
    <row r="9" spans="1:9" ht="15" x14ac:dyDescent="0.2">
      <c r="A9" s="315" t="s">
        <v>1577</v>
      </c>
      <c r="B9" s="318">
        <f>'DOE25'!G97</f>
        <v>36281</v>
      </c>
      <c r="F9" s="315" t="s">
        <v>1590</v>
      </c>
    </row>
    <row r="10" spans="1:9" ht="15" x14ac:dyDescent="0.2">
      <c r="A10" s="315" t="s">
        <v>1578</v>
      </c>
      <c r="B10" s="318">
        <f>'DOE25'!G112-'DOE25'!G97</f>
        <v>5000</v>
      </c>
      <c r="F10" s="315" t="s">
        <v>1591</v>
      </c>
    </row>
    <row r="11" spans="1:9" ht="15" x14ac:dyDescent="0.2">
      <c r="A11" s="315" t="s">
        <v>1579</v>
      </c>
      <c r="B11" s="318">
        <f>'DOE25'!G140</f>
        <v>7818</v>
      </c>
      <c r="F11" s="315" t="s">
        <v>1592</v>
      </c>
    </row>
    <row r="12" spans="1:9" ht="15" x14ac:dyDescent="0.2">
      <c r="A12" s="315" t="s">
        <v>1580</v>
      </c>
      <c r="B12" s="318">
        <f>'DOE25'!G170</f>
        <v>348412</v>
      </c>
      <c r="F12" s="315" t="s">
        <v>1593</v>
      </c>
    </row>
    <row r="13" spans="1:9" ht="15" x14ac:dyDescent="0.2">
      <c r="A13" s="315" t="s">
        <v>1581</v>
      </c>
      <c r="B13" s="318">
        <f>'DOE25'!G193-'DOE25'!G180</f>
        <v>0</v>
      </c>
      <c r="F13" s="315" t="s">
        <v>1603</v>
      </c>
    </row>
    <row r="14" spans="1:9" ht="18" x14ac:dyDescent="0.25">
      <c r="A14" s="317" t="s">
        <v>732</v>
      </c>
      <c r="B14" s="319">
        <f>SUM(B9:B13)</f>
        <v>397511</v>
      </c>
    </row>
    <row r="16" spans="1:9" ht="18" x14ac:dyDescent="0.25">
      <c r="A16" s="317" t="s">
        <v>786</v>
      </c>
      <c r="F16" s="324" t="s">
        <v>1595</v>
      </c>
    </row>
    <row r="17" spans="1:6" ht="15" x14ac:dyDescent="0.2">
      <c r="A17" s="315" t="s">
        <v>1582</v>
      </c>
      <c r="B17" s="318">
        <f>'DOE25'!L363-'DOE25'!L362</f>
        <v>403803</v>
      </c>
      <c r="F17" s="315" t="s">
        <v>1596</v>
      </c>
    </row>
    <row r="18" spans="1:6" ht="15" x14ac:dyDescent="0.2">
      <c r="A18" s="315" t="s">
        <v>1583</v>
      </c>
      <c r="B18" s="328"/>
      <c r="F18" s="324" t="s">
        <v>1620</v>
      </c>
    </row>
    <row r="19" spans="1:6" ht="18" x14ac:dyDescent="0.25">
      <c r="A19" s="317" t="s">
        <v>725</v>
      </c>
      <c r="B19" s="319">
        <f>SUM(B17:B18)</f>
        <v>403803</v>
      </c>
    </row>
    <row r="21" spans="1:6" ht="18.75" thickBot="1" x14ac:dyDescent="0.3">
      <c r="A21" s="317" t="s">
        <v>1584</v>
      </c>
    </row>
    <row r="22" spans="1:6" ht="18.75" thickTop="1" x14ac:dyDescent="0.25">
      <c r="A22" s="317" t="s">
        <v>1585</v>
      </c>
      <c r="B22" s="323">
        <f>B14-B19</f>
        <v>-6292</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140301</v>
      </c>
      <c r="F31" s="315" t="s">
        <v>1600</v>
      </c>
    </row>
    <row r="33" spans="1:6" ht="15" x14ac:dyDescent="0.2">
      <c r="A33" s="315" t="s">
        <v>1629</v>
      </c>
      <c r="B33" s="318">
        <f>'DOE25'!G477</f>
        <v>134009</v>
      </c>
      <c r="F33" s="315" t="s">
        <v>1601</v>
      </c>
    </row>
    <row r="36" spans="1:6" ht="15" x14ac:dyDescent="0.2">
      <c r="A36" s="315" t="s">
        <v>1587</v>
      </c>
      <c r="B36" s="329">
        <v>30791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1" sqref="B3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Winnisquam</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5758075</v>
      </c>
      <c r="C9" s="229">
        <f>'DOE25'!G198+'DOE25'!G216+'DOE25'!G234+'DOE25'!G277+'DOE25'!G296+'DOE25'!G315</f>
        <v>2698416</v>
      </c>
    </row>
    <row r="10" spans="1:3" x14ac:dyDescent="0.2">
      <c r="A10" t="s">
        <v>775</v>
      </c>
      <c r="B10" s="240">
        <v>5391658.2999999998</v>
      </c>
      <c r="C10" s="240">
        <v>2536511.1</v>
      </c>
    </row>
    <row r="11" spans="1:3" x14ac:dyDescent="0.2">
      <c r="A11" t="s">
        <v>776</v>
      </c>
      <c r="B11" s="240">
        <v>366416.7</v>
      </c>
      <c r="C11" s="240">
        <v>161904.9</v>
      </c>
    </row>
    <row r="12" spans="1:3" x14ac:dyDescent="0.2">
      <c r="A12" t="s">
        <v>777</v>
      </c>
      <c r="B12" s="240"/>
      <c r="C12" s="240"/>
    </row>
    <row r="13" spans="1:3" x14ac:dyDescent="0.2">
      <c r="A13" t="str">
        <f>IF(B9=B13,IF(C9=C13,"Check Total OK","Check Total Error"),"Check Total Error")</f>
        <v>Check Total OK</v>
      </c>
      <c r="B13" s="231">
        <f>SUM(B10:B12)</f>
        <v>5758075</v>
      </c>
      <c r="C13" s="231">
        <f>SUM(C10:C12)</f>
        <v>2698416</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1964099</v>
      </c>
      <c r="C18" s="229">
        <f>'DOE25'!G199+'DOE25'!G217+'DOE25'!G235+'DOE25'!G278+'DOE25'!G297+'DOE25'!G316</f>
        <v>744275</v>
      </c>
    </row>
    <row r="19" spans="1:3" x14ac:dyDescent="0.2">
      <c r="A19" t="s">
        <v>775</v>
      </c>
      <c r="B19" s="240">
        <v>1101742.3</v>
      </c>
      <c r="C19" s="240">
        <v>424236.75</v>
      </c>
    </row>
    <row r="20" spans="1:3" x14ac:dyDescent="0.2">
      <c r="A20" t="s">
        <v>776</v>
      </c>
      <c r="B20" s="240">
        <v>862356.7</v>
      </c>
      <c r="C20" s="240">
        <v>320038.25</v>
      </c>
    </row>
    <row r="21" spans="1:3" x14ac:dyDescent="0.2">
      <c r="A21" t="s">
        <v>777</v>
      </c>
      <c r="B21" s="240"/>
      <c r="C21" s="240"/>
    </row>
    <row r="22" spans="1:3" x14ac:dyDescent="0.2">
      <c r="A22" t="str">
        <f>IF(B18=B22,IF(C18=C22,"Check Total OK","Check Total Error"),"Check Total Error")</f>
        <v>Check Total OK</v>
      </c>
      <c r="B22" s="231">
        <f>SUM(B19:B21)</f>
        <v>1964099</v>
      </c>
      <c r="C22" s="231">
        <f>SUM(C19:C21)</f>
        <v>744275</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195331</v>
      </c>
      <c r="C27" s="234">
        <f>'DOE25'!G200+'DOE25'!G218+'DOE25'!G236+'DOE25'!G279+'DOE25'!G298+'DOE25'!G317</f>
        <v>80177</v>
      </c>
    </row>
    <row r="28" spans="1:3" x14ac:dyDescent="0.2">
      <c r="A28" t="s">
        <v>775</v>
      </c>
      <c r="B28" s="240">
        <v>176572</v>
      </c>
      <c r="C28" s="240">
        <v>72961.070000000007</v>
      </c>
    </row>
    <row r="29" spans="1:3" x14ac:dyDescent="0.2">
      <c r="A29" t="s">
        <v>776</v>
      </c>
      <c r="B29" s="240"/>
      <c r="C29" s="240"/>
    </row>
    <row r="30" spans="1:3" x14ac:dyDescent="0.2">
      <c r="A30" t="s">
        <v>777</v>
      </c>
      <c r="B30" s="240">
        <v>18759</v>
      </c>
      <c r="C30" s="240">
        <v>7215.93</v>
      </c>
    </row>
    <row r="31" spans="1:3" x14ac:dyDescent="0.2">
      <c r="A31" t="str">
        <f>IF(B27=B31,IF(C27=C31,"Check Total OK","Check Total Error"),"Check Total Error")</f>
        <v>Check Total OK</v>
      </c>
      <c r="B31" s="231">
        <f>SUM(B28:B30)</f>
        <v>195331</v>
      </c>
      <c r="C31" s="231">
        <f>SUM(C28:C30)</f>
        <v>80177</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247195.36</v>
      </c>
      <c r="C36" s="235">
        <f>'DOE25'!G201+'DOE25'!G219+'DOE25'!G237+'DOE25'!G280+'DOE25'!G299+'DOE25'!G318</f>
        <v>79474.62</v>
      </c>
    </row>
    <row r="37" spans="1:3" x14ac:dyDescent="0.2">
      <c r="A37" t="s">
        <v>775</v>
      </c>
      <c r="B37" s="240">
        <v>30800</v>
      </c>
      <c r="C37" s="240">
        <v>9536.9500000000007</v>
      </c>
    </row>
    <row r="38" spans="1:3" x14ac:dyDescent="0.2">
      <c r="A38" t="s">
        <v>776</v>
      </c>
      <c r="B38" s="240"/>
      <c r="C38" s="240"/>
    </row>
    <row r="39" spans="1:3" x14ac:dyDescent="0.2">
      <c r="A39" t="s">
        <v>777</v>
      </c>
      <c r="B39" s="240">
        <v>216395.36</v>
      </c>
      <c r="C39" s="240">
        <v>69937.67</v>
      </c>
    </row>
    <row r="40" spans="1:3" x14ac:dyDescent="0.2">
      <c r="A40" t="str">
        <f>IF(B36=B40,IF(C36=C40,"Check Total OK","Check Total Error"),"Check Total Error")</f>
        <v>Check Total OK</v>
      </c>
      <c r="B40" s="231">
        <f>SUM(B37:B39)</f>
        <v>247195.36</v>
      </c>
      <c r="C40" s="231">
        <f>SUM(C37:C39)</f>
        <v>79474.62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Winnisquam</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13643936</v>
      </c>
      <c r="D5" s="20">
        <f>SUM('DOE25'!L198:L201)+SUM('DOE25'!L216:L219)+SUM('DOE25'!L234:L237)-F5-G5-H5</f>
        <v>13535134.24</v>
      </c>
      <c r="E5" s="243"/>
      <c r="F5" s="244"/>
      <c r="G5" s="53">
        <f>SUM('DOE25'!J198:J201)+SUM('DOE25'!J216:J219)+SUM('DOE25'!J234:J237)</f>
        <v>70573.03</v>
      </c>
      <c r="H5" s="53">
        <f>SUM('DOE25'!K198:K201)+SUM('DOE25'!K216:K219)+SUM('DOE25'!K234:K237)</f>
        <v>38228.729999999996</v>
      </c>
      <c r="I5" s="254"/>
    </row>
    <row r="6" spans="1:9" x14ac:dyDescent="0.2">
      <c r="A6" s="32">
        <v>2100</v>
      </c>
      <c r="B6" t="s">
        <v>796</v>
      </c>
      <c r="C6" s="273">
        <f t="shared" si="0"/>
        <v>1333102</v>
      </c>
      <c r="D6" s="20">
        <f>'DOE25'!L203+'DOE25'!L221+'DOE25'!L239-F6-G6-H6</f>
        <v>1282873</v>
      </c>
      <c r="E6" s="243"/>
      <c r="F6" s="244">
        <v>47043</v>
      </c>
      <c r="G6" s="53">
        <f>'DOE25'!J203+'DOE25'!J221+'DOE25'!J239</f>
        <v>2428</v>
      </c>
      <c r="H6" s="53">
        <f>'DOE25'!K203+'DOE25'!K221+'DOE25'!K239</f>
        <v>758</v>
      </c>
      <c r="I6" s="254"/>
    </row>
    <row r="7" spans="1:9" x14ac:dyDescent="0.2">
      <c r="A7" s="32">
        <v>2200</v>
      </c>
      <c r="B7" t="s">
        <v>821</v>
      </c>
      <c r="C7" s="273">
        <f t="shared" si="0"/>
        <v>862222</v>
      </c>
      <c r="D7" s="20">
        <f>'DOE25'!L204+'DOE25'!L222+'DOE25'!L240-F7-G7-H7</f>
        <v>858505</v>
      </c>
      <c r="E7" s="243"/>
      <c r="F7" s="244"/>
      <c r="G7" s="53">
        <f>'DOE25'!J204+'DOE25'!J222+'DOE25'!J240</f>
        <v>3543</v>
      </c>
      <c r="H7" s="53">
        <f>'DOE25'!K204+'DOE25'!K222+'DOE25'!K240</f>
        <v>174</v>
      </c>
      <c r="I7" s="254"/>
    </row>
    <row r="8" spans="1:9" x14ac:dyDescent="0.2">
      <c r="A8" s="32">
        <v>2300</v>
      </c>
      <c r="B8" t="s">
        <v>797</v>
      </c>
      <c r="C8" s="273">
        <f t="shared" si="0"/>
        <v>1263203.6900000002</v>
      </c>
      <c r="D8" s="243"/>
      <c r="E8" s="20">
        <f>'DOE25'!L205+'DOE25'!L223+'DOE25'!L241-F8-G8-H8-D9-D11</f>
        <v>981445.60000000009</v>
      </c>
      <c r="F8" s="244">
        <v>104844.99</v>
      </c>
      <c r="G8" s="53">
        <f>'DOE25'!J205+'DOE25'!J223+'DOE25'!J241</f>
        <v>171333.1</v>
      </c>
      <c r="H8" s="53">
        <f>'DOE25'!K205+'DOE25'!K223+'DOE25'!K241</f>
        <v>5580</v>
      </c>
      <c r="I8" s="254"/>
    </row>
    <row r="9" spans="1:9" ht="14.25" x14ac:dyDescent="0.2">
      <c r="A9" s="32">
        <v>2310</v>
      </c>
      <c r="B9" s="185" t="s">
        <v>888</v>
      </c>
      <c r="C9" s="273">
        <f t="shared" si="0"/>
        <v>99014.22</v>
      </c>
      <c r="D9" s="244">
        <v>99014.22</v>
      </c>
      <c r="E9" s="243"/>
      <c r="F9" s="251"/>
      <c r="G9" s="251"/>
      <c r="H9" s="251"/>
      <c r="I9" s="254"/>
    </row>
    <row r="10" spans="1:9" ht="14.25" x14ac:dyDescent="0.2">
      <c r="A10" s="32">
        <v>2317</v>
      </c>
      <c r="B10" s="185" t="s">
        <v>889</v>
      </c>
      <c r="C10" s="273">
        <f t="shared" si="0"/>
        <v>16945</v>
      </c>
      <c r="D10" s="243"/>
      <c r="E10" s="244">
        <v>16945</v>
      </c>
      <c r="F10" s="251"/>
      <c r="G10" s="251"/>
      <c r="H10" s="251"/>
      <c r="I10" s="254"/>
    </row>
    <row r="11" spans="1:9" ht="14.25" x14ac:dyDescent="0.2">
      <c r="A11" s="32">
        <v>2321</v>
      </c>
      <c r="B11" s="185" t="s">
        <v>890</v>
      </c>
      <c r="C11" s="273">
        <f t="shared" si="0"/>
        <v>375270.92</v>
      </c>
      <c r="D11" s="244">
        <v>375270.92</v>
      </c>
      <c r="E11" s="243"/>
      <c r="F11" s="251"/>
      <c r="G11" s="251"/>
      <c r="H11" s="251"/>
      <c r="I11" s="254"/>
    </row>
    <row r="12" spans="1:9" x14ac:dyDescent="0.2">
      <c r="A12" s="32">
        <v>2400</v>
      </c>
      <c r="B12" t="s">
        <v>711</v>
      </c>
      <c r="C12" s="273">
        <f t="shared" si="0"/>
        <v>1534477.08</v>
      </c>
      <c r="D12" s="20">
        <f>'DOE25'!L206+'DOE25'!L224+'DOE25'!L242-F12-G12-H12</f>
        <v>1523998.8900000001</v>
      </c>
      <c r="E12" s="243"/>
      <c r="F12" s="244"/>
      <c r="G12" s="53">
        <f>'DOE25'!J206+'DOE25'!J224+'DOE25'!J242</f>
        <v>0</v>
      </c>
      <c r="H12" s="53">
        <f>'DOE25'!K206+'DOE25'!K224+'DOE25'!K242</f>
        <v>10478.19</v>
      </c>
      <c r="I12" s="254"/>
    </row>
    <row r="13" spans="1:9" x14ac:dyDescent="0.2">
      <c r="A13" s="32">
        <v>2500</v>
      </c>
      <c r="B13" t="s">
        <v>798</v>
      </c>
      <c r="C13" s="273">
        <f t="shared" si="0"/>
        <v>342863</v>
      </c>
      <c r="D13" s="243"/>
      <c r="E13" s="20">
        <f>'DOE25'!L207+'DOE25'!L225+'DOE25'!L243-F13-G13-H13</f>
        <v>342863</v>
      </c>
      <c r="F13" s="244"/>
      <c r="G13" s="53">
        <f>'DOE25'!J207+'DOE25'!J225+'DOE25'!J243</f>
        <v>0</v>
      </c>
      <c r="H13" s="53">
        <f>'DOE25'!K207+'DOE25'!K225+'DOE25'!K243</f>
        <v>0</v>
      </c>
      <c r="I13" s="254"/>
    </row>
    <row r="14" spans="1:9" x14ac:dyDescent="0.2">
      <c r="A14" s="32">
        <v>2600</v>
      </c>
      <c r="B14" t="s">
        <v>819</v>
      </c>
      <c r="C14" s="273">
        <f t="shared" si="0"/>
        <v>2043805.1</v>
      </c>
      <c r="D14" s="20">
        <f>'DOE25'!L208+'DOE25'!L226+'DOE25'!L244-F14-G14-H14</f>
        <v>1970705.81</v>
      </c>
      <c r="E14" s="243"/>
      <c r="F14" s="244">
        <v>30793.29</v>
      </c>
      <c r="G14" s="53">
        <f>'DOE25'!J208+'DOE25'!J226+'DOE25'!J244</f>
        <v>40668</v>
      </c>
      <c r="H14" s="53">
        <f>'DOE25'!K208+'DOE25'!K226+'DOE25'!K244</f>
        <v>1638</v>
      </c>
      <c r="I14" s="254"/>
    </row>
    <row r="15" spans="1:9" x14ac:dyDescent="0.2">
      <c r="A15" s="32">
        <v>2700</v>
      </c>
      <c r="B15" t="s">
        <v>799</v>
      </c>
      <c r="C15" s="273">
        <f t="shared" si="0"/>
        <v>992797</v>
      </c>
      <c r="D15" s="20">
        <f>'DOE25'!L209+'DOE25'!L227+'DOE25'!L245-F15-G15-H15</f>
        <v>111301.70999999996</v>
      </c>
      <c r="E15" s="243"/>
      <c r="F15" s="244">
        <v>881495.29</v>
      </c>
      <c r="G15" s="53">
        <f>'DOE25'!J209+'DOE25'!J227+'DOE25'!J245</f>
        <v>0</v>
      </c>
      <c r="H15" s="53">
        <f>'DOE25'!K209+'DOE25'!K227+'DOE25'!K245</f>
        <v>0</v>
      </c>
      <c r="I15" s="254"/>
    </row>
    <row r="16" spans="1:9" x14ac:dyDescent="0.2">
      <c r="A16" s="32">
        <v>2800</v>
      </c>
      <c r="B16" t="s">
        <v>800</v>
      </c>
      <c r="C16" s="273">
        <f t="shared" si="0"/>
        <v>5000</v>
      </c>
      <c r="D16" s="243"/>
      <c r="E16" s="20">
        <f>'DOE25'!L210+'DOE25'!L228+'DOE25'!L246-F16-G16-H16</f>
        <v>5000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133639</v>
      </c>
      <c r="D22" s="243"/>
      <c r="E22" s="243"/>
      <c r="F22" s="243"/>
      <c r="G22" s="53">
        <f>'DOE25'!L256+'DOE25'!L337</f>
        <v>133639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1096765.99</v>
      </c>
      <c r="D25" s="243"/>
      <c r="E25" s="243"/>
      <c r="F25" s="253"/>
      <c r="G25" s="251"/>
      <c r="H25" s="251"/>
      <c r="I25" s="252">
        <f>'DOE25'!L261+'DOE25'!L262+'DOE25'!L342+'DOE25'!L343</f>
        <v>1096765.99</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295996</v>
      </c>
      <c r="D29" s="281">
        <f>'DOE25'!L359+'DOE25'!L360+'DOE25'!L361-'DOE25'!I368-F29-G29-H29</f>
        <v>256623</v>
      </c>
      <c r="E29" s="243"/>
      <c r="F29" s="244"/>
      <c r="G29" s="53">
        <f>'DOE25'!J359+'DOE25'!J360+'DOE25'!J361</f>
        <v>3940</v>
      </c>
      <c r="H29" s="53">
        <f>'DOE25'!K359+'DOE25'!K360+'DOE25'!K361</f>
        <v>35433</v>
      </c>
      <c r="I29" s="254"/>
    </row>
    <row r="30" spans="1:9" x14ac:dyDescent="0.2">
      <c r="A30" s="32"/>
      <c r="C30" s="274"/>
      <c r="D30" s="20"/>
      <c r="E30" s="278"/>
      <c r="F30" s="268"/>
      <c r="G30" s="53"/>
      <c r="H30" s="53"/>
      <c r="I30" s="254"/>
    </row>
    <row r="31" spans="1:9" x14ac:dyDescent="0.2">
      <c r="A31" s="32" t="s">
        <v>818</v>
      </c>
      <c r="B31" t="s">
        <v>817</v>
      </c>
      <c r="C31" s="273">
        <f>SUM(D31:I31)</f>
        <v>1801111</v>
      </c>
      <c r="D31" s="20">
        <f>'DOE25'!L291+'DOE25'!L310+'DOE25'!L329+'DOE25'!L334+'DOE25'!L335+'DOE25'!L336-F31-G31-H31</f>
        <v>1444961</v>
      </c>
      <c r="E31" s="243"/>
      <c r="F31" s="244">
        <v>115000</v>
      </c>
      <c r="G31" s="53">
        <f>'DOE25'!J291+'DOE25'!J310+'DOE25'!J329+'DOE25'!J334+'DOE25'!J335+'DOE25'!J336</f>
        <v>226477</v>
      </c>
      <c r="H31" s="53">
        <f>'DOE25'!K291+'DOE25'!K310+'DOE25'!K329+'DOE25'!K334+'DOE25'!K335+'DOE25'!K336</f>
        <v>14673</v>
      </c>
      <c r="I31" s="254"/>
    </row>
    <row r="32" spans="1:9" ht="12" thickBot="1" x14ac:dyDescent="0.25">
      <c r="C32" s="274"/>
      <c r="G32" s="249"/>
      <c r="H32" s="249"/>
      <c r="I32" s="256"/>
    </row>
    <row r="33" spans="1:9" ht="12" thickTop="1" x14ac:dyDescent="0.2">
      <c r="B33" t="s">
        <v>809</v>
      </c>
      <c r="D33" s="245">
        <f t="shared" ref="D33:I33" si="1">SUM(D5:D31)</f>
        <v>21458387.789999999</v>
      </c>
      <c r="E33" s="245">
        <f t="shared" si="1"/>
        <v>1346253.6</v>
      </c>
      <c r="F33" s="245">
        <f t="shared" si="1"/>
        <v>1179176.57</v>
      </c>
      <c r="G33" s="245">
        <f t="shared" si="1"/>
        <v>652601.13</v>
      </c>
      <c r="H33" s="245">
        <f t="shared" si="1"/>
        <v>106962.92</v>
      </c>
      <c r="I33" s="245">
        <f t="shared" si="1"/>
        <v>1096765.99</v>
      </c>
    </row>
    <row r="35" spans="1:9" ht="12" thickBot="1" x14ac:dyDescent="0.25">
      <c r="B35" s="249" t="s">
        <v>831</v>
      </c>
      <c r="D35" s="250">
        <f>E33</f>
        <v>1346253.6</v>
      </c>
      <c r="E35" s="246"/>
      <c r="F35" s="333" t="s">
        <v>1632</v>
      </c>
      <c r="G35" s="334"/>
      <c r="H35" s="334"/>
      <c r="I35" s="334"/>
    </row>
    <row r="36" spans="1:9" ht="12" thickTop="1" x14ac:dyDescent="0.2">
      <c r="B36" t="s">
        <v>810</v>
      </c>
      <c r="D36" s="20">
        <f>D33</f>
        <v>21458387.789999999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14" sqref="D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Winnisquam</v>
      </c>
      <c r="B2" s="126">
        <f>'DOE25'!B2</f>
        <v>582</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10084339.030000001</v>
      </c>
      <c r="G4" s="300">
        <f>'DOE25'!L212+'DOE25'!L291</f>
        <v>10084339.030000001</v>
      </c>
      <c r="H4" s="353">
        <f>F4-G4</f>
        <v>0</v>
      </c>
      <c r="I4" s="373" t="str">
        <f>IF(H4=0,"","ISSUES!! Please review page 7 and 11 totals in comparison with total on this page")</f>
        <v/>
      </c>
      <c r="N4"/>
    </row>
    <row r="5" spans="1:18" x14ac:dyDescent="0.2">
      <c r="A5" s="21" t="s">
        <v>1489</v>
      </c>
      <c r="B5" s="301">
        <f>IFERROR(VLOOKUP(A5,'School Tables'!$C$3:$D$365,2,FALSE),"")</f>
        <v>22925</v>
      </c>
      <c r="C5" s="294" t="str">
        <f>IFERROR(INDEX('School Tables'!$B$3:$B$365,MATCH('School Level Expenditures'!B5,'School Tables'!$D$3:$D$365,0)),"")</f>
        <v>Winnisquam Regional</v>
      </c>
      <c r="D5" s="291">
        <v>2325173.33</v>
      </c>
      <c r="E5" s="291">
        <v>29489.94</v>
      </c>
      <c r="F5" s="304">
        <f>D5+E5</f>
        <v>2354663.27</v>
      </c>
      <c r="G5" s="294"/>
      <c r="H5" s="294"/>
      <c r="I5" s="374"/>
      <c r="N5"/>
    </row>
    <row r="6" spans="1:18" x14ac:dyDescent="0.2">
      <c r="A6" s="21" t="s">
        <v>1490</v>
      </c>
      <c r="B6" s="301">
        <f>IFERROR(VLOOKUP(A6,'School Tables'!$C$3:$D$365,2,FALSE),"")</f>
        <v>22945</v>
      </c>
      <c r="C6" s="294" t="str">
        <f>IFERROR(INDEX('School Tables'!$B$3:$B$365,MATCH('School Level Expenditures'!B6,'School Tables'!$D$3:$D$365,0)),"")</f>
        <v>Winnisquam Regional</v>
      </c>
      <c r="D6" s="291">
        <v>3255242.5</v>
      </c>
      <c r="E6" s="291">
        <v>301662.43</v>
      </c>
      <c r="F6" s="304">
        <f t="shared" ref="F6:F20" si="0">D6+E6</f>
        <v>3556904.93</v>
      </c>
      <c r="G6" s="294"/>
      <c r="H6" s="294"/>
      <c r="I6" s="374"/>
      <c r="N6"/>
    </row>
    <row r="7" spans="1:18" x14ac:dyDescent="0.2">
      <c r="A7" s="21" t="s">
        <v>1493</v>
      </c>
      <c r="B7" s="301">
        <f>IFERROR(VLOOKUP(A7,'School Tables'!$C$3:$D$365,2,FALSE),"")</f>
        <v>27070</v>
      </c>
      <c r="C7" s="294" t="str">
        <f>IFERROR(INDEX('School Tables'!$B$3:$B$365,MATCH('School Level Expenditures'!B7,'School Tables'!$D$3:$D$365,0)),"")</f>
        <v>Winnisquam Regional</v>
      </c>
      <c r="D7" s="291">
        <v>3720277.2</v>
      </c>
      <c r="E7" s="291">
        <v>452493.63</v>
      </c>
      <c r="F7" s="304">
        <f t="shared" si="0"/>
        <v>4172770.83</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9300693.0300000012</v>
      </c>
      <c r="E21" s="351">
        <f>SUM(E5:E20)</f>
        <v>783646</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6229927.6900000004</v>
      </c>
      <c r="G24" s="300">
        <f>'DOE25'!L230+'DOE25'!L310</f>
        <v>6229927.6900000004</v>
      </c>
      <c r="H24" s="353">
        <f>F24-G24</f>
        <v>0</v>
      </c>
      <c r="I24" s="373" t="str">
        <f>IF(H24=0,"","ISSUES!! Please review page 8 and 12 totals in comparison with total on this page")</f>
        <v/>
      </c>
      <c r="N24"/>
    </row>
    <row r="25" spans="1:14" x14ac:dyDescent="0.2">
      <c r="A25" s="21" t="s">
        <v>1492</v>
      </c>
      <c r="B25" s="301">
        <f>IFERROR(VLOOKUP(A25,'School Tables'!$I$3:$J$80,2,FALSE),"")</f>
        <v>22955</v>
      </c>
      <c r="C25" s="294" t="str">
        <f t="array" ref="C25">IFERROR(INDEX('School Tables'!$H$3:$H$80,MATCH('School Level Expenditures'!B25,'School Tables'!$J$3:$J$80,0)),"")</f>
        <v>Winnisquam Regional</v>
      </c>
      <c r="D25" s="291">
        <v>5781462.6900000004</v>
      </c>
      <c r="E25" s="291">
        <v>448465</v>
      </c>
      <c r="F25" s="304">
        <f>D25+E25</f>
        <v>6229927.6900000004</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5781462.6900000004</v>
      </c>
      <c r="E33" s="351">
        <f>SUM(E25:E32)</f>
        <v>448465</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7982535.29</v>
      </c>
      <c r="G36" s="300">
        <f>'DOE25'!L248+'DOE25'!L329</f>
        <v>7982535.29</v>
      </c>
      <c r="H36" s="353">
        <f>F36-G36</f>
        <v>0</v>
      </c>
      <c r="I36" s="373" t="str">
        <f>IF(H36=0,"","ISSUES!! Please review page 9 and 13 totals in comparison with total on this page")</f>
        <v/>
      </c>
      <c r="N36"/>
    </row>
    <row r="37" spans="1:14" x14ac:dyDescent="0.2">
      <c r="A37" s="21" t="s">
        <v>1491</v>
      </c>
      <c r="B37" s="301">
        <f>IFERROR(VLOOKUP(A37,'School Tables'!$O$3:$P$118,2,FALSE),"")</f>
        <v>22950</v>
      </c>
      <c r="C37" s="294" t="str">
        <f t="array" ref="C37">IFERROR(INDEX('School Tables'!$N$3:$N$118,MATCH('School Level Expenditures'!B37,'School Tables'!$P$3:$P$118,0)),"")</f>
        <v>Winnisquam Regional</v>
      </c>
      <c r="D37" s="291">
        <v>7413535.29</v>
      </c>
      <c r="E37" s="291">
        <v>569000</v>
      </c>
      <c r="F37" s="304">
        <f t="shared" ref="F37:F42" si="2">D37+E37</f>
        <v>7982535.29</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7413535.29</v>
      </c>
      <c r="E43" s="352">
        <f>SUM(E37:E42)</f>
        <v>569000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Winnisquam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3942776</v>
      </c>
      <c r="D8" s="95">
        <f>'DOE25'!G9</f>
        <v>27094</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950332</v>
      </c>
      <c r="D11" s="95">
        <f>'DOE25'!G12</f>
        <v>83870</v>
      </c>
      <c r="E11" s="95">
        <f>'DOE25'!H12</f>
        <v>89916</v>
      </c>
      <c r="F11" s="95">
        <f>'DOE25'!I12</f>
        <v>0</v>
      </c>
      <c r="G11" s="95">
        <f>'DOE25'!J12</f>
        <v>0</v>
      </c>
      <c r="H11" s="124"/>
      <c r="I11" s="124"/>
    </row>
    <row r="12" spans="1:9" x14ac:dyDescent="0.2">
      <c r="A12" s="1" t="s">
        <v>143</v>
      </c>
      <c r="B12" s="6">
        <v>140</v>
      </c>
      <c r="C12" s="95">
        <f>'DOE25'!F13</f>
        <v>73246</v>
      </c>
      <c r="D12" s="95">
        <f>'DOE25'!G13</f>
        <v>41486</v>
      </c>
      <c r="E12" s="95">
        <f>'DOE25'!H13</f>
        <v>839924</v>
      </c>
      <c r="F12" s="95">
        <f>'DOE25'!I13</f>
        <v>0</v>
      </c>
      <c r="G12" s="95">
        <f>'DOE25'!J13</f>
        <v>1742761.18</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4368</v>
      </c>
      <c r="D16" s="95">
        <f>'DOE25'!G17</f>
        <v>0</v>
      </c>
      <c r="E16" s="95">
        <f>'DOE25'!H17</f>
        <v>4119</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4970722</v>
      </c>
      <c r="D18" s="41">
        <f>SUM(D8:D17)</f>
        <v>152450</v>
      </c>
      <c r="E18" s="41">
        <f>SUM(E8:E17)</f>
        <v>933959</v>
      </c>
      <c r="F18" s="41">
        <f>SUM(F8:F17)</f>
        <v>0</v>
      </c>
      <c r="G18" s="41">
        <f>SUM(G8:G17)</f>
        <v>1742761.18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839924</v>
      </c>
      <c r="F21" s="95">
        <f>'DOE25'!I22</f>
        <v>0</v>
      </c>
      <c r="G21" s="95">
        <f>'DOE25'!J22</f>
        <v>169094</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346502</v>
      </c>
      <c r="D23" s="95">
        <f>'DOE25'!G24</f>
        <v>0</v>
      </c>
      <c r="E23" s="95">
        <f>'DOE25'!H24</f>
        <v>-40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85594</v>
      </c>
      <c r="D26" s="24" t="s">
        <v>288</v>
      </c>
      <c r="E26" s="24" t="s">
        <v>288</v>
      </c>
      <c r="F26" s="95">
        <f>'DOE25'!I27</f>
        <v>0</v>
      </c>
      <c r="G26" s="24" t="s">
        <v>288</v>
      </c>
      <c r="H26" s="124"/>
      <c r="I26" s="124"/>
    </row>
    <row r="27" spans="1:9" x14ac:dyDescent="0.2">
      <c r="A27" s="1" t="s">
        <v>156</v>
      </c>
      <c r="B27" s="6">
        <v>460</v>
      </c>
      <c r="C27" s="95">
        <f>'DOE25'!F28</f>
        <v>-2640</v>
      </c>
      <c r="D27" s="95">
        <f>'DOE25'!G28</f>
        <v>0</v>
      </c>
      <c r="E27" s="95">
        <f>'DOE25'!H28</f>
        <v>0</v>
      </c>
      <c r="F27" s="95">
        <f>'DOE25'!I28</f>
        <v>0</v>
      </c>
      <c r="G27" s="24" t="s">
        <v>288</v>
      </c>
      <c r="H27" s="124"/>
      <c r="I27" s="124"/>
    </row>
    <row r="28" spans="1:9" x14ac:dyDescent="0.2">
      <c r="A28" s="1" t="s">
        <v>157</v>
      </c>
      <c r="B28" s="6">
        <v>470</v>
      </c>
      <c r="C28" s="95">
        <f>'DOE25'!F29</f>
        <v>373129</v>
      </c>
      <c r="D28" s="95">
        <f>'DOE25'!G29</f>
        <v>0</v>
      </c>
      <c r="E28" s="95">
        <f>'DOE25'!H29</f>
        <v>0</v>
      </c>
      <c r="F28" s="95">
        <f>'DOE25'!I29</f>
        <v>0</v>
      </c>
      <c r="G28" s="24" t="s">
        <v>288</v>
      </c>
      <c r="H28" s="124"/>
      <c r="I28" s="124"/>
    </row>
    <row r="29" spans="1:9" x14ac:dyDescent="0.2">
      <c r="A29" s="1" t="s">
        <v>158</v>
      </c>
      <c r="B29" s="6">
        <v>480</v>
      </c>
      <c r="C29" s="95">
        <f>'DOE25'!F30</f>
        <v>436605</v>
      </c>
      <c r="D29" s="95">
        <f>'DOE25'!G30</f>
        <v>18427</v>
      </c>
      <c r="E29" s="95">
        <f>'DOE25'!H30</f>
        <v>94075</v>
      </c>
      <c r="F29" s="95">
        <f>'DOE25'!I30</f>
        <v>0</v>
      </c>
      <c r="G29" s="24" t="s">
        <v>288</v>
      </c>
      <c r="H29" s="124"/>
      <c r="I29" s="124"/>
    </row>
    <row r="30" spans="1:9" ht="12" thickBot="1" x14ac:dyDescent="0.25">
      <c r="A30" s="1" t="s">
        <v>159</v>
      </c>
      <c r="B30" s="71">
        <v>490</v>
      </c>
      <c r="C30" s="95">
        <f>'DOE25'!F31</f>
        <v>-3730</v>
      </c>
      <c r="D30" s="95">
        <f>'DOE25'!G31</f>
        <v>14</v>
      </c>
      <c r="E30" s="95">
        <f>'DOE25'!H31</f>
        <v>0</v>
      </c>
      <c r="F30" s="95">
        <f>'DOE25'!I31</f>
        <v>0</v>
      </c>
      <c r="G30" s="95">
        <f>'DOE25'!J31</f>
        <v>0</v>
      </c>
      <c r="H30" s="124"/>
      <c r="I30" s="124"/>
    </row>
    <row r="31" spans="1:9" ht="12" thickTop="1" x14ac:dyDescent="0.2">
      <c r="A31" s="38" t="s">
        <v>160</v>
      </c>
      <c r="B31" s="2"/>
      <c r="C31" s="41">
        <f>SUM(C21:C30)</f>
        <v>1235460</v>
      </c>
      <c r="D31" s="41">
        <f>SUM(D21:D30)</f>
        <v>18441</v>
      </c>
      <c r="E31" s="41">
        <f>SUM(E21:E30)</f>
        <v>933959</v>
      </c>
      <c r="F31" s="41">
        <f>SUM(F21:F30)</f>
        <v>0</v>
      </c>
      <c r="G31" s="41">
        <f>SUM(G21:G30)</f>
        <v>169094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134009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360000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1573667.18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3375262</v>
      </c>
      <c r="D49" s="24" t="s">
        <v>288</v>
      </c>
      <c r="E49" s="24" t="s">
        <v>288</v>
      </c>
      <c r="F49" s="24" t="s">
        <v>288</v>
      </c>
      <c r="G49" s="24" t="s">
        <v>288</v>
      </c>
      <c r="H49" s="124"/>
      <c r="I49" s="124"/>
    </row>
    <row r="50" spans="1:9" ht="12.75" thickTop="1" thickBot="1" x14ac:dyDescent="0.25">
      <c r="A50" s="38" t="s">
        <v>884</v>
      </c>
      <c r="B50" s="48"/>
      <c r="C50" s="41">
        <f>SUM(C34:C49)</f>
        <v>3735262</v>
      </c>
      <c r="D50" s="41">
        <f>SUM(D34:D49)</f>
        <v>134009</v>
      </c>
      <c r="E50" s="41">
        <f>SUM(E34:E49)</f>
        <v>0</v>
      </c>
      <c r="F50" s="41">
        <f>SUM(F34:F49)</f>
        <v>0</v>
      </c>
      <c r="G50" s="41">
        <f>SUM(G34:G49)</f>
        <v>1573667.18</v>
      </c>
      <c r="H50" s="124"/>
      <c r="I50" s="124"/>
    </row>
    <row r="51" spans="1:9" ht="12" thickTop="1" x14ac:dyDescent="0.2">
      <c r="A51" s="38" t="s">
        <v>885</v>
      </c>
      <c r="B51" s="2"/>
      <c r="C51" s="41">
        <f>C50+C31</f>
        <v>4970722</v>
      </c>
      <c r="D51" s="41">
        <f>D50+D31</f>
        <v>152450</v>
      </c>
      <c r="E51" s="41">
        <f>E50+E31</f>
        <v>933959</v>
      </c>
      <c r="F51" s="41">
        <f>F50+F31</f>
        <v>0</v>
      </c>
      <c r="G51" s="41">
        <f>G50+G31</f>
        <v>1742761.18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14661565</v>
      </c>
      <c r="D56" s="95">
        <f>'DOE25'!G60</f>
        <v>0</v>
      </c>
      <c r="E56" s="95">
        <f>'DOE25'!H60</f>
        <v>0</v>
      </c>
      <c r="F56" s="95">
        <f>'DOE25'!I60</f>
        <v>0</v>
      </c>
      <c r="G56" s="95">
        <f>'DOE25'!J60</f>
        <v>0</v>
      </c>
      <c r="H56"/>
      <c r="I56"/>
    </row>
    <row r="57" spans="1:9" x14ac:dyDescent="0.2">
      <c r="A57" s="1" t="s">
        <v>164</v>
      </c>
      <c r="B57" s="6" t="s">
        <v>165</v>
      </c>
      <c r="C57" s="95">
        <f>'DOE25'!F79</f>
        <v>68545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4013</v>
      </c>
      <c r="D59" s="95">
        <f>'DOE25'!G96</f>
        <v>0</v>
      </c>
      <c r="E59" s="95">
        <f>'DOE25'!H96</f>
        <v>0</v>
      </c>
      <c r="F59" s="95">
        <f>'DOE25'!I96</f>
        <v>0</v>
      </c>
      <c r="G59" s="95">
        <f>'DOE25'!J96</f>
        <v>0</v>
      </c>
      <c r="H59"/>
      <c r="I59"/>
    </row>
    <row r="60" spans="1:9" x14ac:dyDescent="0.2">
      <c r="A60" s="1" t="s">
        <v>170</v>
      </c>
      <c r="B60" s="118" t="s">
        <v>171</v>
      </c>
      <c r="C60" s="24" t="s">
        <v>288</v>
      </c>
      <c r="D60" s="95">
        <f>'DOE25'!G97</f>
        <v>36281</v>
      </c>
      <c r="E60" s="24" t="s">
        <v>288</v>
      </c>
      <c r="F60" s="24" t="s">
        <v>288</v>
      </c>
      <c r="G60" s="24" t="s">
        <v>288</v>
      </c>
      <c r="H60"/>
      <c r="I60"/>
    </row>
    <row r="61" spans="1:9" ht="12" thickBot="1" x14ac:dyDescent="0.25">
      <c r="A61" s="1" t="s">
        <v>172</v>
      </c>
      <c r="B61" s="118" t="s">
        <v>173</v>
      </c>
      <c r="C61" s="95">
        <f>SUM('DOE25'!F98:F110)</f>
        <v>52722</v>
      </c>
      <c r="D61" s="95">
        <f>SUM('DOE25'!G98:G110)</f>
        <v>5000</v>
      </c>
      <c r="E61" s="95">
        <f>SUM('DOE25'!H98:H110)</f>
        <v>12666</v>
      </c>
      <c r="F61" s="95">
        <f>SUM('DOE25'!I98:I110)</f>
        <v>0</v>
      </c>
      <c r="G61" s="95">
        <f>SUM('DOE25'!J98:J110)</f>
        <v>0</v>
      </c>
      <c r="H61"/>
      <c r="I61"/>
    </row>
    <row r="62" spans="1:9" ht="12.75" thickTop="1" thickBot="1" x14ac:dyDescent="0.25">
      <c r="A62" s="29" t="s">
        <v>174</v>
      </c>
      <c r="B62" s="6"/>
      <c r="C62" s="130">
        <f>SUM(C57:C61)</f>
        <v>125280</v>
      </c>
      <c r="D62" s="130">
        <f>SUM(D57:D61)</f>
        <v>41281</v>
      </c>
      <c r="E62" s="130">
        <f>SUM(E57:E61)</f>
        <v>12666</v>
      </c>
      <c r="F62" s="130">
        <f>SUM(F57:F61)</f>
        <v>0</v>
      </c>
      <c r="G62" s="130">
        <f>SUM(G57:G61)</f>
        <v>0</v>
      </c>
      <c r="H62"/>
      <c r="I62"/>
    </row>
    <row r="63" spans="1:9" ht="12" thickTop="1" x14ac:dyDescent="0.2">
      <c r="A63" s="29" t="s">
        <v>175</v>
      </c>
      <c r="B63" s="6"/>
      <c r="C63" s="22">
        <f>C56+C62</f>
        <v>14786845</v>
      </c>
      <c r="D63" s="22">
        <f>D56+D62</f>
        <v>41281</v>
      </c>
      <c r="E63" s="22">
        <f>E56+E62</f>
        <v>12666</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7332445</v>
      </c>
      <c r="D66" s="24" t="s">
        <v>288</v>
      </c>
      <c r="E66" s="24" t="s">
        <v>288</v>
      </c>
      <c r="F66" s="24" t="s">
        <v>288</v>
      </c>
      <c r="G66" s="24" t="s">
        <v>288</v>
      </c>
      <c r="H66"/>
      <c r="I66"/>
    </row>
    <row r="67" spans="1:9" x14ac:dyDescent="0.2">
      <c r="A67" s="1" t="s">
        <v>770</v>
      </c>
      <c r="B67" s="6">
        <v>3112</v>
      </c>
      <c r="C67" s="95">
        <f>'DOE25'!F118</f>
        <v>2818849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19211.68</v>
      </c>
      <c r="D69" s="95">
        <f>'DOE25'!G120</f>
        <v>0</v>
      </c>
      <c r="E69" s="95">
        <f>'DOE25'!H120</f>
        <v>0</v>
      </c>
      <c r="F69" s="95">
        <f>'DOE25'!I120</f>
        <v>0</v>
      </c>
      <c r="G69" s="95">
        <f>'DOE25'!J120</f>
        <v>0</v>
      </c>
      <c r="H69"/>
      <c r="I69"/>
    </row>
    <row r="70" spans="1:9" ht="12" thickTop="1" x14ac:dyDescent="0.2">
      <c r="A70" s="29" t="s">
        <v>252</v>
      </c>
      <c r="B70" s="2"/>
      <c r="C70" s="139">
        <f>SUM(C66:C69)</f>
        <v>10170505.68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585147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70294.41</v>
      </c>
      <c r="D75" s="24" t="s">
        <v>288</v>
      </c>
      <c r="E75" s="24" t="s">
        <v>288</v>
      </c>
      <c r="F75" s="24" t="s">
        <v>288</v>
      </c>
      <c r="G75" s="24" t="s">
        <v>288</v>
      </c>
      <c r="H75"/>
      <c r="I75"/>
    </row>
    <row r="76" spans="1:9" x14ac:dyDescent="0.2">
      <c r="A76" s="1" t="s">
        <v>257</v>
      </c>
      <c r="B76" s="6" t="s">
        <v>179</v>
      </c>
      <c r="C76" s="95">
        <f>SUM('DOE25'!F127:F130)</f>
        <v>35234.910000000003</v>
      </c>
      <c r="D76" s="24" t="s">
        <v>288</v>
      </c>
      <c r="E76" s="95">
        <f>SUM('DOE25'!H127:H130)</f>
        <v>14536</v>
      </c>
      <c r="F76" s="95">
        <f>SUM('DOE25'!I127:I130)</f>
        <v>0</v>
      </c>
      <c r="G76" s="24" t="s">
        <v>288</v>
      </c>
      <c r="H76"/>
      <c r="I76"/>
    </row>
    <row r="77" spans="1:9" ht="12" thickBot="1" x14ac:dyDescent="0.25">
      <c r="A77" s="1" t="s">
        <v>258</v>
      </c>
      <c r="B77" s="6" t="s">
        <v>180</v>
      </c>
      <c r="C77" s="95">
        <f>SUM('DOE25'!F131:F135)</f>
        <v>0</v>
      </c>
      <c r="D77" s="95">
        <f>SUM('DOE25'!G131:G135)</f>
        <v>7818</v>
      </c>
      <c r="E77" s="95">
        <f>SUM('DOE25'!H131:H135)</f>
        <v>160690</v>
      </c>
      <c r="F77" s="95">
        <f>SUM('DOE25'!I131:I135)</f>
        <v>0</v>
      </c>
      <c r="G77" s="95">
        <f>SUM('DOE25'!J131:J135)</f>
        <v>0</v>
      </c>
      <c r="H77"/>
      <c r="I77"/>
    </row>
    <row r="78" spans="1:9" ht="12.75" thickTop="1" thickBot="1" x14ac:dyDescent="0.25">
      <c r="A78" s="29" t="s">
        <v>259</v>
      </c>
      <c r="B78" s="6"/>
      <c r="C78" s="130">
        <f>SUM(C72:C77)</f>
        <v>690676.32000000007</v>
      </c>
      <c r="D78" s="130">
        <f>SUM(D72:D77)</f>
        <v>7818</v>
      </c>
      <c r="E78" s="130">
        <f>SUM(E72:E77)</f>
        <v>175226</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10861182</v>
      </c>
      <c r="D81" s="130">
        <f>SUM(D79:D80)+D78+D70</f>
        <v>7818</v>
      </c>
      <c r="E81" s="130">
        <f>SUM(E79:E80)+E78+E70</f>
        <v>175226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276974</v>
      </c>
      <c r="D88" s="331">
        <f>SUM('DOE25'!G153:G162)</f>
        <v>348412</v>
      </c>
      <c r="E88" s="331">
        <f>SUM('DOE25'!H153:H162)</f>
        <v>1781103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276974</v>
      </c>
      <c r="D91" s="131">
        <f>SUM(D85:D90)</f>
        <v>348412</v>
      </c>
      <c r="E91" s="131">
        <f>SUM(E85:E90)</f>
        <v>1781103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540000</v>
      </c>
    </row>
    <row r="104" spans="1:7" ht="12.75" thickTop="1" thickBot="1" x14ac:dyDescent="0.25">
      <c r="A104" s="33" t="s">
        <v>761</v>
      </c>
      <c r="C104" s="86">
        <f>C63+C81+C91+C103</f>
        <v>25925001</v>
      </c>
      <c r="D104" s="86">
        <f>D63+D81+D91+D103</f>
        <v>397511</v>
      </c>
      <c r="E104" s="86">
        <f>E63+E81+E91+E103</f>
        <v>1968995</v>
      </c>
      <c r="F104" s="86">
        <f>F63+F81+F91+F103</f>
        <v>0</v>
      </c>
      <c r="G104" s="86">
        <f>G63+G81+G103</f>
        <v>540000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8397977</v>
      </c>
      <c r="D109" s="24" t="s">
        <v>288</v>
      </c>
      <c r="E109" s="95">
        <f>('DOE25'!L277)+('DOE25'!L296)+('DOE25'!L315)</f>
        <v>649166</v>
      </c>
      <c r="F109" s="24" t="s">
        <v>288</v>
      </c>
      <c r="G109" s="24" t="s">
        <v>288</v>
      </c>
    </row>
    <row r="110" spans="1:7" x14ac:dyDescent="0.2">
      <c r="A110" t="s">
        <v>198</v>
      </c>
      <c r="B110" s="32" t="s">
        <v>199</v>
      </c>
      <c r="C110" s="95">
        <f>('DOE25'!L199)+('DOE25'!L217)+('DOE25'!L235)</f>
        <v>4413905</v>
      </c>
      <c r="D110" s="24" t="s">
        <v>288</v>
      </c>
      <c r="E110" s="95">
        <f>('DOE25'!L278)+('DOE25'!L297)+('DOE25'!L316)</f>
        <v>354418</v>
      </c>
      <c r="F110" s="24" t="s">
        <v>288</v>
      </c>
      <c r="G110" s="24" t="s">
        <v>288</v>
      </c>
    </row>
    <row r="111" spans="1:7" x14ac:dyDescent="0.2">
      <c r="A111" t="s">
        <v>200</v>
      </c>
      <c r="B111" s="32" t="s">
        <v>165</v>
      </c>
      <c r="C111" s="95">
        <f>('DOE25'!L200)+('DOE25'!L218)+('DOE25'!L236)</f>
        <v>407148</v>
      </c>
      <c r="D111" s="24" t="s">
        <v>288</v>
      </c>
      <c r="E111" s="95">
        <f>('DOE25'!L279)+('DOE25'!L298)+('DOE25'!L317)</f>
        <v>25272</v>
      </c>
      <c r="F111" s="24" t="s">
        <v>288</v>
      </c>
      <c r="G111" s="24" t="s">
        <v>288</v>
      </c>
    </row>
    <row r="112" spans="1:7" x14ac:dyDescent="0.2">
      <c r="A112" t="s">
        <v>201</v>
      </c>
      <c r="B112" s="32" t="s">
        <v>167</v>
      </c>
      <c r="C112" s="95">
        <f>('DOE25'!L201)+('DOE25'!L219)+('DOE25'!L237)</f>
        <v>424906</v>
      </c>
      <c r="D112" s="24" t="s">
        <v>288</v>
      </c>
      <c r="E112" s="95">
        <f>+('DOE25'!L280)+('DOE25'!L299)+('DOE25'!L318)</f>
        <v>56370</v>
      </c>
      <c r="F112" s="24" t="s">
        <v>288</v>
      </c>
      <c r="G112" s="24" t="s">
        <v>288</v>
      </c>
    </row>
    <row r="113" spans="1:7" x14ac:dyDescent="0.2">
      <c r="A113" t="s">
        <v>202</v>
      </c>
      <c r="B113" s="32" t="s">
        <v>169</v>
      </c>
      <c r="C113" s="95">
        <f>'DOE25'!L251</f>
        <v>0</v>
      </c>
      <c r="D113" s="24" t="s">
        <v>288</v>
      </c>
      <c r="E113" s="95">
        <f>+'DOE25'!L333</f>
        <v>34245</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13643936</v>
      </c>
      <c r="D115" s="86">
        <f>SUM(D109:D114)</f>
        <v>0</v>
      </c>
      <c r="E115" s="86">
        <f>SUM(E109:E114)</f>
        <v>1119471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1333102</v>
      </c>
      <c r="D118" s="24" t="s">
        <v>288</v>
      </c>
      <c r="E118" s="95">
        <f>+('DOE25'!L282)+('DOE25'!L301)+('DOE25'!L320)</f>
        <v>329980</v>
      </c>
      <c r="F118" s="24" t="s">
        <v>288</v>
      </c>
      <c r="G118" s="24" t="s">
        <v>288</v>
      </c>
    </row>
    <row r="119" spans="1:7" x14ac:dyDescent="0.2">
      <c r="A119" t="s">
        <v>208</v>
      </c>
      <c r="B119" s="32" t="s">
        <v>209</v>
      </c>
      <c r="C119" s="95">
        <f>('DOE25'!L204)+('DOE25'!L222)+('DOE25'!L240)</f>
        <v>862222</v>
      </c>
      <c r="D119" s="24" t="s">
        <v>288</v>
      </c>
      <c r="E119" s="95">
        <f>+('DOE25'!L283)+('DOE25'!L302)+('DOE25'!L321)</f>
        <v>59897</v>
      </c>
      <c r="F119" s="24" t="s">
        <v>288</v>
      </c>
      <c r="G119" s="24" t="s">
        <v>288</v>
      </c>
    </row>
    <row r="120" spans="1:7" x14ac:dyDescent="0.2">
      <c r="A120" t="s">
        <v>210</v>
      </c>
      <c r="B120" s="32" t="s">
        <v>211</v>
      </c>
      <c r="C120" s="95">
        <f>('DOE25'!L205)+('DOE25'!L223)+('DOE25'!L241)</f>
        <v>1737488.83</v>
      </c>
      <c r="D120" s="24" t="s">
        <v>288</v>
      </c>
      <c r="E120" s="95">
        <f>+('DOE25'!L284)+('DOE25'!L303)+('DOE25'!L322)</f>
        <v>207818</v>
      </c>
      <c r="F120" s="24" t="s">
        <v>288</v>
      </c>
      <c r="G120" s="24" t="s">
        <v>288</v>
      </c>
    </row>
    <row r="121" spans="1:7" x14ac:dyDescent="0.2">
      <c r="A121" t="s">
        <v>212</v>
      </c>
      <c r="B121" s="32" t="s">
        <v>213</v>
      </c>
      <c r="C121" s="95">
        <f>('DOE25'!L206)+('DOE25'!L224)+('DOE25'!L242)</f>
        <v>1534477.08</v>
      </c>
      <c r="D121" s="24" t="s">
        <v>288</v>
      </c>
      <c r="E121" s="95">
        <f>+('DOE25'!L285)+('DOE25'!L304)+('DOE25'!L323)</f>
        <v>18834</v>
      </c>
      <c r="F121" s="24" t="s">
        <v>288</v>
      </c>
      <c r="G121" s="24" t="s">
        <v>288</v>
      </c>
    </row>
    <row r="122" spans="1:7" x14ac:dyDescent="0.2">
      <c r="A122" t="s">
        <v>214</v>
      </c>
      <c r="B122" s="32" t="s">
        <v>215</v>
      </c>
      <c r="C122" s="95">
        <f>('DOE25'!L207)+('DOE25'!L225)+('DOE25'!L243)</f>
        <v>342863</v>
      </c>
      <c r="D122" s="24" t="s">
        <v>288</v>
      </c>
      <c r="E122" s="95">
        <f>+('DOE25'!L286)+('DOE25'!L305)+('DOE25'!L324)</f>
        <v>0</v>
      </c>
      <c r="F122" s="24" t="s">
        <v>288</v>
      </c>
      <c r="G122" s="24" t="s">
        <v>288</v>
      </c>
    </row>
    <row r="123" spans="1:7" x14ac:dyDescent="0.2">
      <c r="A123" t="s">
        <v>216</v>
      </c>
      <c r="B123" s="32" t="s">
        <v>217</v>
      </c>
      <c r="C123" s="95">
        <f>('DOE25'!L208)+('DOE25'!L226)+('DOE25'!L244)</f>
        <v>2043805.1</v>
      </c>
      <c r="D123" s="24" t="s">
        <v>288</v>
      </c>
      <c r="E123" s="95">
        <f>+('DOE25'!L287)+('DOE25'!L306)+('DOE25'!L325)</f>
        <v>34002</v>
      </c>
      <c r="F123" s="24" t="s">
        <v>288</v>
      </c>
      <c r="G123" s="24" t="s">
        <v>288</v>
      </c>
    </row>
    <row r="124" spans="1:7" x14ac:dyDescent="0.2">
      <c r="A124" t="s">
        <v>218</v>
      </c>
      <c r="B124" s="32" t="s">
        <v>219</v>
      </c>
      <c r="C124" s="95">
        <f>('DOE25'!L209)+('DOE25'!L227)+('DOE25'!L245+'DOE25'!L255)</f>
        <v>992797</v>
      </c>
      <c r="D124" s="24" t="s">
        <v>288</v>
      </c>
      <c r="E124" s="95">
        <f>+('DOE25'!L288)+('DOE25'!L307)+('DOE25'!L326)</f>
        <v>700</v>
      </c>
      <c r="F124" s="24" t="s">
        <v>288</v>
      </c>
      <c r="G124" s="24" t="s">
        <v>288</v>
      </c>
    </row>
    <row r="125" spans="1:7" x14ac:dyDescent="0.2">
      <c r="A125" t="s">
        <v>220</v>
      </c>
      <c r="B125" s="32" t="s">
        <v>221</v>
      </c>
      <c r="C125" s="95">
        <f>('DOE25'!L210)+('DOE25'!L228)+('DOE25'!L246)</f>
        <v>5000</v>
      </c>
      <c r="D125" s="24" t="s">
        <v>288</v>
      </c>
      <c r="E125" s="95">
        <f>+('DOE25'!L289)+('DOE25'!L308)+('DOE25'!L327)</f>
        <v>64654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403803</v>
      </c>
      <c r="E127" s="24" t="s">
        <v>288</v>
      </c>
      <c r="F127" s="24" t="s">
        <v>288</v>
      </c>
      <c r="G127" s="24" t="s">
        <v>288</v>
      </c>
    </row>
    <row r="128" spans="1:7" ht="12.75" thickTop="1" thickBot="1" x14ac:dyDescent="0.25">
      <c r="A128" s="33" t="s">
        <v>226</v>
      </c>
      <c r="C128" s="86">
        <f>SUM(C118:C127)</f>
        <v>8851755.0099999998</v>
      </c>
      <c r="D128" s="86">
        <f>SUM(D118:D127)</f>
        <v>403803</v>
      </c>
      <c r="E128" s="86">
        <f>SUM(E118:E127)</f>
        <v>715885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133639</v>
      </c>
      <c r="F130" s="129">
        <f>SUM('DOE25'!L375:'DOE25'!L381)</f>
        <v>0</v>
      </c>
      <c r="G130" s="24" t="s">
        <v>288</v>
      </c>
    </row>
    <row r="131" spans="1:7" x14ac:dyDescent="0.2">
      <c r="A131" t="s">
        <v>229</v>
      </c>
      <c r="B131" s="32">
        <v>5110</v>
      </c>
      <c r="C131" s="95">
        <f>'DOE25'!L261</f>
        <v>1028822</v>
      </c>
      <c r="D131" s="24" t="s">
        <v>288</v>
      </c>
      <c r="E131" s="129">
        <f>'DOE25'!L342</f>
        <v>0</v>
      </c>
      <c r="F131" s="24" t="s">
        <v>288</v>
      </c>
      <c r="G131" s="24" t="s">
        <v>288</v>
      </c>
    </row>
    <row r="132" spans="1:7" x14ac:dyDescent="0.2">
      <c r="A132" t="s">
        <v>230</v>
      </c>
      <c r="B132" s="32">
        <v>5120</v>
      </c>
      <c r="C132" s="95">
        <f>'DOE25'!L262</f>
        <v>67943.990000000005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450000</v>
      </c>
      <c r="D138" s="24" t="s">
        <v>288</v>
      </c>
      <c r="E138" s="24" t="s">
        <v>288</v>
      </c>
      <c r="F138" s="24" t="s">
        <v>288</v>
      </c>
      <c r="G138" s="24" t="s">
        <v>288</v>
      </c>
    </row>
    <row r="139" spans="1:7" x14ac:dyDescent="0.2">
      <c r="A139" t="s">
        <v>239</v>
      </c>
      <c r="B139" s="32">
        <v>5252</v>
      </c>
      <c r="C139" s="95">
        <f>'DOE25'!L402</f>
        <v>90000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1636765.99</v>
      </c>
      <c r="D144" s="141">
        <f>SUM(D130:D143)</f>
        <v>0</v>
      </c>
      <c r="E144" s="141">
        <f>SUM(E130:E143)</f>
        <v>133639</v>
      </c>
      <c r="F144" s="141">
        <f>SUM(F130:F143)</f>
        <v>0</v>
      </c>
      <c r="G144" s="141">
        <f>SUM(G130:G143)</f>
        <v>0</v>
      </c>
    </row>
    <row r="145" spans="1:9" ht="12.75" thickTop="1" thickBot="1" x14ac:dyDescent="0.25">
      <c r="A145" s="33" t="s">
        <v>244</v>
      </c>
      <c r="C145" s="86">
        <f>(C115+C128+C144)</f>
        <v>24132456.999999996</v>
      </c>
      <c r="D145" s="86">
        <f>(D115+D128+D144)</f>
        <v>403803</v>
      </c>
      <c r="E145" s="86">
        <f>(E115+E128+E144)</f>
        <v>1968995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15</v>
      </c>
      <c r="D151" s="153">
        <f>'DOE25'!H491</f>
        <v>0</v>
      </c>
      <c r="E151" s="153">
        <f>'DOE25'!I491</f>
        <v>0</v>
      </c>
      <c r="F151" s="153">
        <f>'DOE25'!J491</f>
        <v>0</v>
      </c>
      <c r="G151" s="24" t="s">
        <v>288</v>
      </c>
    </row>
    <row r="152" spans="1:9" x14ac:dyDescent="0.2">
      <c r="A152" s="136" t="s">
        <v>28</v>
      </c>
      <c r="B152" s="152" t="str">
        <f>'DOE25'!F492</f>
        <v>3/11</v>
      </c>
      <c r="C152" s="152" t="str">
        <f>'DOE25'!G492</f>
        <v>11/09</v>
      </c>
      <c r="D152" s="152">
        <f>'DOE25'!H492</f>
        <v>0</v>
      </c>
      <c r="E152" s="152">
        <f>'DOE25'!I492</f>
        <v>0</v>
      </c>
      <c r="F152" s="152">
        <f>'DOE25'!J492</f>
        <v>0</v>
      </c>
      <c r="G152" s="24" t="s">
        <v>288</v>
      </c>
    </row>
    <row r="153" spans="1:9" x14ac:dyDescent="0.2">
      <c r="A153" s="136" t="s">
        <v>29</v>
      </c>
      <c r="B153" s="152" t="str">
        <f>'DOE25'!F493</f>
        <v>8/21</v>
      </c>
      <c r="C153" s="152" t="str">
        <f>'DOE25'!G493</f>
        <v>12/25</v>
      </c>
      <c r="D153" s="152">
        <f>'DOE25'!H493</f>
        <v>0</v>
      </c>
      <c r="E153" s="152">
        <f>'DOE25'!I493</f>
        <v>0</v>
      </c>
      <c r="F153" s="152">
        <f>'DOE25'!J493</f>
        <v>0</v>
      </c>
      <c r="G153" s="24" t="s">
        <v>288</v>
      </c>
    </row>
    <row r="154" spans="1:9" x14ac:dyDescent="0.2">
      <c r="A154" s="136" t="s">
        <v>30</v>
      </c>
      <c r="B154" s="137">
        <f>'DOE25'!F494</f>
        <v>8625000</v>
      </c>
      <c r="C154" s="137">
        <f>'DOE25'!G494</f>
        <v>3396240</v>
      </c>
      <c r="D154" s="137">
        <f>'DOE25'!H494</f>
        <v>0</v>
      </c>
      <c r="E154" s="137">
        <f>'DOE25'!I494</f>
        <v>0</v>
      </c>
      <c r="F154" s="137">
        <f>'DOE25'!J494</f>
        <v>0</v>
      </c>
      <c r="G154" s="24" t="s">
        <v>288</v>
      </c>
    </row>
    <row r="155" spans="1:9" x14ac:dyDescent="0.2">
      <c r="A155" s="136" t="s">
        <v>31</v>
      </c>
      <c r="B155" s="137">
        <f>'DOE25'!F495</f>
        <v>3.19</v>
      </c>
      <c r="C155" s="137">
        <f>'DOE25'!G495</f>
        <v>1.4</v>
      </c>
      <c r="D155" s="137">
        <f>'DOE25'!H495</f>
        <v>0</v>
      </c>
      <c r="E155" s="137">
        <f>'DOE25'!I495</f>
        <v>0</v>
      </c>
      <c r="F155" s="137">
        <f>'DOE25'!J495</f>
        <v>0</v>
      </c>
      <c r="G155" s="24" t="s">
        <v>288</v>
      </c>
    </row>
    <row r="156" spans="1:9" x14ac:dyDescent="0.2">
      <c r="A156" s="22" t="s">
        <v>32</v>
      </c>
      <c r="B156" s="137">
        <f>'DOE25'!F496</f>
        <v>1595000</v>
      </c>
      <c r="C156" s="137">
        <f>'DOE25'!G496</f>
        <v>155679</v>
      </c>
      <c r="D156" s="137">
        <f>'DOE25'!H496</f>
        <v>0</v>
      </c>
      <c r="E156" s="137">
        <f>'DOE25'!I496</f>
        <v>0</v>
      </c>
      <c r="F156" s="137">
        <f>'DOE25'!J496</f>
        <v>0</v>
      </c>
      <c r="G156" s="138">
        <f>SUM(B156:F156)</f>
        <v>1750679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800000</v>
      </c>
      <c r="C158" s="137">
        <f>'DOE25'!G498</f>
        <v>228822</v>
      </c>
      <c r="D158" s="137">
        <f>'DOE25'!H498</f>
        <v>0</v>
      </c>
      <c r="E158" s="137">
        <f>'DOE25'!I498</f>
        <v>0</v>
      </c>
      <c r="F158" s="137">
        <f>'DOE25'!J498</f>
        <v>0</v>
      </c>
      <c r="G158" s="138">
        <f t="shared" si="0"/>
        <v>1028822</v>
      </c>
    </row>
    <row r="159" spans="1:9" x14ac:dyDescent="0.2">
      <c r="A159" s="22" t="s">
        <v>35</v>
      </c>
      <c r="B159" s="137">
        <f>'DOE25'!F499</f>
        <v>795000</v>
      </c>
      <c r="C159" s="137">
        <f>'DOE25'!G499</f>
        <v>926085</v>
      </c>
      <c r="D159" s="137">
        <f>'DOE25'!H499</f>
        <v>0</v>
      </c>
      <c r="E159" s="137">
        <f>'DOE25'!I499</f>
        <v>0</v>
      </c>
      <c r="F159" s="137">
        <f>'DOE25'!J499</f>
        <v>0</v>
      </c>
      <c r="G159" s="138">
        <f t="shared" si="0"/>
        <v>1721085</v>
      </c>
    </row>
    <row r="160" spans="1:9" x14ac:dyDescent="0.2">
      <c r="A160" s="22" t="s">
        <v>36</v>
      </c>
      <c r="B160" s="137">
        <f>'DOE25'!F500</f>
        <v>17887.5</v>
      </c>
      <c r="C160" s="137">
        <f>'DOE25'!G500</f>
        <v>32489</v>
      </c>
      <c r="D160" s="137">
        <f>'DOE25'!H500</f>
        <v>0</v>
      </c>
      <c r="E160" s="137">
        <f>'DOE25'!I500</f>
        <v>0</v>
      </c>
      <c r="F160" s="137">
        <f>'DOE25'!J500</f>
        <v>0</v>
      </c>
      <c r="G160" s="138">
        <f t="shared" si="0"/>
        <v>50376.5</v>
      </c>
    </row>
    <row r="161" spans="1:7" x14ac:dyDescent="0.2">
      <c r="A161" s="22" t="s">
        <v>37</v>
      </c>
      <c r="B161" s="137">
        <f>'DOE25'!F501</f>
        <v>812887.5</v>
      </c>
      <c r="C161" s="137">
        <f>'DOE25'!G501</f>
        <v>958574</v>
      </c>
      <c r="D161" s="137">
        <f>'DOE25'!H501</f>
        <v>0</v>
      </c>
      <c r="E161" s="137">
        <f>'DOE25'!I501</f>
        <v>0</v>
      </c>
      <c r="F161" s="137">
        <f>'DOE25'!J501</f>
        <v>0</v>
      </c>
      <c r="G161" s="138">
        <f t="shared" si="0"/>
        <v>1771461.5</v>
      </c>
    </row>
    <row r="162" spans="1:7" x14ac:dyDescent="0.2">
      <c r="A162" s="22" t="s">
        <v>38</v>
      </c>
      <c r="B162" s="137">
        <f>'DOE25'!F502</f>
        <v>795000</v>
      </c>
      <c r="C162" s="137">
        <f>'DOE25'!G502</f>
        <v>229896</v>
      </c>
      <c r="D162" s="137">
        <f>'DOE25'!H502</f>
        <v>0</v>
      </c>
      <c r="E162" s="137">
        <f>'DOE25'!I502</f>
        <v>0</v>
      </c>
      <c r="F162" s="137">
        <f>'DOE25'!J502</f>
        <v>0</v>
      </c>
      <c r="G162" s="138">
        <f t="shared" si="0"/>
        <v>1024896</v>
      </c>
    </row>
    <row r="163" spans="1:7" x14ac:dyDescent="0.2">
      <c r="A163" s="22" t="s">
        <v>39</v>
      </c>
      <c r="B163" s="137">
        <f>'DOE25'!F503</f>
        <v>17887.5</v>
      </c>
      <c r="C163" s="137">
        <f>'DOE25'!G503</f>
        <v>12965</v>
      </c>
      <c r="D163" s="137">
        <f>'DOE25'!H503</f>
        <v>0</v>
      </c>
      <c r="E163" s="137">
        <f>'DOE25'!I503</f>
        <v>0</v>
      </c>
      <c r="F163" s="137">
        <f>'DOE25'!J503</f>
        <v>0</v>
      </c>
      <c r="G163" s="138">
        <f t="shared" si="0"/>
        <v>30852.5</v>
      </c>
    </row>
    <row r="164" spans="1:7" x14ac:dyDescent="0.2">
      <c r="A164" s="22" t="s">
        <v>246</v>
      </c>
      <c r="B164" s="137">
        <f>'DOE25'!F504</f>
        <v>812887.5</v>
      </c>
      <c r="C164" s="137">
        <f>'DOE25'!G504</f>
        <v>242861</v>
      </c>
      <c r="D164" s="137">
        <f>'DOE25'!H504</f>
        <v>0</v>
      </c>
      <c r="E164" s="137">
        <f>'DOE25'!I504</f>
        <v>0</v>
      </c>
      <c r="F164" s="137">
        <f>'DOE25'!J504</f>
        <v>0</v>
      </c>
      <c r="G164" s="138">
        <f t="shared" si="0"/>
        <v>1055748.5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7" workbookViewId="0">
      <selection activeCell="C5" sqref="C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Winnisquam</v>
      </c>
    </row>
    <row r="3" spans="1:4" x14ac:dyDescent="0.2">
      <c r="B3" s="188" t="s">
        <v>1666</v>
      </c>
    </row>
    <row r="4" spans="1:4" x14ac:dyDescent="0.2">
      <c r="B4" t="s">
        <v>61</v>
      </c>
      <c r="C4" s="179">
        <f>IF('DOE25'!F666+'DOE25'!F671=0,0,ROUND('DOE25'!F673,0))</f>
        <v>19045</v>
      </c>
    </row>
    <row r="5" spans="1:4" x14ac:dyDescent="0.2">
      <c r="B5" t="s">
        <v>700</v>
      </c>
      <c r="C5" s="179">
        <f>IF('DOE25'!G666+'DOE25'!G671=0,0,ROUND('DOE25'!G673,0))</f>
        <v>18491</v>
      </c>
    </row>
    <row r="6" spans="1:4" x14ac:dyDescent="0.2">
      <c r="B6" t="s">
        <v>62</v>
      </c>
      <c r="C6" s="179">
        <f>IF('DOE25'!H666+'DOE25'!H671=0,0,ROUND('DOE25'!H673,0))</f>
        <v>16876</v>
      </c>
    </row>
    <row r="7" spans="1:4" x14ac:dyDescent="0.2">
      <c r="B7" t="s">
        <v>701</v>
      </c>
      <c r="C7" s="179">
        <f>IF('DOE25'!I666+'DOE25'!I671=0,0,ROUND('DOE25'!I673,0))</f>
        <v>18157</v>
      </c>
    </row>
    <row r="9" spans="1:4" x14ac:dyDescent="0.2">
      <c r="A9" s="187" t="s">
        <v>94</v>
      </c>
      <c r="B9" s="188" t="s">
        <v>1671</v>
      </c>
      <c r="C9" s="181" t="s">
        <v>720</v>
      </c>
      <c r="D9" s="181" t="s">
        <v>721</v>
      </c>
    </row>
    <row r="10" spans="1:4" x14ac:dyDescent="0.2">
      <c r="A10">
        <v>1100</v>
      </c>
      <c r="B10" t="s">
        <v>702</v>
      </c>
      <c r="C10" s="179">
        <f>ROUND('DOE25'!L198+'DOE25'!L216+'DOE25'!L234+'DOE25'!L277+'DOE25'!L296+'DOE25'!L315,0)</f>
        <v>9047143</v>
      </c>
      <c r="D10" s="182">
        <f>ROUND((C10/$C$28)*100,1)</f>
        <v>36.5</v>
      </c>
    </row>
    <row r="11" spans="1:4" x14ac:dyDescent="0.2">
      <c r="A11">
        <v>1200</v>
      </c>
      <c r="B11" t="s">
        <v>703</v>
      </c>
      <c r="C11" s="179">
        <f>ROUND('DOE25'!L199+'DOE25'!L217+'DOE25'!L235+'DOE25'!L278+'DOE25'!L297+'DOE25'!L316,0)</f>
        <v>4768323</v>
      </c>
      <c r="D11" s="182">
        <f>ROUND((C11/$C$28)*100,1)</f>
        <v>19.3</v>
      </c>
    </row>
    <row r="12" spans="1:4" x14ac:dyDescent="0.2">
      <c r="A12">
        <v>1300</v>
      </c>
      <c r="B12" t="s">
        <v>704</v>
      </c>
      <c r="C12" s="179">
        <f>ROUND('DOE25'!L200+'DOE25'!L218+'DOE25'!L236+'DOE25'!L279+'DOE25'!L298+'DOE25'!L317,0)</f>
        <v>432420</v>
      </c>
      <c r="D12" s="182">
        <f>ROUND((C12/$C$28)*100,1)</f>
        <v>1.7</v>
      </c>
    </row>
    <row r="13" spans="1:4" x14ac:dyDescent="0.2">
      <c r="A13">
        <v>1400</v>
      </c>
      <c r="B13" t="s">
        <v>705</v>
      </c>
      <c r="C13" s="179">
        <f>ROUND('DOE25'!L201+'DOE25'!L219+'DOE25'!L237+'DOE25'!L280+'DOE25'!L299+'DOE25'!L318,0)</f>
        <v>481276</v>
      </c>
      <c r="D13" s="182">
        <f>ROUND((C13/$C$28)*100,1)</f>
        <v>1.9</v>
      </c>
    </row>
    <row r="14" spans="1:4" x14ac:dyDescent="0.2">
      <c r="D14" s="182"/>
    </row>
    <row r="15" spans="1:4" x14ac:dyDescent="0.2">
      <c r="A15">
        <v>2100</v>
      </c>
      <c r="B15" t="s">
        <v>706</v>
      </c>
      <c r="C15" s="179">
        <f>ROUND('DOE25'!L203+'DOE25'!L221+'DOE25'!L239+'DOE25'!L282+'DOE25'!L301+'DOE25'!L320,0)</f>
        <v>1663082</v>
      </c>
      <c r="D15" s="182">
        <f t="shared" ref="D15:D27" si="0">ROUND((C15/$C$28)*100,1)</f>
        <v>6.7</v>
      </c>
    </row>
    <row r="16" spans="1:4" x14ac:dyDescent="0.2">
      <c r="A16">
        <v>2200</v>
      </c>
      <c r="B16" t="s">
        <v>707</v>
      </c>
      <c r="C16" s="179">
        <f>ROUND('DOE25'!L204+'DOE25'!L222+'DOE25'!L240+'DOE25'!L283+'DOE25'!L302+'DOE25'!L321,0)</f>
        <v>922119</v>
      </c>
      <c r="D16" s="182">
        <f t="shared" si="0"/>
        <v>3.7</v>
      </c>
    </row>
    <row r="17" spans="1:4" x14ac:dyDescent="0.2">
      <c r="A17" s="183" t="s">
        <v>723</v>
      </c>
      <c r="B17" t="s">
        <v>738</v>
      </c>
      <c r="C17" s="179">
        <f>ROUND('DOE25'!L205+'DOE25'!L210+'DOE25'!L223+'DOE25'!L228+'DOE25'!L241+'DOE25'!L246+'DOE25'!L284+'DOE25'!L289+'DOE25'!L303+'DOE25'!L308+'DOE25'!L322+'DOE25'!L327,0)</f>
        <v>2014961</v>
      </c>
      <c r="D17" s="182">
        <f t="shared" si="0"/>
        <v>8.1</v>
      </c>
    </row>
    <row r="18" spans="1:4" x14ac:dyDescent="0.2">
      <c r="A18">
        <v>2400</v>
      </c>
      <c r="B18" t="s">
        <v>711</v>
      </c>
      <c r="C18" s="179">
        <f>ROUND('DOE25'!L206+'DOE25'!L224+'DOE25'!L242+'DOE25'!L285+'DOE25'!L304+'DOE25'!L323,0)</f>
        <v>1553311</v>
      </c>
      <c r="D18" s="182">
        <f t="shared" si="0"/>
        <v>6.3</v>
      </c>
    </row>
    <row r="19" spans="1:4" x14ac:dyDescent="0.2">
      <c r="A19">
        <v>2500</v>
      </c>
      <c r="B19" t="s">
        <v>708</v>
      </c>
      <c r="C19" s="179">
        <f>ROUND('DOE25'!L207+'DOE25'!L225+'DOE25'!L243+'DOE25'!L286+'DOE25'!L305+'DOE25'!L324,0)</f>
        <v>342863</v>
      </c>
      <c r="D19" s="182">
        <f t="shared" si="0"/>
        <v>1.4</v>
      </c>
    </row>
    <row r="20" spans="1:4" x14ac:dyDescent="0.2">
      <c r="A20">
        <v>2600</v>
      </c>
      <c r="B20" t="s">
        <v>709</v>
      </c>
      <c r="C20" s="179">
        <f>ROUND('DOE25'!L208+'DOE25'!L226+'DOE25'!L244+'DOE25'!L287+'DOE25'!L306+'DOE25'!L325,0)</f>
        <v>2077807</v>
      </c>
      <c r="D20" s="182">
        <f t="shared" si="0"/>
        <v>8.4</v>
      </c>
    </row>
    <row r="21" spans="1:4" x14ac:dyDescent="0.2">
      <c r="A21">
        <v>2700</v>
      </c>
      <c r="B21" t="s">
        <v>710</v>
      </c>
      <c r="C21" s="179">
        <f>ROUND('DOE25'!L209+'DOE25'!L227+'DOE25'!L245+'DOE25'!L288+'DOE25'!L307+'DOE25'!L326,0)</f>
        <v>993497</v>
      </c>
      <c r="D21" s="182">
        <f t="shared" si="0"/>
        <v>4</v>
      </c>
    </row>
    <row r="22" spans="1:4" x14ac:dyDescent="0.2">
      <c r="A22">
        <v>2900</v>
      </c>
      <c r="B22" t="s">
        <v>712</v>
      </c>
      <c r="C22" s="179">
        <v>0</v>
      </c>
      <c r="D22" s="182">
        <f t="shared" si="0"/>
        <v>0</v>
      </c>
    </row>
    <row r="23" spans="1:4" x14ac:dyDescent="0.2">
      <c r="A23">
        <v>1500</v>
      </c>
      <c r="B23" t="s">
        <v>714</v>
      </c>
      <c r="C23" s="179">
        <f>ROUND('DOE25'!L251+'DOE25'!L333,0)</f>
        <v>34245</v>
      </c>
      <c r="D23" s="182">
        <f t="shared" si="0"/>
        <v>0.1</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67944</v>
      </c>
      <c r="D25" s="182">
        <f t="shared" si="0"/>
        <v>0.3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362522</v>
      </c>
      <c r="D27" s="182">
        <f t="shared" si="0"/>
        <v>1.5</v>
      </c>
    </row>
    <row r="28" spans="1:4" x14ac:dyDescent="0.2">
      <c r="B28" s="187" t="s">
        <v>719</v>
      </c>
      <c r="C28" s="180">
        <f>SUM(C10:C27)</f>
        <v>24761513</v>
      </c>
      <c r="D28" s="184">
        <f>ROUND(SUM(D10:D27),0)</f>
        <v>100</v>
      </c>
    </row>
    <row r="29" spans="1:4" x14ac:dyDescent="0.2">
      <c r="A29">
        <v>4000</v>
      </c>
      <c r="B29" t="s">
        <v>724</v>
      </c>
      <c r="C29" s="179">
        <f>ROUND('DOE25'!L256+'DOE25'!L337+'DOE25'!L375+'DOE25'!L376+'DOE25'!L377+'DOE25'!L378+'DOE25'!L379+'DOE25'!L380+'DOE25'!L381,0)</f>
        <v>133639</v>
      </c>
    </row>
    <row r="30" spans="1:4" x14ac:dyDescent="0.2">
      <c r="B30" s="187" t="s">
        <v>725</v>
      </c>
      <c r="C30" s="180">
        <f>SUM(C28:C29)</f>
        <v>24895152</v>
      </c>
    </row>
    <row r="31" spans="1:4" x14ac:dyDescent="0.2">
      <c r="B31" s="33"/>
      <c r="C31" s="180"/>
    </row>
    <row r="32" spans="1:4" x14ac:dyDescent="0.2">
      <c r="A32">
        <v>5100</v>
      </c>
      <c r="B32" s="33" t="s">
        <v>726</v>
      </c>
      <c r="C32" s="180">
        <f>ROUND('DOE25'!L261+'DOE25'!L342,0)</f>
        <v>1028822</v>
      </c>
    </row>
    <row r="34" spans="1:4" x14ac:dyDescent="0.2">
      <c r="A34" s="187" t="s">
        <v>94</v>
      </c>
      <c r="B34" s="188" t="s">
        <v>1667</v>
      </c>
      <c r="C34" s="181" t="s">
        <v>720</v>
      </c>
      <c r="D34" s="181" t="s">
        <v>721</v>
      </c>
    </row>
    <row r="35" spans="1:4" x14ac:dyDescent="0.2">
      <c r="A35">
        <v>1100</v>
      </c>
      <c r="B35" s="185" t="s">
        <v>727</v>
      </c>
      <c r="C35" s="179">
        <f>ROUND('DOE25'!F60+'DOE25'!G60+'DOE25'!H60+'DOE25'!I60+'DOE25'!J60,0)</f>
        <v>14661565</v>
      </c>
      <c r="D35" s="182">
        <f t="shared" ref="D35:D40" si="1">ROUND((C35/$C$41)*100,1)</f>
        <v>51.9</v>
      </c>
    </row>
    <row r="36" spans="1:4" x14ac:dyDescent="0.2">
      <c r="B36" s="185" t="s">
        <v>739</v>
      </c>
      <c r="C36" s="179">
        <f>SUM('DOE25'!F112:J112)-SUM('DOE25'!G97:G110)+('DOE25'!F175+'DOE25'!F176+'DOE25'!I175+'DOE25'!I176)-C35</f>
        <v>137946</v>
      </c>
      <c r="D36" s="182">
        <f t="shared" si="1"/>
        <v>0.5</v>
      </c>
    </row>
    <row r="37" spans="1:4" x14ac:dyDescent="0.2">
      <c r="A37" s="183" t="s">
        <v>835</v>
      </c>
      <c r="B37" s="185" t="s">
        <v>728</v>
      </c>
      <c r="C37" s="179">
        <f>ROUND('DOE25'!F117+'DOE25'!F118,0)</f>
        <v>10151294</v>
      </c>
      <c r="D37" s="182">
        <f t="shared" si="1"/>
        <v>35.9</v>
      </c>
    </row>
    <row r="38" spans="1:4" x14ac:dyDescent="0.2">
      <c r="A38" s="183" t="s">
        <v>734</v>
      </c>
      <c r="B38" s="185" t="s">
        <v>729</v>
      </c>
      <c r="C38" s="179">
        <f>ROUND(SUM('DOE25'!F140:J140)-SUM('DOE25'!F117:F119),0)</f>
        <v>892932</v>
      </c>
      <c r="D38" s="182">
        <f t="shared" si="1"/>
        <v>3.2</v>
      </c>
    </row>
    <row r="39" spans="1:4" x14ac:dyDescent="0.2">
      <c r="A39">
        <v>4000</v>
      </c>
      <c r="B39" s="185" t="s">
        <v>730</v>
      </c>
      <c r="C39" s="179">
        <f>ROUND('DOE25'!F170+'DOE25'!G170+'DOE25'!H170+'DOE25'!I170,0)</f>
        <v>2406489</v>
      </c>
      <c r="D39" s="182">
        <f t="shared" si="1"/>
        <v>8.5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28250226</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Winnisquam</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2021-10-01T15:47:21Z</cp:lastPrinted>
  <dcterms:created xsi:type="dcterms:W3CDTF">1997-12-04T19:04:30Z</dcterms:created>
  <dcterms:modified xsi:type="dcterms:W3CDTF">2021-12-14T20:02:57Z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