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B6A4F601-70CE-42AF-8CAC-3AE3BF76E03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450" yWindow="270" windowWidth="15825" windowHeight="1563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'DOE25'!$A$1:$L$657</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H28" i="2" s="1"/>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H653" i="1"/>
  <c r="G654" i="1"/>
  <c r="H654" i="1"/>
  <c r="H655" i="1"/>
  <c r="H656" i="1"/>
  <c r="I170" i="1"/>
  <c r="H17" i="2" l="1"/>
  <c r="C12" i="10"/>
  <c r="I409" i="1"/>
  <c r="H102" i="2"/>
  <c r="H101" i="2"/>
  <c r="H100" i="2"/>
  <c r="H99" i="2"/>
  <c r="H98" i="2"/>
  <c r="H79" i="2"/>
  <c r="H76" i="2"/>
  <c r="H73" i="2"/>
  <c r="H58" i="2"/>
  <c r="H15" i="2"/>
  <c r="H143" i="2"/>
  <c r="H113" i="2"/>
  <c r="H132" i="2"/>
  <c r="H36" i="2"/>
  <c r="H38" i="2"/>
  <c r="H43" i="2"/>
  <c r="H44" i="2"/>
  <c r="H48" i="2"/>
  <c r="D144" i="2"/>
  <c r="H119" i="2"/>
  <c r="H97" i="2"/>
  <c r="H96" i="2"/>
  <c r="H87" i="2"/>
  <c r="H80" i="2"/>
  <c r="H77" i="2"/>
  <c r="H61" i="2"/>
  <c r="H22" i="2"/>
  <c r="H12" i="2"/>
  <c r="E121" i="2"/>
  <c r="H121" i="2" s="1"/>
  <c r="H30" i="2"/>
  <c r="H137" i="2"/>
  <c r="H112" i="2"/>
  <c r="H89" i="2"/>
  <c r="H35" i="2"/>
  <c r="H34" i="2"/>
  <c r="H13" i="2"/>
  <c r="H9" i="2"/>
  <c r="H131" i="2"/>
  <c r="J652" i="1"/>
  <c r="H8" i="2"/>
  <c r="H59" i="2"/>
  <c r="G62" i="2"/>
  <c r="G63" i="2" s="1"/>
  <c r="H23" i="2"/>
  <c r="H11" i="2"/>
  <c r="H477" i="1"/>
  <c r="H625" i="1" s="1"/>
  <c r="G663" i="1"/>
  <c r="D15" i="13"/>
  <c r="C15" i="13" s="1"/>
  <c r="C120" i="2"/>
  <c r="H120" i="2" s="1"/>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E128" i="2" s="1"/>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H109" i="2" s="1"/>
  <c r="L230" i="1"/>
  <c r="L338" i="1"/>
  <c r="F62" i="2"/>
  <c r="F63" i="2" s="1"/>
  <c r="C23" i="10"/>
  <c r="G163" i="2"/>
  <c r="G162" i="2"/>
  <c r="G160" i="2"/>
  <c r="G159" i="2"/>
  <c r="G158" i="2"/>
  <c r="G103" i="2"/>
  <c r="F103" i="2"/>
  <c r="C103" i="2"/>
  <c r="H103" i="2" s="1"/>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91" i="2" l="1"/>
  <c r="H134" i="2"/>
  <c r="H16" i="2"/>
  <c r="D128" i="2"/>
  <c r="D145" i="2" s="1"/>
  <c r="H127" i="2"/>
  <c r="L572" i="1"/>
  <c r="D51" i="2"/>
  <c r="H42" i="2"/>
  <c r="F194" i="1"/>
  <c r="G24" i="14"/>
  <c r="H24" i="14" s="1"/>
  <c r="I24" i="14" s="1"/>
  <c r="H62" i="2"/>
  <c r="H21" i="2"/>
  <c r="H57" i="2"/>
  <c r="H85" i="2"/>
  <c r="F661" i="1"/>
  <c r="H50" i="2"/>
  <c r="H18" i="2"/>
  <c r="E51" i="2"/>
  <c r="H31" i="2"/>
  <c r="H118" i="2"/>
  <c r="E115" i="2"/>
  <c r="E145" i="2" s="1"/>
  <c r="I663" i="1"/>
  <c r="C81" i="2"/>
  <c r="H81" i="2" s="1"/>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H51" i="2" s="1"/>
  <c r="G632" i="1"/>
  <c r="J632" i="1" s="1"/>
  <c r="G194" i="1"/>
  <c r="G629" i="1" s="1"/>
  <c r="J629" i="1" s="1"/>
  <c r="G627" i="1"/>
  <c r="J627" i="1" s="1"/>
  <c r="J52" i="1"/>
  <c r="H622" i="1" s="1"/>
  <c r="J622" i="1" s="1"/>
  <c r="C38" i="10"/>
  <c r="H128" i="2" l="1"/>
  <c r="H115" i="2"/>
  <c r="C144" i="2"/>
  <c r="H144" i="2" s="1"/>
  <c r="H141" i="2"/>
  <c r="H673" i="1"/>
  <c r="C6" i="10" s="1"/>
  <c r="C104" i="2"/>
  <c r="H104" i="2" s="1"/>
  <c r="H63" i="2"/>
  <c r="F145"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<sst xmlns="http://schemas.openxmlformats.org/spreadsheetml/2006/main" count="6529" uniqueCount="1802">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</sst>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32" zoomScaleNormal="100" workbookViewId="0">
      <selection activeCell="I670" sqref="I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1772</v>
      </c>
      <c r="B2" s="126">
        <f>INDEX('School Tables'!$AH$3:$AH$208,MATCH('DOE25'!A2,'School Tables'!$AJ$3:$AJ$208,0))</f>
        <v>5</v>
      </c>
      <c r="C2" s="126">
        <f>INDEX('School Tables'!$AI$3:$AI$208,MATCH('DOE25'!A2,'School Tables'!$AJ$3:$AJ$208,0))</f>
        <v>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177656.13</v>
      </c>
      <c r="G9" s="18"/>
      <c r="H9" s="18"/>
      <c r="I9" s="18"/>
      <c r="J9" s="67">
        <f>SUM(I440)</f>
        <v>126551.82</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24818.66</v>
      </c>
      <c r="G12" s="18"/>
      <c r="H12" s="18">
        <v>23741.15</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v>1729.33</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202474.79</v>
      </c>
      <c r="G19" s="41">
        <f>SUM(G9:G18)</f>
        <v>0</v>
      </c>
      <c r="H19" s="41">
        <f>SUM(H9:H18)</f>
        <v>25470.480000000003</v>
      </c>
      <c r="I19" s="41">
        <f>SUM(I9:I18)</f>
        <v>0</v>
      </c>
      <c r="J19" s="41">
        <f>SUM(J9:J18)</f>
        <v>126551.82</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23741.15</v>
      </c>
      <c r="G22" s="18"/>
      <c r="H22" s="18">
        <v>24818.66</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52426.2</v>
      </c>
      <c r="G24" s="18"/>
      <c r="H24" s="18">
        <v>651.82000000000005</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19930.599999999999</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96097.950000000012</v>
      </c>
      <c r="G32" s="41">
        <f>SUM(G22:G31)</f>
        <v>0</v>
      </c>
      <c r="H32" s="41">
        <f>SUM(H22:H31)</f>
        <v>25470.48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126551.82</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106376.84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106376.84</v>
      </c>
      <c r="G51" s="41">
        <f>SUM(G35:G50)</f>
        <v>0</v>
      </c>
      <c r="H51" s="41">
        <f>SUM(H35:H50)</f>
        <v>0</v>
      </c>
      <c r="I51" s="41">
        <f>SUM(I35:I50)</f>
        <v>0</v>
      </c>
      <c r="J51" s="41">
        <f>SUM(J35:J50)</f>
        <v>126551.82</v>
      </c>
      <c r="K51" s="45" t="s">
        <v>288</v>
      </c>
      <c r="L51" s="45" t="s">
        <v>288</v>
      </c>
      <c r="N51" s="263"/>
    </row>
    <row r="52" spans="1:14" s="3" customFormat="1" ht="12.2" customHeight="1" thickTop="1" x14ac:dyDescent="0.15">
      <c r="A52" s="38" t="s">
        <v>455</v>
      </c>
      <c r="B52" s="39" t="s">
        <v>289</v>
      </c>
      <c r="C52" s="6">
        <v>37</v>
      </c>
      <c r="D52" s="39" t="s">
        <v>653</v>
      </c>
      <c r="E52" s="39"/>
      <c r="F52" s="41">
        <f>F51+F32</f>
        <v>202474.79</v>
      </c>
      <c r="G52" s="41">
        <f>G51+G32</f>
        <v>0</v>
      </c>
      <c r="H52" s="41">
        <f>H51+H32</f>
        <v>25470.48</v>
      </c>
      <c r="I52" s="41">
        <f>I51+I32</f>
        <v>0</v>
      </c>
      <c r="J52" s="41">
        <f>J51+J32</f>
        <v>126551.82</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986166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986166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130.76</v>
      </c>
      <c r="G96" s="18"/>
      <c r="H96" s="18"/>
      <c r="I96" s="18"/>
      <c r="J96" s="18">
        <v>364.57</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130.76</v>
      </c>
      <c r="G111" s="41">
        <f>SUM(G96:G110)</f>
        <v>0</v>
      </c>
      <c r="H111" s="41">
        <f>SUM(H96:H110)</f>
        <v>0</v>
      </c>
      <c r="I111" s="41">
        <f>SUM(I96:I110)</f>
        <v>0</v>
      </c>
      <c r="J111" s="41">
        <f>SUM(J96:J110)</f>
        <v>364.57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986296.76</v>
      </c>
      <c r="G112" s="41">
        <f>G60+G111</f>
        <v>0</v>
      </c>
      <c r="H112" s="41">
        <f>H60+H79+H94+H111</f>
        <v>0</v>
      </c>
      <c r="I112" s="41">
        <f>I60+I111</f>
        <v>0</v>
      </c>
      <c r="J112" s="41">
        <f>J60+J111</f>
        <v>364.57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599061.77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219219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822271.19000000006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822271.19000000006</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10517.76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607.58000000000004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607.58000000000004</v>
      </c>
      <c r="G163" s="41">
        <f>SUM(G150:G162)</f>
        <v>0</v>
      </c>
      <c r="H163" s="41">
        <f>SUM(H150:H162)</f>
        <v>10517.76</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17751.5</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18359.080000000002</v>
      </c>
      <c r="G170" s="41">
        <f>G147+G163+SUM(G164:G169)</f>
        <v>0</v>
      </c>
      <c r="H170" s="41">
        <f>H147+H163+SUM(H164:H169)</f>
        <v>10517.76</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1826927.0300000003</v>
      </c>
      <c r="G194" s="47">
        <f>G112+G140+G170+G193</f>
        <v>0</v>
      </c>
      <c r="H194" s="47">
        <f>H112+H140+H170+H193</f>
        <v>10517.76</v>
      </c>
      <c r="I194" s="47">
        <f>I112+I140+I170+I193</f>
        <v>0</v>
      </c>
      <c r="J194" s="47">
        <f>J112+J140+J193</f>
        <v>364.57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879540</v>
      </c>
      <c r="I198" s="18"/>
      <c r="J198" s="18"/>
      <c r="K198" s="18"/>
      <c r="L198" s="19">
        <f>SUM(F198:K198)</f>
        <v>879540</v>
      </c>
      <c r="M198" s="8"/>
      <c r="N198" s="265"/>
    </row>
    <row r="199" spans="1:14" s="3" customFormat="1" ht="12.2" customHeight="1" x14ac:dyDescent="0.15">
      <c r="A199" s="1" t="s">
        <v>439</v>
      </c>
      <c r="B199" s="2" t="s">
        <v>341</v>
      </c>
      <c r="C199" s="2" t="s">
        <v>291</v>
      </c>
      <c r="D199" s="2" t="s">
        <v>431</v>
      </c>
      <c r="E199" s="6">
        <v>1200</v>
      </c>
      <c r="F199" s="18"/>
      <c r="G199" s="18"/>
      <c r="H199" s="18">
        <v>65358.03</v>
      </c>
      <c r="I199" s="18"/>
      <c r="J199" s="18"/>
      <c r="K199" s="18"/>
      <c r="L199" s="19">
        <f>SUM(F199:K199)</f>
        <v>65358.03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v>7247.33</v>
      </c>
      <c r="I203" s="18"/>
      <c r="J203" s="18"/>
      <c r="K203" s="18"/>
      <c r="L203" s="19">
        <f t="shared" ref="L203:L209" si="0">SUM(F203:K203)</f>
        <v>7247.33</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c r="G205" s="18"/>
      <c r="H205" s="18">
        <v>19067.810000000001</v>
      </c>
      <c r="I205" s="18"/>
      <c r="J205" s="18"/>
      <c r="K205" s="18"/>
      <c r="L205" s="19">
        <f t="shared" si="0"/>
        <v>19067.810000000001</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54321.35</v>
      </c>
      <c r="I209" s="18"/>
      <c r="J209" s="18"/>
      <c r="K209" s="18"/>
      <c r="L209" s="19">
        <f t="shared" si="0"/>
        <v>54321.35</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1025534.52</v>
      </c>
      <c r="I212" s="41">
        <f t="shared" si="1"/>
        <v>0</v>
      </c>
      <c r="J212" s="41">
        <f t="shared" si="1"/>
        <v>0</v>
      </c>
      <c r="K212" s="41">
        <f t="shared" si="1"/>
        <v>0</v>
      </c>
      <c r="L212" s="41">
        <f t="shared" si="1"/>
        <v>1025534.52</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158464</v>
      </c>
      <c r="I216" s="18"/>
      <c r="J216" s="18"/>
      <c r="K216" s="18"/>
      <c r="L216" s="19">
        <f>SUM(F216:K216)</f>
        <v>158464</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v>5208.83</v>
      </c>
      <c r="I223" s="18"/>
      <c r="J223" s="18"/>
      <c r="K223" s="18"/>
      <c r="L223" s="19">
        <f t="shared" si="2"/>
        <v>5208.83</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14839.19</v>
      </c>
      <c r="I227" s="18"/>
      <c r="J227" s="18"/>
      <c r="K227" s="18"/>
      <c r="L227" s="19">
        <f t="shared" si="2"/>
        <v>14839.19</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178512.02</v>
      </c>
      <c r="I230" s="41">
        <f>SUM(I216:I229)</f>
        <v>0</v>
      </c>
      <c r="J230" s="41">
        <f>SUM(J216:J229)</f>
        <v>0</v>
      </c>
      <c r="K230" s="41">
        <f t="shared" si="3"/>
        <v>0</v>
      </c>
      <c r="L230" s="41">
        <f t="shared" si="3"/>
        <v>178512.02</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539250</v>
      </c>
      <c r="I234" s="18"/>
      <c r="J234" s="18"/>
      <c r="K234" s="18"/>
      <c r="L234" s="19">
        <f>SUM(F234:K234)</f>
        <v>539250</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v>12997.53</v>
      </c>
      <c r="I241" s="18"/>
      <c r="J241" s="18"/>
      <c r="K241" s="18"/>
      <c r="L241" s="19">
        <f t="shared" si="4"/>
        <v>12997.53</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37028.03</v>
      </c>
      <c r="I245" s="18"/>
      <c r="J245" s="18"/>
      <c r="K245" s="18"/>
      <c r="L245" s="19">
        <f t="shared" si="4"/>
        <v>37028.03</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589275.56000000006</v>
      </c>
      <c r="I248" s="41">
        <f t="shared" si="5"/>
        <v>0</v>
      </c>
      <c r="J248" s="41">
        <f t="shared" si="5"/>
        <v>0</v>
      </c>
      <c r="K248" s="41">
        <f t="shared" si="5"/>
        <v>0</v>
      </c>
      <c r="L248" s="41">
        <f t="shared" si="5"/>
        <v>589275.56000000006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1793322.1</v>
      </c>
      <c r="I258" s="41">
        <f t="shared" si="8"/>
        <v>0</v>
      </c>
      <c r="J258" s="41">
        <f t="shared" si="8"/>
        <v>0</v>
      </c>
      <c r="K258" s="41">
        <f t="shared" si="8"/>
        <v>0</v>
      </c>
      <c r="L258" s="41">
        <f t="shared" si="8"/>
        <v>1793322.1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5"/>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1793322.1</v>
      </c>
      <c r="I272" s="42">
        <f t="shared" si="11"/>
        <v>0</v>
      </c>
      <c r="J272" s="42">
        <f t="shared" si="11"/>
        <v>0</v>
      </c>
      <c r="K272" s="42">
        <f t="shared" si="11"/>
        <v>0</v>
      </c>
      <c r="L272" s="42">
        <f t="shared" si="11"/>
        <v>1793322.1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v>337.57</v>
      </c>
      <c r="G278" s="18">
        <v>96.75</v>
      </c>
      <c r="H278" s="18">
        <v>4310.97</v>
      </c>
      <c r="I278" s="18">
        <v>1643.7</v>
      </c>
      <c r="J278" s="18"/>
      <c r="K278" s="18"/>
      <c r="L278" s="19">
        <f>SUM(F278:K278)</f>
        <v>6388.99</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4128.7700000000004</v>
      </c>
      <c r="I282" s="18"/>
      <c r="J282" s="18"/>
      <c r="K282" s="18"/>
      <c r="L282" s="19">
        <f t="shared" ref="L282:L288" si="12">SUM(F282:K282)</f>
        <v>4128.7700000000004</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337.57</v>
      </c>
      <c r="G291" s="42">
        <f t="shared" si="13"/>
        <v>96.75</v>
      </c>
      <c r="H291" s="42">
        <f t="shared" si="13"/>
        <v>8439.7400000000016</v>
      </c>
      <c r="I291" s="42">
        <f t="shared" si="13"/>
        <v>1643.7</v>
      </c>
      <c r="J291" s="42">
        <f t="shared" si="13"/>
        <v>0</v>
      </c>
      <c r="K291" s="42">
        <f t="shared" si="13"/>
        <v>0</v>
      </c>
      <c r="L291" s="41">
        <f t="shared" si="13"/>
        <v>10517.76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337.57</v>
      </c>
      <c r="G339" s="41">
        <f t="shared" si="20"/>
        <v>96.75</v>
      </c>
      <c r="H339" s="41">
        <f t="shared" si="20"/>
        <v>8439.7400000000016</v>
      </c>
      <c r="I339" s="41">
        <f t="shared" si="20"/>
        <v>1643.7</v>
      </c>
      <c r="J339" s="41">
        <f t="shared" si="20"/>
        <v>0</v>
      </c>
      <c r="K339" s="41">
        <f t="shared" si="20"/>
        <v>0</v>
      </c>
      <c r="L339" s="41">
        <f t="shared" si="20"/>
        <v>10517.76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337.57</v>
      </c>
      <c r="G353" s="41">
        <f>G339</f>
        <v>96.75</v>
      </c>
      <c r="H353" s="41">
        <f>H339</f>
        <v>8439.7400000000016</v>
      </c>
      <c r="I353" s="41">
        <f>I339</f>
        <v>1643.7</v>
      </c>
      <c r="J353" s="41">
        <f>J339</f>
        <v>0</v>
      </c>
      <c r="K353" s="47">
        <f>K339+K352</f>
        <v>0</v>
      </c>
      <c r="L353" s="41">
        <f>L339+L352</f>
        <v>10517.76</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364.57</v>
      </c>
      <c r="I398" s="18"/>
      <c r="J398" s="24" t="s">
        <v>288</v>
      </c>
      <c r="K398" s="24" t="s">
        <v>288</v>
      </c>
      <c r="L398" s="56">
        <f t="shared" si="26"/>
        <v>364.57</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364.57</v>
      </c>
      <c r="I402" s="47">
        <f>SUM(I396:I401)</f>
        <v>0</v>
      </c>
      <c r="J402" s="45" t="s">
        <v>288</v>
      </c>
      <c r="K402" s="45" t="s">
        <v>288</v>
      </c>
      <c r="L402" s="47">
        <f>SUM(L396:L401)</f>
        <v>364.57</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364.57</v>
      </c>
      <c r="I409" s="47">
        <f>I394+I402+I408</f>
        <v>0</v>
      </c>
      <c r="J409" s="24" t="s">
        <v>288</v>
      </c>
      <c r="K409" s="24" t="s">
        <v>288</v>
      </c>
      <c r="L409" s="47">
        <f>L394+L402+L408</f>
        <v>364.57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126551.82</v>
      </c>
      <c r="H440" s="18"/>
      <c r="I440" s="56">
        <f t="shared" ref="I440:I446" si="33">SUM(F440:H440)</f>
        <v>126551.82</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126551.82</v>
      </c>
      <c r="H447" s="13">
        <f>SUM(H440:H446)</f>
        <v>0</v>
      </c>
      <c r="I447" s="13">
        <f>SUM(I440:I446)</f>
        <v>126551.82</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126551.82</v>
      </c>
      <c r="H460" s="18"/>
      <c r="I460" s="56">
        <f t="shared" si="34"/>
        <v>126551.82</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126551.82</v>
      </c>
      <c r="H461" s="83">
        <f>SUM(H455:H460)</f>
        <v>0</v>
      </c>
      <c r="I461" s="83">
        <f>SUM(I455:I460)</f>
        <v>126551.82</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126551.82</v>
      </c>
      <c r="H462" s="42">
        <f>H453+H461</f>
        <v>0</v>
      </c>
      <c r="I462" s="42">
        <f>I453+I461</f>
        <v>126551.82</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72771.91</v>
      </c>
      <c r="G466" s="18"/>
      <c r="H466" s="18">
        <v>0</v>
      </c>
      <c r="I466" s="18"/>
      <c r="J466" s="18">
        <v>126187.25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1826927.03</v>
      </c>
      <c r="G469" s="18"/>
      <c r="H469" s="18">
        <v>10517.76</v>
      </c>
      <c r="I469" s="18"/>
      <c r="J469" s="18">
        <v>364.57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1826927.03</v>
      </c>
      <c r="G471" s="53">
        <f>SUM(G469:G470)</f>
        <v>0</v>
      </c>
      <c r="H471" s="53">
        <f>SUM(H469:H470)</f>
        <v>10517.76</v>
      </c>
      <c r="I471" s="53">
        <f>SUM(I469:I470)</f>
        <v>0</v>
      </c>
      <c r="J471" s="53">
        <f>SUM(J469:J470)</f>
        <v>364.57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1793322.1</v>
      </c>
      <c r="G473" s="18"/>
      <c r="H473" s="18">
        <v>10517.76</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1793322.1</v>
      </c>
      <c r="G475" s="53">
        <f>SUM(G473:G474)</f>
        <v>0</v>
      </c>
      <c r="H475" s="53">
        <f>SUM(H473:H474)</f>
        <v>10517.76</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106376.83999999985</v>
      </c>
      <c r="G477" s="53">
        <f>(G466+G471)- G475</f>
        <v>0</v>
      </c>
      <c r="H477" s="53">
        <f>(H466+H471)- H475</f>
        <v>0</v>
      </c>
      <c r="I477" s="53">
        <f>(I466+I471)- I475</f>
        <v>0</v>
      </c>
      <c r="J477" s="53">
        <f>(J466+J471)- J475</f>
        <v>126551.82</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337.57</v>
      </c>
      <c r="G522" s="18">
        <v>96.75</v>
      </c>
      <c r="H522" s="18">
        <v>69669</v>
      </c>
      <c r="I522" s="18">
        <v>1643.7</v>
      </c>
      <c r="J522" s="18"/>
      <c r="K522" s="18"/>
      <c r="L522" s="88">
        <f>SUM(F522:K522)</f>
        <v>71747.02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337.57</v>
      </c>
      <c r="G525" s="108">
        <f t="shared" ref="G525:L525" si="36">SUM(G522:G524)</f>
        <v>96.75</v>
      </c>
      <c r="H525" s="108">
        <f t="shared" si="36"/>
        <v>69669</v>
      </c>
      <c r="I525" s="108">
        <f t="shared" si="36"/>
        <v>1643.7</v>
      </c>
      <c r="J525" s="108">
        <f t="shared" si="36"/>
        <v>0</v>
      </c>
      <c r="K525" s="108">
        <f t="shared" si="36"/>
        <v>0</v>
      </c>
      <c r="L525" s="89">
        <f t="shared" si="36"/>
        <v>71747.02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11376.1</v>
      </c>
      <c r="I527" s="18"/>
      <c r="J527" s="18"/>
      <c r="K527" s="18"/>
      <c r="L527" s="88">
        <f>SUM(F527:K527)</f>
        <v>11376.1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11376.1</v>
      </c>
      <c r="I530" s="89">
        <f t="shared" si="37"/>
        <v>0</v>
      </c>
      <c r="J530" s="89">
        <f t="shared" si="37"/>
        <v>0</v>
      </c>
      <c r="K530" s="89">
        <f t="shared" si="37"/>
        <v>0</v>
      </c>
      <c r="L530" s="89">
        <f t="shared" si="37"/>
        <v>11376.1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2417.9499999999998</v>
      </c>
      <c r="I532" s="18"/>
      <c r="J532" s="18"/>
      <c r="K532" s="18"/>
      <c r="L532" s="88">
        <f>SUM(F532:K532)</f>
        <v>2417.9499999999998</v>
      </c>
      <c r="M532" s="8"/>
      <c r="N532" s="265"/>
    </row>
    <row r="533" spans="1:14" s="3" customFormat="1" ht="12.2" customHeight="1" x14ac:dyDescent="0.15">
      <c r="A533" s="22" t="s">
        <v>634</v>
      </c>
      <c r="B533" s="105">
        <v>21</v>
      </c>
      <c r="C533" s="105">
        <v>10</v>
      </c>
      <c r="D533" s="2" t="s">
        <v>432</v>
      </c>
      <c r="E533" s="105"/>
      <c r="F533" s="18"/>
      <c r="G533" s="18"/>
      <c r="H533" s="18">
        <v>660.52</v>
      </c>
      <c r="I533" s="18"/>
      <c r="J533" s="18"/>
      <c r="K533" s="18"/>
      <c r="L533" s="88">
        <f>SUM(F533:K533)</f>
        <v>660.52</v>
      </c>
      <c r="M533" s="8"/>
      <c r="N533" s="265"/>
    </row>
    <row r="534" spans="1:14" s="3" customFormat="1" ht="12.2" customHeight="1" thickBot="1" x14ac:dyDescent="0.2">
      <c r="A534" s="22" t="s">
        <v>635</v>
      </c>
      <c r="B534" s="105">
        <v>21</v>
      </c>
      <c r="C534" s="105">
        <v>11</v>
      </c>
      <c r="D534" s="2" t="s">
        <v>432</v>
      </c>
      <c r="E534" s="105"/>
      <c r="F534" s="18"/>
      <c r="G534" s="18"/>
      <c r="H534" s="18">
        <v>1648.19</v>
      </c>
      <c r="I534" s="18"/>
      <c r="J534" s="18"/>
      <c r="K534" s="18"/>
      <c r="L534" s="88">
        <f>SUM(F534:K534)</f>
        <v>1648.19</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4726.66</v>
      </c>
      <c r="I535" s="89">
        <f t="shared" si="38"/>
        <v>0</v>
      </c>
      <c r="J535" s="89">
        <f t="shared" si="38"/>
        <v>0</v>
      </c>
      <c r="K535" s="89">
        <f t="shared" si="38"/>
        <v>0</v>
      </c>
      <c r="L535" s="89">
        <f t="shared" si="38"/>
        <v>4726.66</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337.57</v>
      </c>
      <c r="G546" s="89">
        <f t="shared" ref="G546:L546" si="41">G525+G530+G535+G540+G545</f>
        <v>96.75</v>
      </c>
      <c r="H546" s="89">
        <f t="shared" si="41"/>
        <v>85771.760000000009</v>
      </c>
      <c r="I546" s="89">
        <f t="shared" si="41"/>
        <v>1643.7</v>
      </c>
      <c r="J546" s="89">
        <f t="shared" si="41"/>
        <v>0</v>
      </c>
      <c r="K546" s="89">
        <f t="shared" si="41"/>
        <v>0</v>
      </c>
      <c r="L546" s="89">
        <f t="shared" si="41"/>
        <v>87849.780000000013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71747.02</v>
      </c>
      <c r="G550" s="87">
        <f>L527</f>
        <v>11376.1</v>
      </c>
      <c r="H550" s="87">
        <f>L532</f>
        <v>2417.9499999999998</v>
      </c>
      <c r="I550" s="87">
        <f>L537</f>
        <v>0</v>
      </c>
      <c r="J550" s="87">
        <f>L542</f>
        <v>0</v>
      </c>
      <c r="K550" s="87">
        <f>SUM(F550:J550)</f>
        <v>85541.07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660.52</v>
      </c>
      <c r="I551" s="87">
        <f>L538</f>
        <v>0</v>
      </c>
      <c r="J551" s="87">
        <f>L543</f>
        <v>0</v>
      </c>
      <c r="K551" s="87">
        <f>SUM(F551:J551)</f>
        <v>660.52</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1648.19</v>
      </c>
      <c r="I552" s="87">
        <f>L539</f>
        <v>0</v>
      </c>
      <c r="J552" s="87">
        <f>L544</f>
        <v>0</v>
      </c>
      <c r="K552" s="87">
        <f>SUM(F552:J552)</f>
        <v>1648.19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71747.02</v>
      </c>
      <c r="G553" s="89">
        <f t="shared" si="42"/>
        <v>11376.1</v>
      </c>
      <c r="H553" s="89">
        <f t="shared" si="42"/>
        <v>4726.66</v>
      </c>
      <c r="I553" s="89">
        <f t="shared" si="42"/>
        <v>0</v>
      </c>
      <c r="J553" s="89">
        <f t="shared" si="42"/>
        <v>0</v>
      </c>
      <c r="K553" s="89">
        <f t="shared" si="42"/>
        <v>87849.780000000013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879540</v>
      </c>
      <c r="G576" s="18">
        <v>158464</v>
      </c>
      <c r="H576" s="18">
        <v>539250</v>
      </c>
      <c r="I576" s="87">
        <f>SUM(F576:H576)</f>
        <v>1577254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54321.35</v>
      </c>
      <c r="I592" s="18">
        <v>14839.19</v>
      </c>
      <c r="J592" s="18">
        <v>37028.03</v>
      </c>
      <c r="K592" s="104">
        <f t="shared" ref="K592:K598" si="48">SUM(H592:J592)</f>
        <v>106188.56999999999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54321.35</v>
      </c>
      <c r="I599" s="108">
        <f>SUM(I592:I598)</f>
        <v>14839.19</v>
      </c>
      <c r="J599" s="108">
        <f>SUM(J592:J598)</f>
        <v>37028.03</v>
      </c>
      <c r="K599" s="108">
        <f>SUM(K592:K598)</f>
        <v>106188.56999999999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202474.79</v>
      </c>
      <c r="H618" s="109">
        <f>SUM(F52)</f>
        <v>202474.79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25470.480000000003</v>
      </c>
      <c r="H620" s="109">
        <f>SUM(H52)</f>
        <v>25470.48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126551.82</v>
      </c>
      <c r="H622" s="109">
        <f>SUM(J52)</f>
        <v>126551.82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106376.84</v>
      </c>
      <c r="H623" s="109">
        <f>F477</f>
        <v>106376.83999999985</v>
      </c>
      <c r="I623" s="121" t="s">
        <v>101</v>
      </c>
      <c r="J623" s="109">
        <f t="shared" ref="J623:J656" si="50">G623-H623</f>
        <v>1.4551915228366852E-10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126551.82</v>
      </c>
      <c r="H627" s="109">
        <f>J477</f>
        <v>126551.82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1826927.0300000003</v>
      </c>
      <c r="H628" s="104">
        <f>SUM(F469)</f>
        <v>1826927.03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10517.76</v>
      </c>
      <c r="H630" s="104">
        <f>SUM(H469)</f>
        <v>10517.76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364.57</v>
      </c>
      <c r="H632" s="104">
        <f>SUM(J469)</f>
        <v>364.57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1793322.1</v>
      </c>
      <c r="H633" s="104">
        <f>SUM(F473)</f>
        <v>1793322.1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10517.76</v>
      </c>
      <c r="H634" s="104">
        <f>SUM(H473)</f>
        <v>10517.76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364.57</v>
      </c>
      <c r="H638" s="164">
        <f>SUM(J469)</f>
        <v>364.57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126551.82</v>
      </c>
      <c r="H641" s="104">
        <f>SUM(G462)</f>
        <v>126551.82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126551.82</v>
      </c>
      <c r="H643" s="104">
        <f>SUM(I462)</f>
        <v>126551.82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364.57</v>
      </c>
      <c r="H645" s="104">
        <f>H409</f>
        <v>364.57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364.57</v>
      </c>
      <c r="H647" s="104">
        <f>L409</f>
        <v>364.57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106188.56999999999</v>
      </c>
      <c r="H648" s="104">
        <f>L209+L227+L245</f>
        <v>106188.56999999999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54321.35</v>
      </c>
      <c r="H650" s="104">
        <f>H599</f>
        <v>54321.35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14839.19</v>
      </c>
      <c r="H651" s="104">
        <f>I599</f>
        <v>14839.19</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37028.03</v>
      </c>
      <c r="H652" s="104">
        <f>J599</f>
        <v>37028.03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1036052.28</v>
      </c>
      <c r="G661" s="19">
        <f>(L230+L310+L360)</f>
        <v>178512.02</v>
      </c>
      <c r="H661" s="19">
        <f>(L248+L329+L361)</f>
        <v>589275.56000000006</v>
      </c>
      <c r="I661" s="19">
        <f>SUM(F661:H661)</f>
        <v>1803839.86</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54321.35</v>
      </c>
      <c r="G663" s="19">
        <f>(L227+L307)-(J227+J307)</f>
        <v>14839.19</v>
      </c>
      <c r="H663" s="19">
        <f>(L245+L326)-(J245+J326)</f>
        <v>37028.03</v>
      </c>
      <c r="I663" s="19">
        <f>SUM(F663:H663)</f>
        <v>106188.56999999999</v>
      </c>
      <c r="J663"/>
      <c r="K663" s="13"/>
      <c r="L663" s="13"/>
      <c r="M663" s="9"/>
    </row>
    <row r="664" spans="1:13" s="3" customFormat="1" ht="12.2" customHeight="1" x14ac:dyDescent="0.15">
      <c r="A664" s="197" t="s">
        <v>129</v>
      </c>
      <c r="B664" s="169"/>
      <c r="C664" s="169"/>
      <c r="D664" s="169"/>
      <c r="E664" s="169"/>
      <c r="F664" s="198">
        <f>SUM(F576:F588)+SUM(H603:H605)+SUM(L612)</f>
        <v>879540</v>
      </c>
      <c r="G664" s="198">
        <f>SUM(G576:G588)+SUM(I603:I605)+L613</f>
        <v>158464</v>
      </c>
      <c r="H664" s="198">
        <f>SUM(H576:H588)+SUM(J603:J605)+L614</f>
        <v>539250</v>
      </c>
      <c r="I664" s="19">
        <f>SUM(F664:H664)</f>
        <v>1577254</v>
      </c>
      <c r="J664" s="13"/>
      <c r="K664" s="13"/>
      <c r="L664" s="13"/>
      <c r="M664" s="9"/>
    </row>
    <row r="665" spans="1:13" s="3" customFormat="1" ht="12.2" customHeight="1" x14ac:dyDescent="0.15">
      <c r="A665" s="1" t="s">
        <v>130</v>
      </c>
      <c r="F665" s="19">
        <f>F661-SUM(F662:F664)</f>
        <v>102190.93000000005</v>
      </c>
      <c r="G665" s="19">
        <f>G661-SUM(G662:G664)</f>
        <v>5208.8299999999872</v>
      </c>
      <c r="H665" s="19">
        <f>H661-SUM(H662:H664)</f>
        <v>12997.530000000028</v>
      </c>
      <c r="I665" s="19">
        <f>I661-SUM(I662:I664)</f>
        <v>120397.29000000004</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-102190.93</v>
      </c>
      <c r="G670" s="18">
        <v>-5208.83</v>
      </c>
      <c r="H670" s="18">
        <v>-12997.53</v>
      </c>
      <c r="I670" s="19">
        <f>SUM(F670:H670)</f>
        <v>-120397.29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70" fitToHeight="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Albany</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19" sqref="D19"/>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Albany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337.57</v>
      </c>
      <c r="C18" s="228">
        <f>'DOE25'!G199+'DOE25'!G217+'DOE25'!G235+'DOE25'!G278+'DOE25'!G297+'DOE25'!G316</f>
        <v>96.75</v>
      </c>
    </row>
    <row r="19" spans="1:3" x14ac:dyDescent="0.2">
      <c r="A19" t="s">
        <v>775</v>
      </c>
      <c r="B19" s="239">
        <v>337.57</v>
      </c>
      <c r="C19" s="239">
        <v>96.75</v>
      </c>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337.57</v>
      </c>
      <c r="C22" s="230">
        <f>SUM(C19:C21)</f>
        <v>96.75</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O31" sqref="O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Albany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1642612.03</v>
      </c>
      <c r="D5" s="20">
        <f>SUM('DOE25'!L198:L201)+SUM('DOE25'!L216:L219)+SUM('DOE25'!L234:L237)-F5-G5-H5</f>
        <v>1642612.03</v>
      </c>
      <c r="E5" s="242"/>
      <c r="F5" s="243"/>
      <c r="G5" s="53">
        <f>SUM('DOE25'!J198:J201)+SUM('DOE25'!J216:J219)+SUM('DOE25'!J234:J237)</f>
        <v>0</v>
      </c>
      <c r="H5" s="53">
        <f>SUM('DOE25'!K198:K201)+SUM('DOE25'!K216:K219)+SUM('DOE25'!K234:K237)</f>
        <v>0</v>
      </c>
      <c r="I5" s="255"/>
    </row>
    <row r="6" spans="1:9" x14ac:dyDescent="0.2">
      <c r="A6" s="32">
        <v>2100</v>
      </c>
      <c r="B6" t="s">
        <v>796</v>
      </c>
      <c r="C6" s="274">
        <f t="shared" si="0"/>
        <v>7247.33</v>
      </c>
      <c r="D6" s="20">
        <f>'DOE25'!L203+'DOE25'!L221+'DOE25'!L239-F6-G6-H6</f>
        <v>7247.33</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19848.21</v>
      </c>
      <c r="D8" s="242"/>
      <c r="E8" s="20">
        <f>'DOE25'!L205+'DOE25'!L223+'DOE25'!L241-F8-G8-H8-D9-D11</f>
        <v>19848.21</v>
      </c>
      <c r="F8" s="243"/>
      <c r="G8" s="53">
        <f>'DOE25'!J205+'DOE25'!J223+'DOE25'!J241</f>
        <v>0</v>
      </c>
      <c r="H8" s="53">
        <f>'DOE25'!K205+'DOE25'!K223+'DOE25'!K241</f>
        <v>0</v>
      </c>
      <c r="I8" s="255"/>
    </row>
    <row r="9" spans="1:9" ht="14.25" x14ac:dyDescent="0.2">
      <c r="A9" s="32">
        <v>2310</v>
      </c>
      <c r="B9" s="184" t="s">
        <v>888</v>
      </c>
      <c r="C9" s="274">
        <f t="shared" si="0"/>
        <v>9177.18</v>
      </c>
      <c r="D9" s="243">
        <v>9177.18</v>
      </c>
      <c r="E9" s="242"/>
      <c r="F9" s="252"/>
      <c r="G9" s="252"/>
      <c r="H9" s="252"/>
      <c r="I9" s="255"/>
    </row>
    <row r="10" spans="1:9" ht="14.25" x14ac:dyDescent="0.2">
      <c r="A10" s="32">
        <v>2317</v>
      </c>
      <c r="B10" s="184" t="s">
        <v>889</v>
      </c>
      <c r="C10" s="274">
        <f t="shared" si="0"/>
        <v>3000</v>
      </c>
      <c r="D10" s="242"/>
      <c r="E10" s="243">
        <v>3000</v>
      </c>
      <c r="F10" s="252"/>
      <c r="G10" s="252"/>
      <c r="H10" s="252"/>
      <c r="I10" s="255"/>
    </row>
    <row r="11" spans="1:9" ht="14.25" x14ac:dyDescent="0.2">
      <c r="A11" s="32">
        <v>2321</v>
      </c>
      <c r="B11" s="184" t="s">
        <v>890</v>
      </c>
      <c r="C11" s="274">
        <f t="shared" si="0"/>
        <v>8248.7800000000007</v>
      </c>
      <c r="D11" s="243">
        <v>8248.7800000000007</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106188.56999999999</v>
      </c>
      <c r="D15" s="20">
        <f>'DOE25'!L209+'DOE25'!L227+'DOE25'!L245-F15-G15-H15</f>
        <v>25000.009999999995</v>
      </c>
      <c r="E15" s="242"/>
      <c r="F15" s="243">
        <v>81188.56</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10517.76</v>
      </c>
      <c r="D31" s="20">
        <f>'DOE25'!L291+'DOE25'!L310+'DOE25'!L329+'DOE25'!L334+'DOE25'!L335+'DOE25'!L336-F31-G31-H31</f>
        <v>10517.76</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1702803.09</v>
      </c>
      <c r="E33" s="244">
        <f t="shared" si="1"/>
        <v>22848.21</v>
      </c>
      <c r="F33" s="244">
        <f t="shared" si="1"/>
        <v>81188.56</v>
      </c>
      <c r="G33" s="244">
        <f t="shared" si="1"/>
        <v>0</v>
      </c>
      <c r="H33" s="244">
        <f t="shared" si="1"/>
        <v>0</v>
      </c>
      <c r="I33" s="244">
        <f t="shared" si="1"/>
        <v>0</v>
      </c>
    </row>
    <row r="35" spans="1:9" ht="12" thickBot="1" x14ac:dyDescent="0.25">
      <c r="B35" s="250" t="s">
        <v>831</v>
      </c>
      <c r="D35" s="251">
        <f>E33</f>
        <v>22848.21</v>
      </c>
      <c r="E35" s="247"/>
      <c r="F35" s="328" t="s">
        <v>1617</v>
      </c>
      <c r="G35" s="329"/>
      <c r="H35" s="329"/>
      <c r="I35" s="329"/>
    </row>
    <row r="36" spans="1:9" ht="12" thickTop="1" x14ac:dyDescent="0.2">
      <c r="B36" t="s">
        <v>810</v>
      </c>
      <c r="D36" s="20">
        <f>D33</f>
        <v>1702803.09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Albany</v>
      </c>
      <c r="B2" s="126">
        <f>'DOE25'!B2</f>
        <v>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1036052.28</v>
      </c>
      <c r="G4" s="299">
        <f>'DOE25'!L212+'DOE25'!L291</f>
        <v>1036052.28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1025534.52</v>
      </c>
      <c r="E5" s="290">
        <v>10517.76</v>
      </c>
      <c r="F5" s="303">
        <f>D5+E5</f>
        <v>1036052.28</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1025534.52</v>
      </c>
      <c r="E21" s="338">
        <f>SUM(E5:E20)</f>
        <v>10517.76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178512.02</v>
      </c>
      <c r="G24" s="299">
        <f>'DOE25'!L230+'DOE25'!L310</f>
        <v>178512.02</v>
      </c>
      <c r="H24" s="340">
        <f>F24-G24</f>
        <v>0</v>
      </c>
      <c r="I24" s="383" t="str">
        <f>IF(H24=0,"","ISSUES!! Please review page 8 and 12 totals in comparison with total on this page")</f>
        <v/>
      </c>
      <c r="N24"/>
    </row>
    <row r="25" spans="1:14" x14ac:dyDescent="0.2">
      <c r="A25" s="126" t="s">
        <v>1548</v>
      </c>
      <c r="B25" s="300">
        <v>99999</v>
      </c>
      <c r="C25" s="293" t="s">
        <v>1548</v>
      </c>
      <c r="D25" s="290">
        <v>178512.02</v>
      </c>
      <c r="E25" s="290"/>
      <c r="F25" s="303">
        <f>D25+E25</f>
        <v>178512.02</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178512.02</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589275.56000000006</v>
      </c>
      <c r="G36" s="299">
        <f>'DOE25'!L248+'DOE25'!L329</f>
        <v>589275.56000000006</v>
      </c>
      <c r="H36" s="340">
        <f>F36-G36</f>
        <v>0</v>
      </c>
      <c r="I36" s="383" t="str">
        <f>IF(H36=0,"","ISSUES!! Please review page 9 and 13 totals in comparison with total on this page")</f>
        <v/>
      </c>
      <c r="N36"/>
    </row>
    <row r="37" spans="1:14" x14ac:dyDescent="0.2">
      <c r="A37" s="126" t="s">
        <v>1548</v>
      </c>
      <c r="B37" s="300">
        <v>99999</v>
      </c>
      <c r="C37" s="293" t="s">
        <v>1548</v>
      </c>
      <c r="D37" s="290">
        <v>589275.56000000006</v>
      </c>
      <c r="E37" s="290"/>
      <c r="F37" s="303">
        <f t="shared" ref="F37:F42" si="2">D37+E37</f>
        <v>589275.56000000006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589275.56000000006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sqref="A1:H16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Albany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177656.13</v>
      </c>
      <c r="D8" s="95">
        <f>'DOE25'!G9</f>
        <v>0</v>
      </c>
      <c r="E8" s="95">
        <f>'DOE25'!H9</f>
        <v>0</v>
      </c>
      <c r="F8" s="95">
        <f>'DOE25'!I9</f>
        <v>0</v>
      </c>
      <c r="G8" s="95">
        <f>'DOE25'!J9</f>
        <v>126551.82</v>
      </c>
      <c r="H8" s="124">
        <f>SUM(C8:G8)</f>
        <v>304207.95</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24818.66</v>
      </c>
      <c r="D11" s="95">
        <f>'DOE25'!G12</f>
        <v>0</v>
      </c>
      <c r="E11" s="95">
        <f>'DOE25'!H12</f>
        <v>23741.15</v>
      </c>
      <c r="F11" s="95">
        <f>'DOE25'!I12</f>
        <v>0</v>
      </c>
      <c r="G11" s="95">
        <f>'DOE25'!J12</f>
        <v>0</v>
      </c>
      <c r="H11" s="124">
        <f t="shared" si="0"/>
        <v>48559.81</v>
      </c>
      <c r="I11" s="124"/>
    </row>
    <row r="12" spans="1:9" x14ac:dyDescent="0.2">
      <c r="A12" s="1" t="s">
        <v>143</v>
      </c>
      <c r="B12" s="6">
        <v>140</v>
      </c>
      <c r="C12" s="95">
        <f>'DOE25'!F13</f>
        <v>0</v>
      </c>
      <c r="D12" s="95">
        <f>'DOE25'!G13</f>
        <v>0</v>
      </c>
      <c r="E12" s="95">
        <f>'DOE25'!H13</f>
        <v>1729.33</v>
      </c>
      <c r="F12" s="95">
        <f>'DOE25'!I13</f>
        <v>0</v>
      </c>
      <c r="G12" s="95">
        <f>'DOE25'!J13</f>
        <v>0</v>
      </c>
      <c r="H12" s="124">
        <f t="shared" si="0"/>
        <v>1729.33</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202474.79</v>
      </c>
      <c r="D18" s="41">
        <f>SUM(D8:D17)</f>
        <v>0</v>
      </c>
      <c r="E18" s="41">
        <f>SUM(E8:E17)</f>
        <v>25470.480000000003</v>
      </c>
      <c r="F18" s="41">
        <f>SUM(F8:F17)</f>
        <v>0</v>
      </c>
      <c r="G18" s="41">
        <f>SUM(G8:G17)</f>
        <v>126551.82</v>
      </c>
      <c r="H18" s="41">
        <f t="shared" si="0"/>
        <v>354497.09</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23741.15</v>
      </c>
      <c r="D21" s="95">
        <f>'DOE25'!G22</f>
        <v>0</v>
      </c>
      <c r="E21" s="95">
        <f>'DOE25'!H22</f>
        <v>24818.66</v>
      </c>
      <c r="F21" s="95">
        <f>'DOE25'!I22</f>
        <v>0</v>
      </c>
      <c r="G21" s="95">
        <f>'DOE25'!J22</f>
        <v>0</v>
      </c>
      <c r="H21" s="124">
        <f t="shared" ref="H21:H31" si="1">SUM(C21:G21)</f>
        <v>48559.81</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52426.2</v>
      </c>
      <c r="D23" s="95">
        <f>'DOE25'!G24</f>
        <v>0</v>
      </c>
      <c r="E23" s="95">
        <f>'DOE25'!H24</f>
        <v>651.82000000000005</v>
      </c>
      <c r="F23" s="95">
        <f>'DOE25'!I24</f>
        <v>0</v>
      </c>
      <c r="G23" s="95">
        <f>'DOE25'!J24</f>
        <v>0</v>
      </c>
      <c r="H23" s="124">
        <f t="shared" si="1"/>
        <v>53078.02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19930.599999999999</v>
      </c>
      <c r="D29" s="95">
        <f>'DOE25'!G30</f>
        <v>0</v>
      </c>
      <c r="E29" s="95">
        <f>'DOE25'!H30</f>
        <v>0</v>
      </c>
      <c r="F29" s="95">
        <f>'DOE25'!I30</f>
        <v>0</v>
      </c>
      <c r="G29" s="24" t="s">
        <v>288</v>
      </c>
      <c r="H29" s="124">
        <f t="shared" si="1"/>
        <v>19930.599999999999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96097.950000000012</v>
      </c>
      <c r="D31" s="41">
        <f>SUM(D21:D30)</f>
        <v>0</v>
      </c>
      <c r="E31" s="41">
        <f>SUM(E21:E30)</f>
        <v>25470.48</v>
      </c>
      <c r="F31" s="41">
        <f>SUM(F21:F30)</f>
        <v>0</v>
      </c>
      <c r="G31" s="41">
        <f>SUM(G21:G30)</f>
        <v>0</v>
      </c>
      <c r="H31" s="41">
        <f t="shared" si="1"/>
        <v>121568.43000000001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126551.82</v>
      </c>
      <c r="H47" s="124">
        <f t="shared" si="2"/>
        <v>126551.82</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106376.84</v>
      </c>
      <c r="D49" s="24" t="s">
        <v>288</v>
      </c>
      <c r="E49" s="24" t="s">
        <v>288</v>
      </c>
      <c r="F49" s="24" t="s">
        <v>288</v>
      </c>
      <c r="G49" s="24" t="s">
        <v>288</v>
      </c>
      <c r="H49" s="124">
        <f t="shared" si="2"/>
        <v>106376.84</v>
      </c>
      <c r="I49" s="124"/>
    </row>
    <row r="50" spans="1:9" ht="12.75" thickTop="1" thickBot="1" x14ac:dyDescent="0.25">
      <c r="A50" s="38" t="s">
        <v>884</v>
      </c>
      <c r="B50" s="48"/>
      <c r="C50" s="41">
        <f>SUM(C34:C49)</f>
        <v>106376.84</v>
      </c>
      <c r="D50" s="41">
        <f>SUM(D34:D49)</f>
        <v>0</v>
      </c>
      <c r="E50" s="41">
        <f>SUM(E34:E49)</f>
        <v>0</v>
      </c>
      <c r="F50" s="41">
        <f>SUM(F34:F49)</f>
        <v>0</v>
      </c>
      <c r="G50" s="41">
        <f>SUM(G34:G49)</f>
        <v>126551.82</v>
      </c>
      <c r="H50" s="41">
        <f t="shared" si="2"/>
        <v>232928.66</v>
      </c>
      <c r="I50" s="124"/>
    </row>
    <row r="51" spans="1:9" ht="12" thickTop="1" x14ac:dyDescent="0.2">
      <c r="A51" s="38" t="s">
        <v>885</v>
      </c>
      <c r="B51" s="2"/>
      <c r="C51" s="41">
        <f>C50+C31</f>
        <v>202474.79</v>
      </c>
      <c r="D51" s="41">
        <f>D50+D31</f>
        <v>0</v>
      </c>
      <c r="E51" s="41">
        <f>E50+E31</f>
        <v>25470.48</v>
      </c>
      <c r="F51" s="41">
        <f>F50+F31</f>
        <v>0</v>
      </c>
      <c r="G51" s="41">
        <f>G50+G31</f>
        <v>126551.82</v>
      </c>
      <c r="H51" s="41">
        <f t="shared" si="2"/>
        <v>354497.09</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986166</v>
      </c>
      <c r="D56" s="95">
        <f>'DOE25'!G60</f>
        <v>0</v>
      </c>
      <c r="E56" s="95">
        <f>'DOE25'!H60</f>
        <v>0</v>
      </c>
      <c r="F56" s="95">
        <f>'DOE25'!I60</f>
        <v>0</v>
      </c>
      <c r="G56" s="95">
        <f>'DOE25'!J60</f>
        <v>0</v>
      </c>
      <c r="H56" s="124">
        <f t="shared" ref="H56:H63" si="3">SUM(C56:G56)</f>
        <v>986166</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130.76</v>
      </c>
      <c r="D59" s="95">
        <f>'DOE25'!G96</f>
        <v>0</v>
      </c>
      <c r="E59" s="95">
        <f>'DOE25'!H96</f>
        <v>0</v>
      </c>
      <c r="F59" s="95">
        <f>'DOE25'!I96</f>
        <v>0</v>
      </c>
      <c r="G59" s="95">
        <f>'DOE25'!J96</f>
        <v>364.57</v>
      </c>
      <c r="H59" s="124">
        <f t="shared" si="3"/>
        <v>495.33</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130.76</v>
      </c>
      <c r="D62" s="130">
        <f>SUM(D57:D61)</f>
        <v>0</v>
      </c>
      <c r="E62" s="130">
        <f>SUM(E57:E61)</f>
        <v>0</v>
      </c>
      <c r="F62" s="130">
        <f>SUM(F57:F61)</f>
        <v>0</v>
      </c>
      <c r="G62" s="130">
        <f>SUM(G57:G61)</f>
        <v>364.57</v>
      </c>
      <c r="H62" s="124">
        <f t="shared" si="3"/>
        <v>495.33</v>
      </c>
      <c r="I62"/>
    </row>
    <row r="63" spans="1:9" ht="12" thickTop="1" x14ac:dyDescent="0.2">
      <c r="A63" s="29" t="s">
        <v>175</v>
      </c>
      <c r="B63" s="6"/>
      <c r="C63" s="22">
        <f>C56+C62</f>
        <v>986296.76</v>
      </c>
      <c r="D63" s="22">
        <f>D56+D62</f>
        <v>0</v>
      </c>
      <c r="E63" s="22">
        <f>E56+E62</f>
        <v>0</v>
      </c>
      <c r="F63" s="22">
        <f>F56+F62</f>
        <v>0</v>
      </c>
      <c r="G63" s="22">
        <f>G56+G62</f>
        <v>364.57</v>
      </c>
      <c r="H63" s="124">
        <f t="shared" si="3"/>
        <v>986661.33</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599061.77</v>
      </c>
      <c r="D66" s="24" t="s">
        <v>288</v>
      </c>
      <c r="E66" s="24" t="s">
        <v>288</v>
      </c>
      <c r="F66" s="24" t="s">
        <v>288</v>
      </c>
      <c r="G66" s="24" t="s">
        <v>288</v>
      </c>
      <c r="H66" s="124">
        <f t="shared" ref="H66:H81" si="4">SUM(C66:G66)</f>
        <v>599061.77</v>
      </c>
      <c r="I66"/>
    </row>
    <row r="67" spans="1:9" x14ac:dyDescent="0.2">
      <c r="A67" s="1" t="s">
        <v>770</v>
      </c>
      <c r="B67" s="6">
        <v>3112</v>
      </c>
      <c r="C67" s="95">
        <f>'DOE25'!F118</f>
        <v>219219</v>
      </c>
      <c r="D67" s="24"/>
      <c r="E67" s="24"/>
      <c r="F67" s="24"/>
      <c r="G67" s="24"/>
      <c r="H67" s="124">
        <f t="shared" si="4"/>
        <v>219219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822271.19000000006</v>
      </c>
      <c r="D70" s="139">
        <f>D69</f>
        <v>0</v>
      </c>
      <c r="E70" s="139">
        <f>E69</f>
        <v>0</v>
      </c>
      <c r="F70" s="139">
        <f>F69</f>
        <v>0</v>
      </c>
      <c r="G70" s="139">
        <f>G69</f>
        <v>0</v>
      </c>
      <c r="H70" s="124">
        <f t="shared" si="4"/>
        <v>822271.19000000006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822271.19000000006</v>
      </c>
      <c r="D81" s="130">
        <f>SUM(D79:D80)+D78+D70</f>
        <v>0</v>
      </c>
      <c r="E81" s="130">
        <f>SUM(E79:E80)+E78+E70</f>
        <v>0</v>
      </c>
      <c r="F81" s="130">
        <f>SUM(F79:F80)+F78+F70</f>
        <v>0</v>
      </c>
      <c r="G81" s="130">
        <f>SUM(G79:G80)+G78+G70</f>
        <v>0</v>
      </c>
      <c r="H81" s="130">
        <f t="shared" si="4"/>
        <v>822271.19000000006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607.58000000000004</v>
      </c>
      <c r="D88" s="326">
        <f>SUM('DOE25'!G153:G162)</f>
        <v>0</v>
      </c>
      <c r="E88" s="326">
        <f>SUM('DOE25'!H153:H162)</f>
        <v>10517.76</v>
      </c>
      <c r="F88" s="326">
        <f>SUM('DOE25'!I153:I162)</f>
        <v>0</v>
      </c>
      <c r="G88" s="24" t="s">
        <v>288</v>
      </c>
      <c r="H88" s="124">
        <f t="shared" si="5"/>
        <v>11125.34</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17751.5</v>
      </c>
      <c r="D90" s="24" t="s">
        <v>288</v>
      </c>
      <c r="E90" s="24" t="s">
        <v>288</v>
      </c>
      <c r="F90" s="24" t="s">
        <v>288</v>
      </c>
      <c r="G90" s="24" t="s">
        <v>288</v>
      </c>
      <c r="H90" s="124">
        <f t="shared" si="5"/>
        <v>17751.5</v>
      </c>
    </row>
    <row r="91" spans="1:9" ht="12.75" thickTop="1" thickBot="1" x14ac:dyDescent="0.25">
      <c r="A91" s="33" t="s">
        <v>750</v>
      </c>
      <c r="C91" s="131">
        <f>SUM(C85:C90)</f>
        <v>18359.080000000002</v>
      </c>
      <c r="D91" s="131">
        <f>SUM(D85:D90)</f>
        <v>0</v>
      </c>
      <c r="E91" s="131">
        <f>SUM(E85:E90)</f>
        <v>10517.76</v>
      </c>
      <c r="F91" s="131">
        <f>SUM(F85:F90)</f>
        <v>0</v>
      </c>
      <c r="G91" s="24" t="s">
        <v>288</v>
      </c>
      <c r="H91" s="124">
        <f t="shared" si="5"/>
        <v>28876.840000000004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1826927.0300000003</v>
      </c>
      <c r="D104" s="86">
        <f>D63+D81+D91+D103</f>
        <v>0</v>
      </c>
      <c r="E104" s="86">
        <f>E63+E81+E91+E103</f>
        <v>10517.76</v>
      </c>
      <c r="F104" s="86">
        <f>F63+F81+F91+F103</f>
        <v>0</v>
      </c>
      <c r="G104" s="86">
        <f>G63+G81+G103</f>
        <v>364.57</v>
      </c>
      <c r="H104" s="86">
        <f t="shared" si="5"/>
        <v>1837809.3600000003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1577254</v>
      </c>
      <c r="D109" s="24" t="s">
        <v>288</v>
      </c>
      <c r="E109" s="95">
        <f>('DOE25'!L277)+('DOE25'!L296)+('DOE25'!L315)</f>
        <v>0</v>
      </c>
      <c r="F109" s="24" t="s">
        <v>288</v>
      </c>
      <c r="G109" s="24" t="s">
        <v>288</v>
      </c>
      <c r="H109" s="124">
        <f t="shared" ref="H109:H115" si="6">SUM(C109:G109)</f>
        <v>1577254</v>
      </c>
    </row>
    <row r="110" spans="1:8" x14ac:dyDescent="0.2">
      <c r="A110" t="s">
        <v>198</v>
      </c>
      <c r="B110" s="32" t="s">
        <v>199</v>
      </c>
      <c r="C110" s="95">
        <f>('DOE25'!L199)+('DOE25'!L217)+('DOE25'!L235)</f>
        <v>65358.03</v>
      </c>
      <c r="D110" s="24" t="s">
        <v>288</v>
      </c>
      <c r="E110" s="95">
        <f>('DOE25'!L278)+('DOE25'!L297)+('DOE25'!L316)</f>
        <v>6388.99</v>
      </c>
      <c r="F110" s="24" t="s">
        <v>288</v>
      </c>
      <c r="G110" s="24" t="s">
        <v>288</v>
      </c>
      <c r="H110" s="124">
        <f t="shared" si="6"/>
        <v>71747.02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1642612.03</v>
      </c>
      <c r="D115" s="86">
        <f>SUM(D109:D114)</f>
        <v>0</v>
      </c>
      <c r="E115" s="86">
        <f>SUM(E109:E114)</f>
        <v>6388.99</v>
      </c>
      <c r="F115" s="86">
        <f>SUM(F109:F114)</f>
        <v>0</v>
      </c>
      <c r="G115" s="86">
        <f>SUM(G109:G114)</f>
        <v>0</v>
      </c>
      <c r="H115" s="86">
        <f t="shared" si="6"/>
        <v>1649001.02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7247.33</v>
      </c>
      <c r="D118" s="24" t="s">
        <v>288</v>
      </c>
      <c r="E118" s="95">
        <f>+('DOE25'!L282)+('DOE25'!L301)+('DOE25'!L320)</f>
        <v>4128.7700000000004</v>
      </c>
      <c r="F118" s="24" t="s">
        <v>288</v>
      </c>
      <c r="G118" s="24" t="s">
        <v>288</v>
      </c>
      <c r="H118" s="124">
        <f t="shared" ref="H118:H145" si="7">SUM(C118:G118)</f>
        <v>11376.1</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37274.17</v>
      </c>
      <c r="D120" s="24" t="s">
        <v>288</v>
      </c>
      <c r="E120" s="95">
        <f>+('DOE25'!L284)+('DOE25'!L303)+('DOE25'!L322)</f>
        <v>0</v>
      </c>
      <c r="F120" s="24" t="s">
        <v>288</v>
      </c>
      <c r="G120" s="24" t="s">
        <v>288</v>
      </c>
      <c r="H120" s="124">
        <f t="shared" si="7"/>
        <v>37274.17</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106188.56999999999</v>
      </c>
      <c r="D124" s="24" t="s">
        <v>288</v>
      </c>
      <c r="E124" s="95">
        <f>+('DOE25'!L288)+('DOE25'!L307)+('DOE25'!L326)</f>
        <v>0</v>
      </c>
      <c r="F124" s="24" t="s">
        <v>288</v>
      </c>
      <c r="G124" s="24" t="s">
        <v>288</v>
      </c>
      <c r="H124" s="124">
        <f t="shared" si="7"/>
        <v>106188.56999999999</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150710.07</v>
      </c>
      <c r="D128" s="86">
        <f>SUM(D118:D127)</f>
        <v>0</v>
      </c>
      <c r="E128" s="86">
        <f>SUM(E118:E127)</f>
        <v>4128.7700000000004</v>
      </c>
      <c r="F128" s="86">
        <f>SUM(F118:F127)</f>
        <v>0</v>
      </c>
      <c r="G128" s="86">
        <f>SUM(G118:G127)</f>
        <v>0</v>
      </c>
      <c r="H128" s="86">
        <f t="shared" si="7"/>
        <v>154838.84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364.57</v>
      </c>
      <c r="D139" s="24" t="s">
        <v>288</v>
      </c>
      <c r="E139" s="24" t="s">
        <v>288</v>
      </c>
      <c r="F139" s="24" t="s">
        <v>288</v>
      </c>
      <c r="G139" s="24" t="s">
        <v>288</v>
      </c>
      <c r="H139" s="124">
        <f t="shared" si="7"/>
        <v>364.57</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-364.57</v>
      </c>
      <c r="D141" s="24" t="s">
        <v>288</v>
      </c>
      <c r="E141" s="24" t="s">
        <v>288</v>
      </c>
      <c r="F141" s="24" t="s">
        <v>288</v>
      </c>
      <c r="G141" s="24" t="s">
        <v>288</v>
      </c>
      <c r="H141" s="124">
        <f t="shared" si="7"/>
        <v>-364.57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0</v>
      </c>
      <c r="D144" s="141">
        <f>SUM(D130:D143)</f>
        <v>0</v>
      </c>
      <c r="E144" s="141">
        <f>SUM(E130:E143)</f>
        <v>0</v>
      </c>
      <c r="F144" s="141">
        <f>SUM(F130:F143)</f>
        <v>0</v>
      </c>
      <c r="G144" s="141">
        <f>SUM(G130:G143)</f>
        <v>0</v>
      </c>
      <c r="H144" s="141">
        <f t="shared" si="7"/>
        <v>0</v>
      </c>
    </row>
    <row r="145" spans="1:9" ht="12.75" thickTop="1" thickBot="1" x14ac:dyDescent="0.25">
      <c r="A145" s="33" t="s">
        <v>244</v>
      </c>
      <c r="C145" s="86">
        <f>(C115+C128+C144)</f>
        <v>1793322.1</v>
      </c>
      <c r="D145" s="86">
        <f>(D115+D128+D144)</f>
        <v>0</v>
      </c>
      <c r="E145" s="86">
        <f>(E115+E128+E144)</f>
        <v>10517.76</v>
      </c>
      <c r="F145" s="86">
        <f>(F115+F128+F144)</f>
        <v>0</v>
      </c>
      <c r="G145" s="86">
        <f>(G115+G128+G144)</f>
        <v>0</v>
      </c>
      <c r="H145" s="86">
        <f t="shared" si="7"/>
        <v>1803839.86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L46" sqref="L46"/>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Albany</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1577254</v>
      </c>
      <c r="D10" s="181">
        <f>ROUND((C10/$C$28)*100,1)</f>
        <v>87.4</v>
      </c>
    </row>
    <row r="11" spans="1:4" x14ac:dyDescent="0.2">
      <c r="A11">
        <v>1200</v>
      </c>
      <c r="B11" t="s">
        <v>703</v>
      </c>
      <c r="C11" s="178">
        <f>ROUND('DOE25'!L199+'DOE25'!L217+'DOE25'!L235+'DOE25'!L278+'DOE25'!L297+'DOE25'!L316,0)</f>
        <v>71747</v>
      </c>
      <c r="D11" s="181">
        <f>ROUND((C11/$C$28)*100,1)</f>
        <v>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11376</v>
      </c>
      <c r="D15" s="181">
        <f t="shared" ref="D15:D27" si="0">ROUND((C15/$C$28)*100,1)</f>
        <v>0.6</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37274</v>
      </c>
      <c r="D17" s="181">
        <f t="shared" si="0"/>
        <v>2.1</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106189</v>
      </c>
      <c r="D21" s="181">
        <f t="shared" si="0"/>
        <v>5.9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1803840</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1803840</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986166</v>
      </c>
      <c r="D35" s="181">
        <f t="shared" ref="D35:D40" si="1">ROUND((C35/$C$41)*100,1)</f>
        <v>53.7</v>
      </c>
    </row>
    <row r="36" spans="1:4" x14ac:dyDescent="0.2">
      <c r="B36" s="184" t="s">
        <v>739</v>
      </c>
      <c r="C36" s="178">
        <f>SUM('DOE25'!F112:J112)-SUM('DOE25'!G97:G110)+('DOE25'!F175+'DOE25'!F176+'DOE25'!I175+'DOE25'!I176)-C35</f>
        <v>495.32999999995809</v>
      </c>
      <c r="D36" s="181">
        <f t="shared" si="1"/>
        <v>0</v>
      </c>
    </row>
    <row r="37" spans="1:4" x14ac:dyDescent="0.2">
      <c r="A37" s="182" t="s">
        <v>835</v>
      </c>
      <c r="B37" s="184" t="s">
        <v>728</v>
      </c>
      <c r="C37" s="178">
        <f>ROUND('DOE25'!F117+'DOE25'!F118,0)</f>
        <v>818281</v>
      </c>
      <c r="D37" s="181">
        <f t="shared" si="1"/>
        <v>44.5</v>
      </c>
    </row>
    <row r="38" spans="1:4" x14ac:dyDescent="0.2">
      <c r="A38" s="182" t="s">
        <v>734</v>
      </c>
      <c r="B38" s="184" t="s">
        <v>729</v>
      </c>
      <c r="C38" s="178">
        <f>ROUND(SUM('DOE25'!F140:J140)-SUM('DOE25'!F117:F119),0)</f>
        <v>3990</v>
      </c>
      <c r="D38" s="181">
        <f t="shared" si="1"/>
        <v>0.2</v>
      </c>
    </row>
    <row r="39" spans="1:4" x14ac:dyDescent="0.2">
      <c r="A39">
        <v>4000</v>
      </c>
      <c r="B39" s="184" t="s">
        <v>730</v>
      </c>
      <c r="C39" s="178">
        <f>ROUND('DOE25'!F170+'DOE25'!G170+'DOE25'!H170+'DOE25'!I170,0)</f>
        <v>28877</v>
      </c>
      <c r="D39" s="181">
        <f t="shared" si="1"/>
        <v>1.6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1837809.33</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Albany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2022-09-07T20:08:07Z</cp:lastPrinted>
  <dcterms:created xsi:type="dcterms:W3CDTF">1997-12-04T19:04:30Z</dcterms:created>
  <dcterms:modified xsi:type="dcterms:W3CDTF">2022-09-22T13:30:35Z</dcterms:modified>
</cp:coreProperties>
</file>