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33D9CA3C-EF11-44DB-8825-94FA06C574DA}"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840" tabRatio="8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6" i="14" l="1"/>
  <c r="H217" i="1"/>
  <c r="H523" i="1" l="1"/>
  <c r="F50" i="1"/>
  <c r="F23" i="1"/>
  <c r="F105" i="1" l="1"/>
  <c r="H155" i="1" l="1"/>
  <c r="H13" i="1"/>
  <c r="E9" i="17"/>
  <c r="B12" i="12" l="1"/>
  <c r="B20" i="12"/>
  <c r="B19" i="12"/>
  <c r="B39" i="12"/>
  <c r="B38" i="12"/>
  <c r="B37" i="12"/>
  <c r="G503" i="1"/>
  <c r="G500" i="1"/>
  <c r="G499" i="1"/>
  <c r="I522" i="1" l="1"/>
  <c r="I592" i="1" l="1"/>
  <c r="H592" i="1"/>
  <c r="I593" i="1"/>
  <c r="J96" i="1"/>
  <c r="H398" i="1"/>
  <c r="H397" i="1"/>
  <c r="G430" i="1" l="1"/>
  <c r="I278" i="1"/>
  <c r="G460" i="1" l="1"/>
  <c r="H452" i="1"/>
  <c r="H440"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4" i="2"/>
  <c r="C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F571" i="1" s="1"/>
  <c r="G566" i="1"/>
  <c r="H566" i="1"/>
  <c r="H571" i="1" s="1"/>
  <c r="I566" i="1"/>
  <c r="J566" i="1"/>
  <c r="J571" i="1" s="1"/>
  <c r="K566" i="1"/>
  <c r="L568" i="1"/>
  <c r="L569" i="1"/>
  <c r="L570" i="1"/>
  <c r="G571" i="1"/>
  <c r="I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G641" i="1"/>
  <c r="G644" i="1"/>
  <c r="G645" i="1"/>
  <c r="G651" i="1"/>
  <c r="G652" i="1"/>
  <c r="H653" i="1"/>
  <c r="G654" i="1"/>
  <c r="H654" i="1"/>
  <c r="H655" i="1"/>
  <c r="H656" i="1"/>
  <c r="C119" i="2" l="1"/>
  <c r="G409" i="1"/>
  <c r="H646" i="1" s="1"/>
  <c r="G62" i="2"/>
  <c r="C32" i="10"/>
  <c r="E125" i="2"/>
  <c r="H125" i="2" s="1"/>
  <c r="C13" i="10"/>
  <c r="F85" i="2"/>
  <c r="F91" i="2" s="1"/>
  <c r="G663" i="1"/>
  <c r="C110" i="2"/>
  <c r="H38" i="2"/>
  <c r="H43" i="2"/>
  <c r="H137" i="2"/>
  <c r="C112" i="2"/>
  <c r="H112" i="2" s="1"/>
  <c r="A40" i="12"/>
  <c r="F409" i="1"/>
  <c r="H644" i="1" s="1"/>
  <c r="J644" i="1" s="1"/>
  <c r="D18" i="13"/>
  <c r="C18" i="13" s="1"/>
  <c r="G646" i="1"/>
  <c r="H102" i="2"/>
  <c r="H101" i="2"/>
  <c r="H100" i="2"/>
  <c r="H99" i="2"/>
  <c r="H98" i="2"/>
  <c r="H79" i="2"/>
  <c r="H76" i="2"/>
  <c r="H73" i="2"/>
  <c r="H58" i="2"/>
  <c r="H15" i="2"/>
  <c r="D15" i="13"/>
  <c r="C15" i="13" s="1"/>
  <c r="C121" i="2"/>
  <c r="D6" i="13"/>
  <c r="C6" i="13" s="1"/>
  <c r="E13" i="13"/>
  <c r="C13" i="13" s="1"/>
  <c r="C120" i="2"/>
  <c r="H120" i="2" s="1"/>
  <c r="H143" i="2"/>
  <c r="G662" i="1"/>
  <c r="H23" i="2"/>
  <c r="C12" i="10"/>
  <c r="J652" i="1"/>
  <c r="D144" i="2"/>
  <c r="H97" i="2"/>
  <c r="H96" i="2"/>
  <c r="H93" i="2"/>
  <c r="H87" i="2"/>
  <c r="H80" i="2"/>
  <c r="H77" i="2"/>
  <c r="H61" i="2"/>
  <c r="H113" i="2"/>
  <c r="H132" i="2"/>
  <c r="H36" i="2"/>
  <c r="H44" i="2"/>
  <c r="I409" i="1"/>
  <c r="H89" i="2"/>
  <c r="H72" i="2"/>
  <c r="H59" i="2"/>
  <c r="H35" i="2"/>
  <c r="H34" i="2"/>
  <c r="E121" i="2"/>
  <c r="H94" i="2"/>
  <c r="H69" i="2"/>
  <c r="H25" i="2"/>
  <c r="H48" i="2"/>
  <c r="H47" i="2"/>
  <c r="H26" i="2"/>
  <c r="H24" i="2"/>
  <c r="H11" i="2"/>
  <c r="H8" i="2"/>
  <c r="H30" i="2"/>
  <c r="H29" i="2"/>
  <c r="H28" i="2"/>
  <c r="H27" i="2"/>
  <c r="H22" i="2"/>
  <c r="H17" i="2"/>
  <c r="H13" i="2"/>
  <c r="H12" i="2"/>
  <c r="H9"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J469" i="1" s="1"/>
  <c r="G140" i="1"/>
  <c r="B11" i="16" s="1"/>
  <c r="F140" i="1"/>
  <c r="G63" i="2"/>
  <c r="J619" i="1"/>
  <c r="G42" i="2"/>
  <c r="G50" i="2" s="1"/>
  <c r="J51" i="1"/>
  <c r="G16" i="2"/>
  <c r="G18" i="2" s="1"/>
  <c r="J19" i="1"/>
  <c r="G622" i="1" s="1"/>
  <c r="F546" i="1"/>
  <c r="H435" i="1"/>
  <c r="D103" i="2"/>
  <c r="I140" i="1"/>
  <c r="A22" i="12"/>
  <c r="J653" i="1"/>
  <c r="G572" i="1"/>
  <c r="I435" i="1"/>
  <c r="G435" i="1"/>
  <c r="I664" i="1"/>
  <c r="I663" i="1" l="1"/>
  <c r="J646" i="1"/>
  <c r="H123" i="2"/>
  <c r="G637" i="1"/>
  <c r="I473" i="1"/>
  <c r="H114" i="2"/>
  <c r="H109" i="2"/>
  <c r="E144" i="2"/>
  <c r="G24" i="14"/>
  <c r="H24" i="14" s="1"/>
  <c r="I24" i="14" s="1"/>
  <c r="H118" i="2"/>
  <c r="F194" i="1"/>
  <c r="F469" i="1" s="1"/>
  <c r="H628" i="1" s="1"/>
  <c r="E115" i="2"/>
  <c r="H122" i="2"/>
  <c r="E128" i="2"/>
  <c r="H121" i="2"/>
  <c r="G647" i="1"/>
  <c r="F661" i="1"/>
  <c r="F665" i="1" s="1"/>
  <c r="F668" i="1" s="1"/>
  <c r="B17" i="16"/>
  <c r="B19" i="16" s="1"/>
  <c r="G473" i="1"/>
  <c r="L572" i="1"/>
  <c r="H103" i="2"/>
  <c r="C81" i="2"/>
  <c r="H81" i="2" s="1"/>
  <c r="H78" i="2"/>
  <c r="H85" i="2"/>
  <c r="H57" i="2"/>
  <c r="D128" i="2"/>
  <c r="D145" i="2" s="1"/>
  <c r="H127" i="2"/>
  <c r="H91" i="2"/>
  <c r="H42" i="2"/>
  <c r="H134" i="2"/>
  <c r="H16" i="2"/>
  <c r="H62" i="2"/>
  <c r="H21" i="2"/>
  <c r="H50" i="2"/>
  <c r="E51" i="2"/>
  <c r="D51" i="2"/>
  <c r="H31" i="2"/>
  <c r="H18" i="2"/>
  <c r="F144" i="2"/>
  <c r="H130" i="2"/>
  <c r="H661" i="1"/>
  <c r="H665" i="1" s="1"/>
  <c r="H668" i="1" s="1"/>
  <c r="H194" i="1"/>
  <c r="H649" i="1"/>
  <c r="J649" i="1" s="1"/>
  <c r="C141" i="2"/>
  <c r="F51" i="2"/>
  <c r="G36" i="14"/>
  <c r="H36" i="14" s="1"/>
  <c r="I36" i="14" s="1"/>
  <c r="E104" i="2"/>
  <c r="C36" i="10"/>
  <c r="L435" i="1"/>
  <c r="I662" i="1"/>
  <c r="G104" i="2"/>
  <c r="L339" i="1"/>
  <c r="L353" i="1" s="1"/>
  <c r="H473" i="1" s="1"/>
  <c r="I194" i="1"/>
  <c r="G636" i="1"/>
  <c r="G51" i="2"/>
  <c r="D104" i="2"/>
  <c r="L409" i="1"/>
  <c r="C27" i="10"/>
  <c r="C28" i="10" s="1"/>
  <c r="D23" i="10" s="1"/>
  <c r="G4" i="14"/>
  <c r="H4" i="14" s="1"/>
  <c r="I4" i="14" s="1"/>
  <c r="L546" i="1"/>
  <c r="F104" i="2"/>
  <c r="B14" i="16"/>
  <c r="E33" i="13"/>
  <c r="D35" i="13" s="1"/>
  <c r="J648" i="1"/>
  <c r="L258" i="1"/>
  <c r="L272" i="1" s="1"/>
  <c r="C115" i="2"/>
  <c r="H115" i="2" s="1"/>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G628" i="1" l="1"/>
  <c r="I475" i="1"/>
  <c r="H637" i="1"/>
  <c r="J637" i="1" s="1"/>
  <c r="G634" i="1"/>
  <c r="E145" i="2"/>
  <c r="G633" i="1"/>
  <c r="F473" i="1"/>
  <c r="J628" i="1"/>
  <c r="F471" i="1"/>
  <c r="H673" i="1"/>
  <c r="C6" i="10" s="1"/>
  <c r="B22" i="16"/>
  <c r="G631" i="1"/>
  <c r="I469" i="1"/>
  <c r="G639" i="1"/>
  <c r="J473" i="1"/>
  <c r="G630" i="1"/>
  <c r="H469" i="1"/>
  <c r="G629" i="1"/>
  <c r="G469" i="1"/>
  <c r="J471" i="1"/>
  <c r="H632" i="1"/>
  <c r="J632" i="1" s="1"/>
  <c r="H638" i="1"/>
  <c r="H636" i="1"/>
  <c r="J636" i="1" s="1"/>
  <c r="G475" i="1"/>
  <c r="H128" i="2"/>
  <c r="C144" i="2"/>
  <c r="C145" i="2" s="1"/>
  <c r="H141" i="2"/>
  <c r="C104" i="2"/>
  <c r="H104" i="2" s="1"/>
  <c r="H63" i="2"/>
  <c r="H51" i="2"/>
  <c r="F145" i="2"/>
  <c r="F673" i="1"/>
  <c r="C4" i="10" s="1"/>
  <c r="I661" i="1"/>
  <c r="I665" i="1" s="1"/>
  <c r="I673" i="1" s="1"/>
  <c r="C7" i="10"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H475" i="1" l="1"/>
  <c r="H634" i="1"/>
  <c r="J634" i="1" s="1"/>
  <c r="H633" i="1"/>
  <c r="J633" i="1" s="1"/>
  <c r="F475" i="1"/>
  <c r="F477" i="1" s="1"/>
  <c r="H623" i="1" s="1"/>
  <c r="J623" i="1" s="1"/>
  <c r="G471" i="1"/>
  <c r="H629" i="1"/>
  <c r="J629" i="1" s="1"/>
  <c r="J475" i="1"/>
  <c r="J477" i="1" s="1"/>
  <c r="H627" i="1" s="1"/>
  <c r="J627" i="1" s="1"/>
  <c r="H639" i="1"/>
  <c r="J639" i="1" s="1"/>
  <c r="H471" i="1"/>
  <c r="H630" i="1"/>
  <c r="J630" i="1" s="1"/>
  <c r="H631" i="1"/>
  <c r="J631" i="1" s="1"/>
  <c r="I471" i="1"/>
  <c r="I477" i="1" s="1"/>
  <c r="H626" i="1" s="1"/>
  <c r="J626" i="1" s="1"/>
  <c r="G477" i="1"/>
  <c r="H624" i="1" s="1"/>
  <c r="H144" i="2"/>
  <c r="J638" i="1"/>
  <c r="H145" i="2"/>
  <c r="I668" i="1"/>
  <c r="D28" i="10"/>
  <c r="D37" i="10"/>
  <c r="D36" i="10"/>
  <c r="D35" i="10"/>
  <c r="D40" i="10"/>
  <c r="D39" i="10"/>
  <c r="H477" i="1" l="1"/>
  <c r="H625" i="1" s="1"/>
  <c r="J625" i="1" s="1"/>
  <c r="J624" i="1"/>
  <c r="B33" i="16"/>
  <c r="D41" i="10"/>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<sst xmlns="http://schemas.openxmlformats.org/spreadsheetml/2006/main" count="6537" uniqueCount="1808">
  <si>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</si>
  <si>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</si>
  <si>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</si>
  <si>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</si>
  <si>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</si>
  <si>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</si>
  <si>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</si>
  <si>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</si>
  <si>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</si>
  <si>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</si>
  <si>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</si>
  <si>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</si>
  <si>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</si>
  <si>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</si>
  <si>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</si>
  <si>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</si>
  <si>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</si>
  <si>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</si>
  <si>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</si>
  <si>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</si>
  <si>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</si>
  <si>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</si>
  <si>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</si>
  <si>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</si>
  <si>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</si>
  <si>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</si>
  <si>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</si>
  <si>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</si>
  <si>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</si>
  <si>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</si>
  <si>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</si>
  <si>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</si>
  <si>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</si>
  <si>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</si>
  <si>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</si>
  <si>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</si>
  <si>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</si>
  <si>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</si>
  <si>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</si>
  <si>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</si>
  <si>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</si>
  <si>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</si>
  <si>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</si>
  <si>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</si>
  <si>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</si>
  <si>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</si>
  <si>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</si>
  <si>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</si>
  <si>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</si>
  <si>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</si>
  <si>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</si>
  <si>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</si>
  <si>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</si>
  <si>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</si>
  <si>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</si>
  <si>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</si>
  <si>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</si>
  <si>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</si>
  <si>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</si>
  <si>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</si>
  <si>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</si>
  <si>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</si>
  <si>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</si>
  <si>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</si>
  <si>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</si>
  <si>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</si>
  <si>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</si>
  <si>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</si>
  <si>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</si>
  <si>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</si>
  <si>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</si>
  <si>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</si>
  <si>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</si>
  <si>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</si>
  <si>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</si>
  <si>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</si>
  <si>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</si>
  <si>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</si>
  <si>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</si>
  <si>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</si>
  <si>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</si>
  <si>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</si>
  <si>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</si>
  <si>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</si>
  <si>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</si>
  <si>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</si>
  <si>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</si>
  <si>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</si>
  <si>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</si>
  <si>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</si>
  <si>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</si>
  <si>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</si>
  <si>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</si>
  <si>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</si>
  <si>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</si>
  <si>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</si>
  <si>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</si>
  <si>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</si>
  <si>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</si>
  <si>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</si>
  <si>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</si>
  <si>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</si>
  <si>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</si>
  <si>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</si>
  <si>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</si>
  <si>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</si>
  <si>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</si>
  <si>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</si>
  <si>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</si>
  <si>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</si>
  <si>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</si>
  <si>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</si>
  <si>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</si>
  <si>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</si>
  <si>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</si>
  <si>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</si>
  <si>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</si>
  <si>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</si>
  <si>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</si>
  <si>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</si>
  <si>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</si>
  <si>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</si>
  <si>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</si>
  <si>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</si>
  <si>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</si>
  <si>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</si>
  <si>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</si>
  <si>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</si>
  <si>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</si>
  <si>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</si>
  <si>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</si>
  <si>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</si>
  <si>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</si>
  <si>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</si>
  <si>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</si>
  <si>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</si>
  <si>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</si>
  <si>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</si>
  <si>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</si>
  <si>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</si>
  <si>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</si>
  <si>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</si>
  <si>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</si>
  <si>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</si>
  <si>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</si>
  <si>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</si>
  <si>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</si>
  <si>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</si>
  <si>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</si>
  <si>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</si>
  <si>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</si>
  <si>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</si>
  <si>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</si>
  <si>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</si>
  <si>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</si>
  <si>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</si>
  <si>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</si>
  <si>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</si>
  <si>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</si>
  <si>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</si>
  <si>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</si>
  <si>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</si>
  <si>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</si>
  <si>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</si>
  <si>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</si>
  <si>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</si>
  <si>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</si>
  <si>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</si>
  <si>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</si>
  <si>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</si>
  <si>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</si>
  <si>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</si>
  <si>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</si>
  <si>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</si>
  <si>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</si>
  <si>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</si>
  <si>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</si>
  <si>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</si>
  <si>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</si>
  <si>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</si>
  <si>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</si>
  <si>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</si>
  <si>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</si>
  <si>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</si>
  <si>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</si>
  <si>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</si>
  <si>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</si>
  <si>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</si>
  <si>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</si>
  <si>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</si>
  <si>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</si>
  <si>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</si>
  <si>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</si>
  <si>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</si>
  <si>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</si>
  <si>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</si>
  <si>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</si>
  <si>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</si>
  <si>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</si>
  <si>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</si>
  <si>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</si>
  <si>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</si>
  <si>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</si>
  <si>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</si>
  <si>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</si>
  <si>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</si>
  <si>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</si>
  <si>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</si>
  <si>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</si>
  <si>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</si>
  <si>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</si>
  <si>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</si>
  <si>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</si>
  <si>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</si>
  <si>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</si>
  <si>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</si>
  <si>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</si>
  <si>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</si>
  <si>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</si>
  <si>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</si>
  <si>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</si>
  <si>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</si>
  <si>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</si>
  <si>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</si>
  <si>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</si>
  <si>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</si>
  <si>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</si>
  <si>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</si>
  <si>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</si>
  <si>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</si>
  <si>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</si>
  <si>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</si>
  <si>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</si>
  <si>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</si>
  <si>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</si>
  <si>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</si>
  <si>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</si>
  <si>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</si>
  <si>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</si>
  <si>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</si>
  <si>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</si>
  <si>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</si>
  <si>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</si>
  <si>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</si>
  <si>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</si>
  <si>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</si>
  <si>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</si>
  <si>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</si>
  <si>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</si>
  <si>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</si>
  <si>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</si>
  <si>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</si>
  <si>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</si>
  <si>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</si>
  <si>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</si>
  <si>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</si>
  <si>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</si>
  <si>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</si>
  <si>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</si>
  <si>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</si>
  <si>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</si>
  <si>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</si>
  <si>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</si>
  <si>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</si>
  <si>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</si>
  <si>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</si>
  <si>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</si>
  <si>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</si>
  <si>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</si>
  <si>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</si>
  <si>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</si>
  <si>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</si>
  <si>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</si>
  <si>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</si>
  <si>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</si>
  <si>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</si>
  <si>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</si>
  <si>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</si>
  <si>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</si>
  <si>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</si>
  <si>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</si>
  <si>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</si>
  <si>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</si>
  <si>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</si>
  <si>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</si>
  <si>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</si>
  <si>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</si>
  <si>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</si>
  <si>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</si>
  <si>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</si>
  <si>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</si>
  <si>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</si>
  <si>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</si>
  <si>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</si>
  <si>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</si>
  <si>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</si>
  <si>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</si>
  <si>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</si>
  <si>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</si>
  <si>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</si>
  <si>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</si>
  <si>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</si>
  <si>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</si>
  <si>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</si>
  <si>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</si>
  <si>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</si>
  <si>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</si>
  <si>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</si>
  <si>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</si>
  <si>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</si>
  <si>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</si>
  <si>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</si>
  <si>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</si>
  <si>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</si>
  <si>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</si>
  <si>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</si>
  <si>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</si>
  <si>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</si>
  <si>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</si>
  <si>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</si>
  <si>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</si>
  <si>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</si>
  <si>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</si>
  <si>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</si>
  <si>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</si>
  <si>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</si>
  <si>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</si>
  <si>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</si>
  <si>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</si>
  <si>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</si>
  <si>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</si>
  <si>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</si>
  <si>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</si>
  <si>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</si>
  <si>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</si>
  <si>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</si>
  <si>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</si>
  <si>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</si>
  <si>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</si>
  <si>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</si>
  <si>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</si>
  <si>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</si>
  <si>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</si>
  <si>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</si>
  <si>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</si>
  <si>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</si>
  <si>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</si>
  <si>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</si>
  <si>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</si>
  <si>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</si>
  <si>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</si>
  <si>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</si>
  <si>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</si>
  <si>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</si>
  <si>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</si>
  <si>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</si>
  <si>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</si>
  <si>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</si>
  <si>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</si>
  <si>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</si>
  <si>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</si>
  <si>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</si>
  <si>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</si>
  <si>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</si>
  <si>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</si>
  <si>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</si>
  <si>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</si>
  <si>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</si>
  <si>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</si>
  <si>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</si>
  <si>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</si>
  <si>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</si>
  <si>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</si>
  <si>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</si>
  <si>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</si>
  <si>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</si>
  <si>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</si>
  <si>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</si>
  <si>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</si>
  <si>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</si>
  <si>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</si>
  <si>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</si>
  <si>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</si>
  <si>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</si>
  <si>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</si>
  <si>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</si>
  <si>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</si>
  <si>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</si>
  <si>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</si>
  <si>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</si>
  <si>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</si>
  <si>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</si>
  <si>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</si>
  <si>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</si>
  <si>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</si>
  <si>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</si>
  <si>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</si>
  <si>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</si>
  <si>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</si>
  <si>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</si>
  <si>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</si>
  <si>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</si>
  <si>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</si>
  <si>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</si>
  <si>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</si>
  <si>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</si>
  <si>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</si>
  <si>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</si>
  <si>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</si>
  <si>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</si>
  <si>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</si>
  <si>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</si>
  <si>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</si>
  <si>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</si>
  <si>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</si>
  <si>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</si>
  <si>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</si>
  <si>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</si>
  <si>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</si>
  <si>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</si>
  <si>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</si>
  <si>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</si>
  <si>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</si>
  <si>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</si>
  <si>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</si>
  <si>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</si>
  <si>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</si>
  <si>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</si>
  <si>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</si>
  <si>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</si>
  <si>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</si>
  <si>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</si>
  <si>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</si>
  <si>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</si>
  <si>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</si>
  <si>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</si>
  <si>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</si>
  <si>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</si>
  <si>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</si>
  <si>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</si>
  <si>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</si>
  <si>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</si>
  <si>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</si>
  <si>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</si>
  <si>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</si>
  <si>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</si>
  <si>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</si>
  <si>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</si>
  <si>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</si>
  <si>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</si>
  <si>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</si>
  <si>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</si>
  <si>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</si>
  <si>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</si>
  <si>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</si>
  <si>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</si>
  <si>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</si>
  <si>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</si>
  <si>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</si>
  <si>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</si>
  <si>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</si>
  <si>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</si>
  <si>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</si>
  <si>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</si>
  <si>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</si>
  <si>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</si>
  <si>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</si>
  <si>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</si>
  <si>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</si>
  <si>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</si>
  <si>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</si>
  <si>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</si>
  <si>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</si>
  <si>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</si>
  <si>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</si>
  <si>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</si>
  <si>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</si>
  <si>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</si>
  <si>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</si>
  <si>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</si>
  <si>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</si>
  <si>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</si>
  <si>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</si>
  <si>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</si>
  <si>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</si>
  <si>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</si>
  <si>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</si>
  <si>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</si>
  <si>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</si>
  <si>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</si>
  <si>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</si>
  <si>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</si>
  <si>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</si>
  <si>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</si>
  <si>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</si>
  <si>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</si>
  <si>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</si>
  <si>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</si>
  <si>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</si>
  <si>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</si>
  <si>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</si>
  <si>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</si>
  <si>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</si>
  <si>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</si>
  <si>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</si>
  <si>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</si>
  <si>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</si>
  <si>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</si>
  <si>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</si>
  <si>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</si>
  <si>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</si>
  <si>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</si>
  <si>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</si>
  <si>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</si>
  <si>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</si>
  <si>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</si>
  <si>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</si>
  <si>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</si>
  <si>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</si>
  <si>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</si>
  <si>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</si>
  <si>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</si>
  <si>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</si>
  <si>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</si>
  <si>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</si>
  <si>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</si>
  <si>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</si>
  <si>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</si>
  <si>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</si>
  <si>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</si>
  <si>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</si>
  <si>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</si>
  <si>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</si>
  <si>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</si>
  <si>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</si>
  <si>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</si>
  <si>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</si>
  <si>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</si>
  <si>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</si>
  <si>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</si>
  <si>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</si>
  <si>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</si>
  <si>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</si>
  <si>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</si>
  <si>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</si>
  <si>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</si>
  <si>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</si>
  <si>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</si>
  <si>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</si>
  <si>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</si>
  <si>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</si>
  <si>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</si>
  <si>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</si>
  <si>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</si>
  <si>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</si>
  <si>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</si>
  <si>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</si>
  <si>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</si>
  <si>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</si>
  <si>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</si>
  <si>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</si>
  <si>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</si>
  <si>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</si>
  <si>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</si>
  <si>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</si>
  <si>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</si>
  <si>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</si>
  <si>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</si>
  <si>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</si>
  <si>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</si>
  <si>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</si>
  <si>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</si>
  <si>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</si>
  <si>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</si>
  <si>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</si>
  <si>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</si>
  <si>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</si>
  <si>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</si>
  <si>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</si>
  <si>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</si>
  <si>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</si>
  <si>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</si>
  <si>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</si>
  <si>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</si>
  <si>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</si>
  <si>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</si>
  <si>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</si>
  <si>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</si>
  <si>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</si>
  <si>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</si>
  <si>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</si>
  <si>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</si>
  <si>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</si>
  <si>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</si>
  <si>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</si>
  <si>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</si>
  <si>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</si>
  <si>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</si>
  <si>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</si>
  <si>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</si>
  <si>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</si>
  <si>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</si>
  <si>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</si>
  <si>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</si>
  <si>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</si>
  <si>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</si>
  <si>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</si>
  <si>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</si>
  <si>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</si>
  <si>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</si>
  <si>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</si>
  <si>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</si>
  <si>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</si>
  <si>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</si>
  <si>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</si>
  <si>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</si>
  <si>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</si>
  <si>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</si>
  <si>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</si>
  <si>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</si>
  <si>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</si>
  <si>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</si>
  <si>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</si>
  <si>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</si>
  <si>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</si>
  <si>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</si>
  <si>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</si>
  <si>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</si>
  <si>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</si>
  <si>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</si>
  <si>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</si>
  <si>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</si>
  <si>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</si>
  <si>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</si>
  <si>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</si>
  <si>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</si>
  <si>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</si>
  <si>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</si>
  <si>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</si>
  <si>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</si>
  <si>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</si>
  <si>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</si>
  <si>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</si>
  <si>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</si>
  <si>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</si>
  <si>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</si>
  <si>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</si>
  <si>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</si>
  <si>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</si>
  <si>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</si>
  <si>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</si>
  <si>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</si>
  <si>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</si>
  <si>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</si>
  <si>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</si>
  <si>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</si>
  <si>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</si>
  <si>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</si>
  <si>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</si>
  <si>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</si>
  <si>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</si>
  <si>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</si>
  <si>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</si>
  <si>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</si>
  <si>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</si>
  <si>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</si>
  <si>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</si>
  <si>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</si>
  <si>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</si>
  <si>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</si>
  <si>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</si>
  <si>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</si>
  <si>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</si>
  <si>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</si>
  <si>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</si>
  <si>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</si>
  <si>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</si>
  <si>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</si>
  <si>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</si>
  <si>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</si>
  <si>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</si>
  <si>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</si>
  <si>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</si>
  <si>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</si>
  <si>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</si>
  <si>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</si>
  <si>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</si>
  <si>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</si>
  <si>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</si>
  <si>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</si>
  <si>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</si>
  <si>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</si>
  <si>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</si>
  <si>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</si>
  <si>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</si>
  <si>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</si>
  <si>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</si>
  <si>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</si>
  <si>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</si>
  <si>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</si>
  <si>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</si>
  <si>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</si>
  <si>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</si>
  <si>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</si>
  <si>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</si>
  <si>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</si>
  <si>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</si>
  <si>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</si>
  <si>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</si>
  <si>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</si>
  <si>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</si>
  <si>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</si>
  <si>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</si>
  <si>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</si>
  <si>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</si>
  <si>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</si>
  <si>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</si>
  <si>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</si>
  <si>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</si>
  <si>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</si>
  <si>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</si>
  <si>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</si>
  <si>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</si>
  <si>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</si>
  <si>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</si>
  <si>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</si>
  <si>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</si>
  <si>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</si>
  <si>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</si>
  <si>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</si>
  <si>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</si>
  <si>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</si>
  <si>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</si>
  <si>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</si>
  <si>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</si>
  <si>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</si>
  <si>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</si>
  <si>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</si>
  <si>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</si>
  <si>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</si>
  <si>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</si>
  <si>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</si>
  <si>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</si>
  <si>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</si>
  <si>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</si>
  <si>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</si>
  <si>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</si>
  <si>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</si>
  <si>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</si>
  <si>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</si>
  <si>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</si>
  <si>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</si>
  <si>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</si>
  <si>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</si>
  <si>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</si>
  <si>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</si>
  <si>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</si>
  <si>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</si>
  <si>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</si>
  <si>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</si>
  <si>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</si>
  <si>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</si>
  <si>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</si>
  <si>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</si>
  <si>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</si>
  <si>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</si>
  <si>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</si>
  <si>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</si>
  <si>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</si>
  <si>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</si>
  <si>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</si>
  <si>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</si>
  <si>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</si>
  <si>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</si>
  <si>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</si>
  <si>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</si>
  <si>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</si>
  <si>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</si>
  <si>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</si>
  <si>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</si>
  <si>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</si>
  <si>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</si>
  <si>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</si>
  <si>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</si>
  <si>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</si>
  <si>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</si>
  <si>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</si>
  <si>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</si>
  <si>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</si>
  <si>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</si>
  <si>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</si>
  <si>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</si>
  <si>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</si>
  <si>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</si>
  <si>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</si>
  <si>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</si>
  <si>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</si>
  <si>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</si>
  <si>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</si>
  <si>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</si>
  <si>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</si>
  <si>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</si>
  <si>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</si>
  <si>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</si>
  <si>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</si>
  <si>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</si>
  <si>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</si>
  <si>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</si>
  <si>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</si>
  <si>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</si>
  <si>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</si>
  <si>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</si>
  <si>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</si>
  <si>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</si>
  <si>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</si>
  <si>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</si>
  <si>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</si>
  <si>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</si>
  <si>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</si>
  <si>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</si>
  <si>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</si>
  <si>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</si>
  <si>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</si>
  <si>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</si>
  <si>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</si>
  <si>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</si>
  <si>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</si>
  <si>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</si>
  <si>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</si>
  <si>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</si>
  <si>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</si>
  <si>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</si>
  <si>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</si>
  <si>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</si>
  <si>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</si>
  <si>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</si>
  <si>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</si>
  <si>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</si>
  <si>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</si>
  <si>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</si>
  <si>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</si>
  <si>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</si>
  <si>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</si>
  <si>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</si>
  <si>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</si>
  <si>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</si>
  <si>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</si>
  <si>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</si>
  <si>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</si>
  <si>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</si>
  <si>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</si>
  <si>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</si>
  <si>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</si>
  <si>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</si>
  <si>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</si>
  <si>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</si>
  <si>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</si>
  <si>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</si>
  <si>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</si>
  <si>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</si>
  <si>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</si>
  <si>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</si>
  <si>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</si>
  <si>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</si>
  <si>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</si>
  <si>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</si>
  <si>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</si>
  <si>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</si>
  <si>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</si>
  <si>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</si>
  <si>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</si>
  <si>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</si>
  <si>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</si>
  <si>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</si>
  <si>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</si>
  <si>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</si>
  <si>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</si>
  <si>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</si>
  <si>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</si>
  <si>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</si>
  <si>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</si>
  <si>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</si>
  <si>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</si>
  <si>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</si>
  <si>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</si>
  <si>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</si>
  <si>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</si>
  <si>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</si>
  <si>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</si>
  <si>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</si>
  <si>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</si>
  <si>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</si>
  <si>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</si>
  <si>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</si>
  <si>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</si>
  <si>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</si>
  <si>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</si>
  <si>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</si>
  <si>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</si>
  <si>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</si>
  <si>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</si>
  <si>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</si>
  <si>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</si>
  <si>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</si>
  <si>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</si>
  <si>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</si>
  <si>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</si>
  <si>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</si>
  <si>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</si>
  <si>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</si>
  <si>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</si>
  <si>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</si>
  <si>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</si>
  <si>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</si>
  <si>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</si>
  <si>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</si>
  <si>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</si>
  <si>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</si>
  <si>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</si>
  <si>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</si>
  <si>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</si>
  <si>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</si>
  <si>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</si>
  <si>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</si>
  <si>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</si>
  <si>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</si>
  <si>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</si>
  <si>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</si>
  <si>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</si>
  <si>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</si>
  <si>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</si>
  <si>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</si>
  <si>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</si>
  <si>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</si>
  <si>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</si>
  <si>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</si>
  <si>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</si>
  <si>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</si>
  <si>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</si>
  <si>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</si>
  <si>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</si>
  <si>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</si>
  <si>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</si>
  <si>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</si>
  <si>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</si>
  <si>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</si>
  <si>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</si>
  <si>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</si>
  <si>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</si>
  <si>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</si>
  <si>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</si>
  <si>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</si>
  <si>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</si>
  <si>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</si>
  <si>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</si>
  <si>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</si>
  <si>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</si>
  <si>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</si>
  <si>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</si>
  <si>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</si>
  <si>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</si>
  <si>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</si>
  <si>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</si>
  <si>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</si>
  <si>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</si>
  <si>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</si>
  <si>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</si>
  <si>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</si>
  <si>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</si>
  <si>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</si>
  <si>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</si>
  <si>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</si>
  <si>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</si>
  <si>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</si>
  <si>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</si>
  <si>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</si>
  <si>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</si>
  <si>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</si>
  <si>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</si>
  <si>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</si>
  <si>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</si>
  <si>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</si>
  <si>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</si>
  <si>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</si>
  <si>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</si>
  <si>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</si>
  <si>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</si>
  <si>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</si>
  <si>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</si>
  <si>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</si>
  <si>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</si>
  <si>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</si>
  <si>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</si>
  <si>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</si>
  <si>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</si>
  <si>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</si>
  <si>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</si>
  <si>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</si>
  <si>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</si>
  <si>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</si>
  <si>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</si>
  <si>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</si>
  <si>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</si>
  <si>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</si>
  <si>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</si>
  <si>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</si>
  <si>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</si>
  <si>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</si>
  <si>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</si>
  <si>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</si>
  <si>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</si>
  <si>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</si>
  <si>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</si>
  <si>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</si>
  <si>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</si>
  <si>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</si>
  <si>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</si>
  <si>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</si>
  <si>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</si>
  <si>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</si>
  <si>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</si>
  <si>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</si>
  <si>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</si>
  <si>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</si>
  <si>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</si>
  <si>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</si>
  <si>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</si>
  <si>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</si>
  <si>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</si>
  <si>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</si>
  <si>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</si>
  <si>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</si>
  <si>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</si>
  <si>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</si>
  <si>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</si>
  <si>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</si>
  <si>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</si>
  <si>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</si>
  <si>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</si>
  <si>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</si>
  <si>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</si>
  <si>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</si>
  <si>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</si>
  <si>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</si>
  <si>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</si>
  <si>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</si>
  <si>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</si>
  <si>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</si>
  <si>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</si>
  <si>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</si>
  <si>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</si>
  <si>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</si>
  <si>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</si>
  <si>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</si>
  <si>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</si>
  <si>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</si>
  <si>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</si>
  <si>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</si>
  <si>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</si>
  <si>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</si>
  <si>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</si>
  <si>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</si>
  <si>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</si>
  <si>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</si>
  <si>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</si>
  <si>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</si>
  <si>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</si>
  <si>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</si>
  <si>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</si>
  <si>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</si>
  <si>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</si>
  <si>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</si>
  <si>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</si>
  <si>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</si>
  <si>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</si>
  <si>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</si>
  <si>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</si>
  <si>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</si>
  <si>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</si>
  <si>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</si>
  <si>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</si>
  <si>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</si>
  <si>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</si>
  <si>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</si>
  <si>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</si>
  <si>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</si>
  <si>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</si>
  <si>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</si>
  <si>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</si>
  <si>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</si>
  <si>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</si>
  <si>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</si>
  <si>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</si>
  <si>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</si>
  <si>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</si>
  <si>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</si>
  <si>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</si>
  <si>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</si>
  <si>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</si>
  <si>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</si>
  <si>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</si>
  <si>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</si>
  <si>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</si>
  <si>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</si>
  <si>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</si>
  <si>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</si>
  <si>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</si>
  <si>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</si>
  <si>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</si>
  <si>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</si>
  <si>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</si>
  <si>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</si>
  <si>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</si>
  <si>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</si>
  <si>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</si>
  <si>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</si>
  <si>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</si>
  <si>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</si>
  <si>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</si>
  <si>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</si>
  <si>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</si>
  <si>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</si>
  <si>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</si>
  <si>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</si>
  <si>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</si>
  <si>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</si>
  <si>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</si>
  <si>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</si>
  <si>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</si>
  <si>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</si>
  <si>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</si>
  <si>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</si>
  <si>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</si>
  <si>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</si>
  <si>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</si>
  <si>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</si>
  <si>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</si>
  <si>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</si>
  <si>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</si>
  <si>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</si>
  <si>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</si>
  <si>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</si>
  <si>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</si>
  <si>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</si>
  <si>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</si>
  <si>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</si>
  <si>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</si>
  <si>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</si>
  <si>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</si>
  <si>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</si>
  <si>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</si>
  <si>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</si>
  <si>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</si>
  <si>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</si>
  <si>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</si>
  <si>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</si>
  <si>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</si>
  <si>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</si>
  <si>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</si>
  <si>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</si>
  <si>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</si>
  <si>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</si>
  <si>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</si>
  <si>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</si>
  <si>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</si>
  <si>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</si>
  <si>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</si>
  <si>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</si>
  <si>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</si>
  <si>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</si>
  <si>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</si>
  <si>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</si>
  <si>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</si>
  <si>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</si>
  <si>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</si>
  <si>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</si>
  <si>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</si>
  <si>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</si>
  <si>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</si>
  <si>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</si>
  <si>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</si>
  <si>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</si>
  <si>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</si>
  <si>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</si>
  <si>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</si>
  <si>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</si>
  <si>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</si>
  <si>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</si>
  <si>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</si>
  <si>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</si>
  <si>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</si>
  <si>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</si>
  <si>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</si>
  <si>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</si>
  <si>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</si>
  <si>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</si>
  <si>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</si>
  <si>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</si>
  <si>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</si>
  <si>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</si>
  <si>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</si>
  <si>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</si>
  <si>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</si>
  <si>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</si>
  <si>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</si>
  <si>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</si>
  <si>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</si>
  <si>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</si>
  <si>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</si>
  <si>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</si>
  <si>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</si>
  <si>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</si>
  <si>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</si>
  <si>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</si>
  <si>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</si>
  <si>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</si>
  <si>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</si>
  <si>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</si>
  <si>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</si>
  <si>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</si>
  <si>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</si>
  <si>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</si>
  <si>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</si>
  <si>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</si>
  <si>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</si>
  <si>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</si>
  <si>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</si>
  <si>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</si>
  <si>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</si>
  <si>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</si>
  <si>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</si>
  <si>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</si>
  <si>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</si>
  <si>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</si>
  <si>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</si>
  <si>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</si>
  <si>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</si>
  <si>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</si>
  <si>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</si>
  <si>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</si>
  <si>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</si>
  <si>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</si>
  <si>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</si>
  <si>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</si>
  <si>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</si>
  <si>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</si>
  <si>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</si>
  <si>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</si>
  <si>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</si>
  <si>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</si>
  <si>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</si>
  <si>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</si>
  <si>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</si>
  <si>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</si>
  <si>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</si>
  <si>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</si>
  <si>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</si>
  <si>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</si>
  <si>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</si>
  <si>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</si>
  <si>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</si>
  <si>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</si>
  <si>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</si>
  <si>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</si>
  <si>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</si>
  <si>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</si>
  <si>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</si>
  <si>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</si>
  <si>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</si>
  <si>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</si>
  <si>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</si>
  <si>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</si>
  <si>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</si>
  <si>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</si>
  <si>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</si>
  <si>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</si>
  <si>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</si>
  <si>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</si>
  <si>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</si>
  <si>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</si>
  <si>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</si>
  <si>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</si>
  <si>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</si>
  <si>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</si>
  <si>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</si>
  <si>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</si>
  <si>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</si>
  <si>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</si>
  <si>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</si>
  <si>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</si>
  <si>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</si>
  <si>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</si>
  <si>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</si>
  <si>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</si>
  <si>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</si>
  <si>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</si>
  <si>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</si>
  <si>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</si>
  <si>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</si>
  <si>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</si>
  <si>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</si>
  <si>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</si>
  <si>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</si>
  <si>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</si>
  <si>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</si>
  <si>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</si>
  <si>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</si>
  <si>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</si>
  <si>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</si>
  <si>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</si>
  <si>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</si>
  <si>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</si>
  <si>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</si>
  <si>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</si>
  <si>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</si>
  <si>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</si>
  <si>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</si>
  <si>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</si>
  <si>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</si>
  <si>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</si>
  <si>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</si>
  <si>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</si>
  <si>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</si>
  <si>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</si>
  <si>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</si>
  <si>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</si>
  <si>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</si>
  <si>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</si>
  <si>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</si>
  <si>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</si>
  <si>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</si>
  <si>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</si>
  <si>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</si>
  <si>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</si>
  <si>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</si>
  <si>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</si>
  <si>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</si>
  <si>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</si>
  <si>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</si>
  <si>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</si>
  <si>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</si>
  <si>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</si>
  <si>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</si>
  <si>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</si>
  <si>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</si>
  <si>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</si>
  <si>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</si>
  <si>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</si>
  <si>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</si>
  <si>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</si>
  <si>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</si>
  <si>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</si>
  <si>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</si>
  <si>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</si>
  <si>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</si>
  <si>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</si>
  <si>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</si>
  <si>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</si>
  <si>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</si>
  <si>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</si>
  <si>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</si>
  <si>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</si>
  <si>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</si>
  <si>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</si>
  <si>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</si>
  <si>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</si>
  <si>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</si>
  <si>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</si>
  <si>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</si>
  <si>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</si>
  <si>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</si>
  <si>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</si>
  <si>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</si>
  <si>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</si>
  <si>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</si>
  <si>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</si>
  <si>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</si>
  <si>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</si>
  <si>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</si>
  <si>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</si>
  <si>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</si>
  <si>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</si>
  <si>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</si>
  <si>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</si>
  <si>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</si>
  <si>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</si>
  <si>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</si>
  <si>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</si>
  <si>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</si>
  <si>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</si>
  <si>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</si>
  <si>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</si>
  <si>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</si>
  <si>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</si>
  <si>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</si>
  <si>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</si>
  <si>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</si>
  <si>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</si>
  <si>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</si>
  <si>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</si>
  <si>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</si>
  <si>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</si>
  <si>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</si>
  <si>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</si>
  <si>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</si>
  <si>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</si>
  <si>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</si>
  <si>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</si>
  <si>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</si>
  <si>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</si>
  <si>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</si>
  <si>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</si>
  <si>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</si>
  <si>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</si>
  <si>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</si>
  <si>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</si>
  <si>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</si>
  <si>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</si>
  <si>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</si>
  <si>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</si>
  <si>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</si>
  <si>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</si>
  <si>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</si>
  <si>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</si>
  <si>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</si>
  <si>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</si>
  <si>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</si>
  <si>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</si>
  <si>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</si>
  <si>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</si>
  <si>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</si>
  <si>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</si>
  <si>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</si>
  <si>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</si>
  <si>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</si>
  <si>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</si>
  <si>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</si>
  <si>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</si>
  <si>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</si>
  <si>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</si>
  <si>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</si>
  <si>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</si>
  <si>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</si>
  <si>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</si>
  <si>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</si>
  <si>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</si>
  <si>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</si>
  <si>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</si>
  <si>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</si>
  <si>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</si>
  <si>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</si>
  <si>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</si>
  <si>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</si>
  <si>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</si>
  <si>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</si>
  <si>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</si>
  <si>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</si>
  <si>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</si>
  <si>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</si>
  <si>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</si>
  <si>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</si>
  <si>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</si>
  <si>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</si>
  <si>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</si>
  <si>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</si>
  <si>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</si>
  <si>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</si>
  <si>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</si>
  <si>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</si>
  <si>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</si>
  <si>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</si>
  <si>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</si>
  <si>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</si>
  <si>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</si>
  <si>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</si>
  <si>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</si>
  <si>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</si>
  <si>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</si>
  <si>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</si>
  <si>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</si>
  <si>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</si>
  <si>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</si>
  <si>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</si>
  <si>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</si>
  <si>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</si>
  <si>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</si>
  <si>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</si>
  <si>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</si>
  <si>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</si>
  <si>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</si>
  <si>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</si>
  <si>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</si>
  <si>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</si>
  <si>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</si>
  <si>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</si>
  <si>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</si>
  <si>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</si>
  <si>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</si>
  <si>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</si>
  <si>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</si>
  <si>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</si>
  <si>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</si>
  <si>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</si>
  <si>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</si>
  <si>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</si>
  <si>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</si>
  <si>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</si>
  <si>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</si>
  <si>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</si>
  <si>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</si>
  <si>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</si>
  <si>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</si>
  <si>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</si>
  <si>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</si>
  <si>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</si>
  <si>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</si>
  <si>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</si>
  <si>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</si>
  <si>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</si>
  <si>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</si>
  <si>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</si>
  <si>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</si>
  <si>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</si>
  <si>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</si>
  <si>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</si>
  <si>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</si>
  <si>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</si>
  <si>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</si>
  <si>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</si>
  <si>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</si>
  <si>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</si>
  <si>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</si>
  <si>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</si>
  <si>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</si>
  <si>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</si>
  <si>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</si>
  <si>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</si>
  <si>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</si>
  <si>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</si>
  <si>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</si>
  <si>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</si>
  <si>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</si>
  <si>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</si>
  <si>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</si>
  <si>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</si>
  <si>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</si>
  <si>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</si>
  <si>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</si>
  <si>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</si>
  <si>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</si>
  <si>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</si>
  <si>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</si>
  <si>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</si>
  <si>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</si>
  <si>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</si>
  <si>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</si>
  <si>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</si>
  <si>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</si>
  <si>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</si>
  <si>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</si>
  <si>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</si>
  <si>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</si>
  <si>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</si>
  <si>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</si>
  <si>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</si>
  <si>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</si>
  <si>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</si>
  <si>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</si>
  <si>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</si>
  <si>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</si>
  <si>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</si>
  <si>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</si>
  <si>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</si>
  <si>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</si>
  <si>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</si>
  <si>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</si>
  <si>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</si>
  <si>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</si>
  <si>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</si>
  <si>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</si>
  <si>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</si>
  <si>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</si>
  <si>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</si>
  <si>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</si>
  <si>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</si>
  <si>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</si>
  <si>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</si>
  <si>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</si>
  <si>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</si>
  <si>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</si>
  <si>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</si>
  <si>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</si>
  <si>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</si>
  <si>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</si>
  <si>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</si>
  <si>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</si>
  <si>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</si>
  <si>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</si>
  <si>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</si>
  <si>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</si>
  <si>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</si>
  <si>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</si>
  <si>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</si>
  <si>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</si>
  <si>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</si>
  <si>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</si>
  <si>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</si>
  <si>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</si>
  <si>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</si>
  <si>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</si>
  <si>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</si>
  <si>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</si>
  <si>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</si>
  <si>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</si>
  <si>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</si>
  <si>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</si>
  <si>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</si>
  <si>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</si>
  <si>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</si>
  <si>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</si>
  <si>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</si>
  <si>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</si>
  <si>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</si>
  <si>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</si>
  <si>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</si>
  <si>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</si>
  <si>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</si>
  <si>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</si>
  <si>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</si>
  <si>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</si>
  <si>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</si>
  <si>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</si>
  <si>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</si>
  <si>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</si>
  <si>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</si>
  <si>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</si>
  <si>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</si>
  <si>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</si>
  <si>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</si>
  <si>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</si>
  <si>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</si>
  <si>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</si>
  <si>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</si>
  <si>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</si>
  <si>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</si>
  <si>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</si>
  <si>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</si>
  <si>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</si>
  <si>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</si>
  <si>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</si>
  <si>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</si>
  <si>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</si>
  <si>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</si>
  <si>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</si>
  <si>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</si>
  <si>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</si>
  <si>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</si>
  <si>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</si>
  <si>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</si>
  <si>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</si>
  <si>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</si>
  <si>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</si>
  <si>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</si>
  <si>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</si>
  <si>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</si>
  <si>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</si>
  <si>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</si>
  <si>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</si>
  <si>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</si>
  <si>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</si>
  <si>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</si>
  <si>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</si>
  <si>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</si>
  <si>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</si>
  <si>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</si>
  <si>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</si>
  <si>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</si>
  <si>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</si>
  <si>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</si>
  <si>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</si>
  <si>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</si>
  <si>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</si>
  <si>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</si>
  <si>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</si>
  <si>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</si>
  <si>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</si>
  <si>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</si>
  <si>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</si>
  <si>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</si>
  <si>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</si>
  <si>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</si>
  <si>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</si>
  <si>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</si>
  <si>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</si>
  <si>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</si>
  <si>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</si>
  <si>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</si>
  <si>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</si>
  <si>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</si>
  <si>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</si>
  <si>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</si>
  <si>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</si>
  <si>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</si>
  <si>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</si>
  <si>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</si>
  <si>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</si>
  <si>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</si>
  <si>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</si>
  <si>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</si>
  <si>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</si>
  <si>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</si>
  <si>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</si>
  <si>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</si>
  <si>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</si>
  <si>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</si>
  <si>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</si>
  <si>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</si>
  <si>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</si>
  <si>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</si>
  <si>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</si>
  <si>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</si>
  <si>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</si>
  <si>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</si>
  <si>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</si>
  <si>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</si>
  <si>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</si>
  <si>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</si>
  <si>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</si>
  <si>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</si>
  <si>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</si>
  <si>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</si>
  <si>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</si>
  <si>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</si>
  <si>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</si>
  <si>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</si>
  <si>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</si>
  <si>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</si>
  <si>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</si>
  <si>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</si>
  <si>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</si>
  <si>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</si>
  <si>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</si>
  <si>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</si>
  <si>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</si>
  <si>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</si>
  <si>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</si>
  <si>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</si>
  <si>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</si>
  <si>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</si>
  <si>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</si>
  <si>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</si>
  <si>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</si>
  <si>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</si>
  <si>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</si>
  <si>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</si>
  <si>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</si>
  <si>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</si>
  <si>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</si>
  <si>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</si>
  <si>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</si>
  <si>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</si>
  <si>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</si>
  <si>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</si>
  <si>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</si>
  <si>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</si>
  <si>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</si>
  <si>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</si>
  <si>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</si>
  <si>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</si>
  <si>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</si>
  <si>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</si>
  <si>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</si>
  <si>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</si>
  <si>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</si>
  <si>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</si>
  <si>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</si>
  <si>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</si>
  <si>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</si>
  <si>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</si>
  <si>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</si>
  <si>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</si>
  <si>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</si>
  <si>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</si>
  <si>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</si>
  <si>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</si>
  <si>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</si>
  <si>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</si>
  <si>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</si>
  <si>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</si>
  <si>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</si>
  <si>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</si>
  <si>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</si>
  <si>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</si>
  <si>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</si>
  <si>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</si>
  <si>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</si>
  <si>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</si>
  <si>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</si>
  <si>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</si>
  <si>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</si>
  <si>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</si>
  <si>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</si>
  <si>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Agency Funds</t>
  </si>
  <si>
    <t>Immaterial Audit Adj</t>
  </si>
  <si>
    <t>12/11</t>
  </si>
  <si>
    <t>07/08</t>
  </si>
  <si>
    <t>7/21</t>
  </si>
  <si>
    <t>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</si>
</sst>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2" fillId="0" borderId="28" applyNumberFormat="0" applyFill="0" applyAlignment="0" applyProtection="0"/>
    <xf numFmtId="0" fontId="53" fillId="0" borderId="29" applyNumberFormat="0" applyFill="0" applyAlignment="0" applyProtection="0"/>
    <xf numFmtId="0" fontId="54" fillId="0" borderId="30" applyNumberFormat="0" applyFill="0" applyAlignment="0" applyProtection="0"/>
    <xf numFmtId="0" fontId="54" fillId="0" borderId="0" applyNumberFormat="0" applyFill="0" applyBorder="0" applyAlignment="0" applyProtection="0"/>
    <xf numFmtId="0" fontId="55" fillId="9" borderId="0" applyNumberFormat="0" applyBorder="0" applyAlignment="0" applyProtection="0"/>
    <xf numFmtId="0" fontId="56" fillId="10" borderId="0" applyNumberFormat="0" applyBorder="0" applyAlignment="0" applyProtection="0"/>
    <xf numFmtId="0" fontId="57" fillId="11" borderId="0" applyNumberFormat="0" applyBorder="0" applyAlignment="0" applyProtection="0"/>
    <xf numFmtId="0" fontId="58" fillId="12" borderId="31" applyNumberFormat="0" applyAlignment="0" applyProtection="0"/>
    <xf numFmtId="0" fontId="59" fillId="13" borderId="32" applyNumberFormat="0" applyAlignment="0" applyProtection="0"/>
    <xf numFmtId="0" fontId="60" fillId="13" borderId="31" applyNumberFormat="0" applyAlignment="0" applyProtection="0"/>
    <xf numFmtId="0" fontId="61" fillId="0" borderId="33" applyNumberFormat="0" applyFill="0" applyAlignment="0" applyProtection="0"/>
    <xf numFmtId="0" fontId="62" fillId="14" borderId="34" applyNumberFormat="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65" fillId="0" borderId="36" applyNumberFormat="0" applyFill="0" applyAlignment="0" applyProtection="0"/>
    <xf numFmtId="0" fontId="6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6" fillId="19" borderId="0" applyNumberFormat="0" applyBorder="0" applyAlignment="0" applyProtection="0"/>
    <xf numFmtId="0" fontId="6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6" fillId="23" borderId="0" applyNumberFormat="0" applyBorder="0" applyAlignment="0" applyProtection="0"/>
    <xf numFmtId="0" fontId="6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6" fillId="27" borderId="0" applyNumberFormat="0" applyBorder="0" applyAlignment="0" applyProtection="0"/>
    <xf numFmtId="0" fontId="6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6" fillId="31" borderId="0" applyNumberFormat="0" applyBorder="0" applyAlignment="0" applyProtection="0"/>
    <xf numFmtId="0" fontId="6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6" fillId="35" borderId="0" applyNumberFormat="0" applyBorder="0" applyAlignment="0" applyProtection="0"/>
    <xf numFmtId="0" fontId="66"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6" fillId="39" borderId="0" applyNumberFormat="0" applyBorder="0" applyAlignment="0" applyProtection="0"/>
    <xf numFmtId="0" fontId="6" fillId="0" borderId="0"/>
    <xf numFmtId="0" fontId="67" fillId="0" borderId="0" applyNumberFormat="0" applyFill="0" applyBorder="0" applyAlignment="0" applyProtection="0"/>
    <xf numFmtId="0" fontId="6" fillId="15" borderId="35" applyNumberFormat="0" applyFont="0" applyAlignment="0" applyProtection="0"/>
    <xf numFmtId="0" fontId="5" fillId="0" borderId="0"/>
  </cellStyleXfs>
  <cellXfs count="405">
    <xf numFmtId="0" fontId="0" fillId="0" borderId="0" xfId="0"/>
    <xf numFmtId="164" fontId="7" fillId="0" borderId="0" xfId="0" applyNumberFormat="1" applyFont="1" applyAlignment="1" applyProtection="1">
      <alignment horizontal="left"/>
    </xf>
    <xf numFmtId="165" fontId="7" fillId="0" borderId="0" xfId="0" applyNumberFormat="1" applyFont="1" applyAlignment="1" applyProtection="1">
      <alignment horizontal="left"/>
    </xf>
    <xf numFmtId="0" fontId="7" fillId="0" borderId="0" xfId="0" applyFont="1"/>
    <xf numFmtId="0" fontId="7" fillId="0" borderId="0" xfId="0" applyFont="1" applyProtection="1">
      <protection locked="0"/>
    </xf>
    <xf numFmtId="164" fontId="7" fillId="0" borderId="0" xfId="0" applyNumberFormat="1" applyFont="1" applyAlignment="1" applyProtection="1">
      <alignment horizontal="center"/>
    </xf>
    <xf numFmtId="165" fontId="7" fillId="0" borderId="0" xfId="0" applyNumberFormat="1" applyFont="1" applyAlignment="1" applyProtection="1">
      <alignment horizontal="center"/>
    </xf>
    <xf numFmtId="165" fontId="7" fillId="0" borderId="0" xfId="0" applyNumberFormat="1" applyFont="1" applyProtection="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pplyProtection="1">
      <alignment horizontal="left"/>
    </xf>
    <xf numFmtId="40" fontId="7" fillId="0" borderId="0" xfId="0" quotePrefix="1" applyNumberFormat="1" applyFont="1" applyAlignment="1" applyProtection="1">
      <alignment horizontal="center"/>
    </xf>
    <xf numFmtId="40" fontId="7" fillId="0" borderId="0" xfId="0" applyNumberFormat="1" applyFont="1" applyAlignment="1" applyProtection="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7" fillId="0" borderId="0" xfId="0" applyNumberFormat="1" applyFont="1" applyProtection="1"/>
    <xf numFmtId="40" fontId="0" fillId="0" borderId="0" xfId="0" applyNumberFormat="1"/>
    <xf numFmtId="0" fontId="0" fillId="0" borderId="0" xfId="0" applyProtection="1">
      <protection locked="0"/>
    </xf>
    <xf numFmtId="40" fontId="9" fillId="0" borderId="0" xfId="0" applyNumberFormat="1" applyFont="1" applyProtection="1"/>
    <xf numFmtId="0" fontId="7" fillId="0" borderId="0" xfId="0" applyFont="1" applyAlignment="1">
      <alignment horizontal="center"/>
    </xf>
    <xf numFmtId="40" fontId="7" fillId="2" borderId="0" xfId="0" applyNumberFormat="1" applyFont="1" applyFill="1" applyAlignment="1" applyProtection="1">
      <alignment horizontal="left"/>
    </xf>
    <xf numFmtId="40" fontId="11" fillId="0" borderId="0" xfId="0" applyNumberFormat="1" applyFont="1" applyAlignment="1" applyProtection="1">
      <alignment horizontal="center"/>
    </xf>
    <xf numFmtId="40" fontId="11" fillId="0" borderId="0" xfId="0" applyNumberFormat="1" applyFont="1" applyAlignment="1" applyProtection="1">
      <alignment horizontal="left"/>
    </xf>
    <xf numFmtId="0" fontId="12" fillId="0" borderId="0" xfId="0" applyFont="1"/>
    <xf numFmtId="0" fontId="13" fillId="0" borderId="0" xfId="0" applyFont="1"/>
    <xf numFmtId="164" fontId="11" fillId="0" borderId="0" xfId="0" applyNumberFormat="1" applyFont="1" applyAlignment="1" applyProtection="1">
      <alignment horizontal="left"/>
    </xf>
    <xf numFmtId="164" fontId="12" fillId="0" borderId="0" xfId="0" applyNumberFormat="1" applyFont="1" applyAlignment="1" applyProtection="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5" fontId="7" fillId="0" borderId="0" xfId="0" applyNumberFormat="1" applyFont="1" applyBorder="1" applyAlignment="1" applyProtection="1">
      <alignment horizontal="left"/>
    </xf>
    <xf numFmtId="165" fontId="7" fillId="0" borderId="0" xfId="0" applyNumberFormat="1" applyFont="1" applyBorder="1" applyAlignment="1" applyProtection="1">
      <alignment horizontal="center"/>
    </xf>
    <xf numFmtId="164" fontId="11" fillId="0" borderId="3" xfId="0" applyNumberFormat="1" applyFont="1" applyBorder="1" applyAlignment="1" applyProtection="1">
      <alignment horizontal="left"/>
    </xf>
    <xf numFmtId="165" fontId="7" fillId="0" borderId="3" xfId="0" applyNumberFormat="1" applyFont="1" applyBorder="1" applyAlignment="1" applyProtection="1">
      <alignment horizontal="left"/>
    </xf>
    <xf numFmtId="165" fontId="7" fillId="0" borderId="3" xfId="0" applyNumberFormat="1" applyFont="1" applyBorder="1" applyAlignment="1" applyProtection="1">
      <alignment horizontal="center"/>
    </xf>
    <xf numFmtId="40" fontId="7" fillId="0" borderId="3" xfId="0" applyNumberFormat="1" applyFont="1" applyBorder="1" applyProtection="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pplyProtection="1">
      <alignment horizontal="left"/>
    </xf>
    <xf numFmtId="0" fontId="11" fillId="0" borderId="3" xfId="0" applyFont="1" applyBorder="1"/>
    <xf numFmtId="40" fontId="7" fillId="0" borderId="3" xfId="0" applyNumberFormat="1" applyFont="1" applyBorder="1"/>
    <xf numFmtId="165" fontId="7" fillId="0" borderId="4" xfId="0" applyNumberFormat="1" applyFont="1" applyBorder="1" applyAlignment="1" applyProtection="1">
      <alignment horizontal="left"/>
    </xf>
    <xf numFmtId="40" fontId="7" fillId="2" borderId="4" xfId="0" applyNumberFormat="1" applyFont="1" applyFill="1" applyBorder="1" applyAlignment="1" applyProtection="1">
      <alignment horizontal="left"/>
    </xf>
    <xf numFmtId="164" fontId="11" fillId="0" borderId="4" xfId="0" applyNumberFormat="1" applyFont="1" applyBorder="1" applyAlignment="1" applyProtection="1">
      <alignment horizontal="left"/>
    </xf>
    <xf numFmtId="165" fontId="7"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5" fillId="0" borderId="0" xfId="0" applyFont="1" applyBorder="1"/>
    <xf numFmtId="0" fontId="11" fillId="0" borderId="0" xfId="0" applyFont="1" applyBorder="1"/>
    <xf numFmtId="40" fontId="7" fillId="0" borderId="0" xfId="0" applyNumberFormat="1" applyFont="1" applyBorder="1"/>
    <xf numFmtId="49" fontId="7" fillId="0" borderId="0" xfId="0" applyNumberFormat="1" applyFont="1" applyBorder="1" applyAlignment="1">
      <alignment horizontal="center"/>
    </xf>
    <xf numFmtId="0" fontId="7" fillId="0" borderId="0" xfId="0" applyFont="1" applyBorder="1"/>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pplyProtection="1">
      <alignment horizontal="left"/>
    </xf>
    <xf numFmtId="40" fontId="8" fillId="0" borderId="6" xfId="0" applyNumberFormat="1" applyFont="1" applyBorder="1" applyProtection="1">
      <protection locked="0"/>
    </xf>
    <xf numFmtId="40" fontId="8" fillId="0" borderId="0"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Border="1" applyProtection="1">
      <protection locked="0"/>
    </xf>
    <xf numFmtId="40" fontId="7" fillId="0" borderId="0" xfId="0" applyNumberFormat="1" applyFont="1" applyBorder="1" applyProtection="1"/>
    <xf numFmtId="165" fontId="8" fillId="0" borderId="0" xfId="0" applyNumberFormat="1" applyFont="1" applyBorder="1" applyProtection="1">
      <protection locked="0"/>
    </xf>
    <xf numFmtId="164" fontId="7" fillId="0" borderId="0" xfId="0" applyNumberFormat="1" applyFont="1" applyBorder="1" applyAlignment="1" applyProtection="1">
      <alignment horizontal="left"/>
    </xf>
    <xf numFmtId="164" fontId="11" fillId="0" borderId="0" xfId="0" applyNumberFormat="1" applyFont="1" applyBorder="1" applyAlignment="1" applyProtection="1">
      <alignment horizontal="left"/>
    </xf>
    <xf numFmtId="165" fontId="7" fillId="0" borderId="6" xfId="0" applyNumberFormat="1" applyFont="1" applyBorder="1" applyAlignment="1" applyProtection="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pplyProtection="1">
      <alignment horizontal="left"/>
    </xf>
    <xf numFmtId="0" fontId="7" fillId="0" borderId="0" xfId="0" applyFont="1" applyBorder="1" applyAlignment="1">
      <alignment horizontal="center"/>
    </xf>
    <xf numFmtId="165" fontId="11" fillId="0" borderId="0" xfId="0" applyNumberFormat="1" applyFont="1" applyAlignment="1" applyProtection="1">
      <alignment horizontal="left"/>
    </xf>
    <xf numFmtId="40" fontId="7" fillId="0" borderId="0" xfId="0" applyNumberFormat="1" applyFont="1" applyBorder="1" applyAlignment="1">
      <alignment horizontal="center"/>
    </xf>
    <xf numFmtId="49" fontId="11" fillId="0" borderId="0" xfId="0" applyNumberFormat="1" applyFont="1" applyAlignment="1" applyProtection="1">
      <alignment horizontal="left"/>
    </xf>
    <xf numFmtId="49" fontId="7" fillId="0" borderId="0" xfId="0" applyNumberFormat="1" applyFont="1" applyAlignment="1" applyProtection="1">
      <alignment horizontal="left"/>
    </xf>
    <xf numFmtId="0" fontId="0" fillId="0" borderId="0" xfId="0" applyBorder="1" applyAlignment="1">
      <alignment horizontal="center"/>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Border="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Border="1" applyAlignment="1" applyProtection="1">
      <alignment horizontal="right"/>
    </xf>
    <xf numFmtId="40" fontId="9" fillId="0" borderId="0" xfId="0" applyNumberFormat="1" applyFont="1" applyAlignment="1" applyProtection="1">
      <alignment horizontal="right"/>
    </xf>
    <xf numFmtId="40" fontId="9" fillId="0" borderId="3" xfId="0" applyNumberFormat="1" applyFont="1" applyBorder="1" applyAlignment="1" applyProtection="1">
      <alignment horizontal="right"/>
    </xf>
    <xf numFmtId="0" fontId="11" fillId="0" borderId="0" xfId="0" applyFont="1" applyBorder="1" applyProtection="1"/>
    <xf numFmtId="0" fontId="15" fillId="0" borderId="3" xfId="0" applyFont="1" applyBorder="1" applyProtection="1"/>
    <xf numFmtId="0" fontId="15" fillId="0" borderId="0" xfId="0" applyFont="1" applyBorder="1" applyProtection="1"/>
    <xf numFmtId="0" fontId="16" fillId="0" borderId="0" xfId="0" applyFont="1" applyBorder="1" applyProtection="1"/>
    <xf numFmtId="0" fontId="18" fillId="0" borderId="0" xfId="0" applyFont="1" applyBorder="1" applyProtection="1"/>
    <xf numFmtId="40" fontId="8" fillId="0" borderId="0" xfId="0" applyNumberFormat="1" applyFont="1" applyProtection="1"/>
    <xf numFmtId="40" fontId="19" fillId="0" borderId="0" xfId="0" applyNumberFormat="1" applyFont="1" applyProtection="1"/>
    <xf numFmtId="40" fontId="19" fillId="0" borderId="0" xfId="0" applyNumberFormat="1" applyFont="1" applyBorder="1" applyProtection="1"/>
    <xf numFmtId="40" fontId="19" fillId="0" borderId="3" xfId="0" applyNumberFormat="1" applyFont="1" applyBorder="1" applyProtection="1"/>
    <xf numFmtId="40" fontId="9" fillId="0" borderId="0" xfId="0" applyNumberFormat="1" applyFont="1" applyBorder="1" applyProtection="1"/>
    <xf numFmtId="40" fontId="19" fillId="0" borderId="0" xfId="0" applyNumberFormat="1" applyFont="1" applyBorder="1" applyAlignment="1" applyProtection="1">
      <alignment horizontal="center"/>
    </xf>
    <xf numFmtId="40" fontId="9" fillId="0" borderId="0" xfId="0" applyNumberFormat="1" applyFont="1" applyBorder="1" applyAlignment="1" applyProtection="1">
      <alignment horizontal="center"/>
    </xf>
    <xf numFmtId="0" fontId="9" fillId="0" borderId="0" xfId="0" applyNumberFormat="1" applyFont="1" applyAlignment="1" applyProtection="1">
      <alignment horizontal="center" vertical="justify"/>
    </xf>
    <xf numFmtId="40" fontId="9" fillId="0" borderId="0" xfId="0" applyNumberFormat="1" applyFont="1" applyAlignment="1" applyProtection="1">
      <alignment horizontal="center" vertical="justify"/>
    </xf>
    <xf numFmtId="40" fontId="9" fillId="0" borderId="0" xfId="0" applyNumberFormat="1" applyFont="1" applyAlignment="1" applyProtection="1">
      <alignment horizontal="right" vertical="justify"/>
    </xf>
    <xf numFmtId="0" fontId="7" fillId="0" borderId="0" xfId="0" applyFont="1" applyBorder="1" applyAlignment="1" applyProtection="1">
      <alignment horizontal="center"/>
    </xf>
    <xf numFmtId="40" fontId="9" fillId="0" borderId="0" xfId="0" applyNumberFormat="1" applyFont="1" applyAlignment="1" applyProtection="1">
      <alignment horizontal="center"/>
    </xf>
    <xf numFmtId="0" fontId="7" fillId="0" borderId="3" xfId="0" applyFont="1" applyBorder="1" applyAlignment="1" applyProtection="1">
      <alignment horizontal="center"/>
    </xf>
    <xf numFmtId="40" fontId="9" fillId="0" borderId="3" xfId="0" applyNumberFormat="1" applyFont="1" applyBorder="1" applyAlignment="1" applyProtection="1">
      <alignment horizontal="right" vertical="justify"/>
    </xf>
    <xf numFmtId="40" fontId="9" fillId="0" borderId="0" xfId="0" applyNumberFormat="1" applyFont="1" applyBorder="1" applyAlignment="1" applyProtection="1">
      <alignment horizontal="right" vertical="justify"/>
    </xf>
    <xf numFmtId="49" fontId="7" fillId="0" borderId="0" xfId="0" applyNumberFormat="1" applyFont="1" applyAlignment="1" applyProtection="1">
      <alignment horizontal="left"/>
      <protection locked="0"/>
    </xf>
    <xf numFmtId="0" fontId="0" fillId="0" borderId="0" xfId="0" applyBorder="1" applyAlignment="1" applyProtection="1">
      <alignment horizontal="center"/>
    </xf>
    <xf numFmtId="40" fontId="8" fillId="0" borderId="0" xfId="0" applyNumberFormat="1" applyFont="1" applyAlignment="1" applyProtection="1"/>
    <xf numFmtId="40" fontId="19" fillId="0" borderId="0" xfId="0" applyNumberFormat="1" applyFont="1" applyAlignment="1" applyProtection="1">
      <alignment horizontal="center" vertical="justify"/>
    </xf>
    <xf numFmtId="40" fontId="19" fillId="0" borderId="0" xfId="0" applyNumberFormat="1" applyFont="1" applyAlignment="1" applyProtection="1">
      <alignment horizontal="center"/>
    </xf>
    <xf numFmtId="0" fontId="7" fillId="0" borderId="0" xfId="0" applyNumberFormat="1" applyFont="1" applyAlignment="1" applyProtection="1">
      <alignment horizontal="center"/>
    </xf>
    <xf numFmtId="40" fontId="0" fillId="0" borderId="0" xfId="0" applyNumberFormat="1" applyBorder="1" applyProtection="1"/>
    <xf numFmtId="40" fontId="15" fillId="0" borderId="0" xfId="0" applyNumberFormat="1" applyFont="1" applyBorder="1" applyAlignment="1" applyProtection="1">
      <alignment horizontal="center"/>
    </xf>
    <xf numFmtId="0" fontId="7" fillId="0" borderId="0" xfId="0" applyFont="1" applyAlignment="1" applyProtection="1">
      <alignment horizontal="center"/>
    </xf>
    <xf numFmtId="0" fontId="7" fillId="0" borderId="0" xfId="0" quotePrefix="1" applyNumberFormat="1" applyFont="1" applyAlignment="1" applyProtection="1">
      <alignment horizontal="left"/>
    </xf>
    <xf numFmtId="14" fontId="7" fillId="0" borderId="0" xfId="0" quotePrefix="1" applyNumberFormat="1" applyFont="1" applyAlignment="1" applyProtection="1">
      <alignment horizontal="left"/>
    </xf>
    <xf numFmtId="40" fontId="9" fillId="0" borderId="0" xfId="0" quotePrefix="1" applyNumberFormat="1" applyFont="1" applyBorder="1" applyAlignment="1" applyProtection="1">
      <alignment horizontal="left" vertical="justify"/>
    </xf>
    <xf numFmtId="40" fontId="19" fillId="0" borderId="0" xfId="0" applyNumberFormat="1" applyFont="1" applyAlignment="1" applyProtection="1">
      <alignment horizontal="centerContinuous" vertical="justify"/>
    </xf>
    <xf numFmtId="40" fontId="19" fillId="0" borderId="0" xfId="0" applyNumberFormat="1" applyFont="1" applyAlignment="1" applyProtection="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0" fontId="0" fillId="0" borderId="0" xfId="0" applyProtection="1"/>
    <xf numFmtId="0" fontId="7" fillId="0" borderId="0" xfId="0" applyFont="1" applyProtection="1"/>
    <xf numFmtId="0" fontId="11" fillId="0" borderId="0" xfId="0" applyFont="1" applyProtection="1"/>
    <xf numFmtId="40" fontId="20" fillId="0" borderId="0" xfId="0" applyNumberFormat="1" applyFont="1"/>
    <xf numFmtId="40" fontId="9" fillId="0" borderId="4" xfId="0" applyNumberFormat="1" applyFont="1" applyBorder="1" applyProtection="1"/>
    <xf numFmtId="40" fontId="21" fillId="0" borderId="4" xfId="0" applyNumberFormat="1" applyFont="1" applyBorder="1"/>
    <xf numFmtId="0" fontId="0" fillId="0" borderId="0" xfId="0" applyAlignment="1"/>
    <xf numFmtId="0" fontId="7" fillId="0" borderId="0" xfId="0" applyNumberFormat="1" applyFont="1" applyAlignment="1" applyProtection="1">
      <alignment horizontal="left"/>
    </xf>
    <xf numFmtId="0" fontId="7" fillId="0" borderId="0" xfId="0" applyNumberFormat="1" applyFont="1" applyProtection="1">
      <protection locked="0"/>
    </xf>
    <xf numFmtId="40" fontId="19" fillId="0" borderId="0" xfId="0" applyNumberFormat="1" applyFont="1" applyAlignment="1" applyProtection="1"/>
    <xf numFmtId="40" fontId="9" fillId="0" borderId="0" xfId="0" applyNumberFormat="1" applyFont="1" applyAlignment="1" applyProtection="1"/>
    <xf numFmtId="40" fontId="0" fillId="0" borderId="0" xfId="0" applyNumberFormat="1" applyAlignment="1"/>
    <xf numFmtId="2" fontId="0" fillId="0" borderId="0" xfId="0" applyNumberFormat="1" applyAlignment="1"/>
    <xf numFmtId="40" fontId="9" fillId="0" borderId="3" xfId="0" applyNumberFormat="1" applyFont="1" applyBorder="1" applyProtection="1"/>
    <xf numFmtId="40" fontId="9" fillId="0" borderId="0" xfId="0" quotePrefix="1" applyNumberFormat="1" applyFont="1" applyAlignment="1" applyProtection="1">
      <alignment horizontal="left" vertical="justify"/>
    </xf>
    <xf numFmtId="40" fontId="0" fillId="0" borderId="7" xfId="0" applyNumberFormat="1" applyBorder="1"/>
    <xf numFmtId="14" fontId="7" fillId="0" borderId="0" xfId="0" applyNumberFormat="1" applyFont="1" applyAlignment="1" applyProtection="1">
      <alignment horizontal="left"/>
    </xf>
    <xf numFmtId="40" fontId="9" fillId="0" borderId="0" xfId="0" applyNumberFormat="1" applyFont="1" applyAlignment="1" applyProtection="1">
      <alignment horizontal="left" vertical="justify"/>
    </xf>
    <xf numFmtId="40" fontId="0" fillId="0" borderId="0" xfId="0" applyNumberFormat="1" applyBorder="1" applyProtection="1">
      <protection locked="0"/>
    </xf>
    <xf numFmtId="0" fontId="8" fillId="0" borderId="0" xfId="0" applyNumberFormat="1" applyFont="1" applyProtection="1">
      <protection locked="0"/>
    </xf>
    <xf numFmtId="40" fontId="9" fillId="0" borderId="0" xfId="0" applyNumberFormat="1" applyFont="1" applyBorder="1" applyAlignment="1" applyProtection="1">
      <alignment horizontal="left"/>
    </xf>
    <xf numFmtId="40" fontId="19" fillId="0" borderId="0" xfId="0" quotePrefix="1" applyNumberFormat="1" applyFont="1" applyAlignment="1" applyProtection="1">
      <alignment horizontal="left"/>
    </xf>
    <xf numFmtId="0" fontId="9" fillId="0" borderId="3" xfId="0" applyNumberFormat="1" applyFont="1" applyBorder="1" applyAlignment="1" applyProtection="1">
      <alignment horizontal="center" vertical="justify"/>
    </xf>
    <xf numFmtId="40" fontId="9" fillId="0" borderId="3" xfId="0" applyNumberFormat="1" applyFont="1" applyBorder="1" applyAlignment="1" applyProtection="1">
      <alignment horizontal="center" vertical="justify"/>
    </xf>
    <xf numFmtId="40" fontId="22" fillId="0" borderId="0" xfId="0" quotePrefix="1" applyNumberFormat="1" applyFont="1" applyBorder="1" applyAlignment="1" applyProtection="1">
      <alignment horizontal="center" vertical="justify"/>
    </xf>
    <xf numFmtId="40" fontId="22"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pplyProtection="1">
      <alignment horizontal="left"/>
    </xf>
    <xf numFmtId="0" fontId="7" fillId="0" borderId="0" xfId="0" applyFont="1" applyAlignment="1">
      <alignment horizontal="left"/>
    </xf>
    <xf numFmtId="49" fontId="25" fillId="0" borderId="0" xfId="0" applyNumberFormat="1" applyFont="1" applyAlignment="1" applyProtection="1">
      <alignment horizontal="left"/>
    </xf>
    <xf numFmtId="40" fontId="22" fillId="0" borderId="0" xfId="0" applyNumberFormat="1" applyFont="1" applyProtection="1"/>
    <xf numFmtId="0" fontId="26" fillId="0" borderId="0" xfId="0" applyFont="1" applyBorder="1" applyAlignment="1" applyProtection="1">
      <alignment horizontal="center"/>
    </xf>
    <xf numFmtId="14" fontId="26" fillId="0" borderId="0" xfId="0" quotePrefix="1" applyNumberFormat="1" applyFont="1" applyAlignment="1" applyProtection="1">
      <alignment horizontal="left"/>
    </xf>
    <xf numFmtId="40" fontId="22" fillId="0" borderId="0" xfId="0" applyNumberFormat="1" applyFont="1" applyAlignment="1" applyProtection="1">
      <alignment horizontal="right" vertical="justify"/>
    </xf>
    <xf numFmtId="40" fontId="22" fillId="0" borderId="0" xfId="0" quotePrefix="1" applyNumberFormat="1" applyFont="1" applyAlignment="1" applyProtection="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pplyProtection="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pplyProtection="1">
      <alignment horizontal="left"/>
    </xf>
    <xf numFmtId="40" fontId="9" fillId="0" borderId="0" xfId="0" applyNumberFormat="1" applyFont="1" applyAlignment="1" applyProtection="1">
      <alignment horizontal="left"/>
    </xf>
    <xf numFmtId="40" fontId="24" fillId="0" borderId="3" xfId="0" applyNumberFormat="1" applyFont="1" applyBorder="1" applyProtection="1"/>
    <xf numFmtId="40" fontId="24" fillId="0" borderId="0" xfId="0" applyNumberFormat="1" applyFont="1" applyProtection="1"/>
    <xf numFmtId="40" fontId="9" fillId="0" borderId="0" xfId="0" applyNumberFormat="1" applyFont="1" applyProtection="1">
      <protection locked="0"/>
    </xf>
    <xf numFmtId="0" fontId="0" fillId="0" borderId="0" xfId="0" applyBorder="1" applyProtection="1">
      <protection locked="0"/>
    </xf>
    <xf numFmtId="40" fontId="7" fillId="0" borderId="0" xfId="0" quotePrefix="1" applyNumberFormat="1" applyFont="1" applyBorder="1" applyAlignment="1">
      <alignment horizontal="center"/>
    </xf>
    <xf numFmtId="40" fontId="19" fillId="0" borderId="0" xfId="0" quotePrefix="1" applyNumberFormat="1" applyFont="1" applyProtection="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0" fontId="16" fillId="0" borderId="0" xfId="0"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Border="1" applyAlignment="1" applyProtection="1">
      <alignment horizontal="left"/>
    </xf>
    <xf numFmtId="40" fontId="9" fillId="0" borderId="0" xfId="0" quotePrefix="1" applyNumberFormat="1" applyFont="1" applyAlignment="1" applyProtection="1">
      <alignment horizontal="left"/>
    </xf>
    <xf numFmtId="0" fontId="7" fillId="0" borderId="4" xfId="0" applyFont="1" applyBorder="1" applyAlignment="1" applyProtection="1">
      <alignment horizontal="center"/>
    </xf>
    <xf numFmtId="0" fontId="7" fillId="0" borderId="4" xfId="0" applyFont="1" applyBorder="1" applyAlignment="1" applyProtection="1">
      <alignment horizontal="left"/>
    </xf>
    <xf numFmtId="40" fontId="9" fillId="0" borderId="4" xfId="0" applyNumberFormat="1" applyFont="1" applyBorder="1" applyAlignment="1" applyProtection="1">
      <alignment horizontal="right"/>
    </xf>
    <xf numFmtId="40" fontId="7" fillId="2" borderId="0" xfId="0" applyNumberFormat="1" applyFont="1" applyFill="1" applyBorder="1" applyAlignment="1" applyProtection="1">
      <alignment horizontal="left"/>
    </xf>
    <xf numFmtId="0" fontId="7" fillId="0" borderId="3" xfId="0" applyNumberFormat="1" applyFont="1" applyBorder="1" applyAlignment="1" applyProtection="1">
      <alignment horizontal="center"/>
    </xf>
    <xf numFmtId="0" fontId="7" fillId="0" borderId="3" xfId="0" applyNumberFormat="1" applyFont="1" applyBorder="1" applyAlignment="1" applyProtection="1">
      <alignment horizontal="left"/>
    </xf>
    <xf numFmtId="0" fontId="7" fillId="0" borderId="4" xfId="0" applyNumberFormat="1" applyFont="1" applyBorder="1" applyAlignment="1" applyProtection="1">
      <alignment horizontal="left"/>
    </xf>
    <xf numFmtId="164" fontId="26" fillId="0" borderId="0" xfId="0" applyNumberFormat="1" applyFont="1" applyAlignment="1" applyProtection="1">
      <alignment horizontal="left"/>
    </xf>
    <xf numFmtId="40" fontId="26" fillId="0" borderId="0" xfId="0" applyNumberFormat="1" applyFont="1" applyProtection="1"/>
    <xf numFmtId="40" fontId="9" fillId="0" borderId="5" xfId="0" applyNumberFormat="1" applyFont="1" applyBorder="1" applyProtection="1"/>
    <xf numFmtId="0" fontId="7" fillId="0" borderId="5" xfId="0" applyFont="1" applyBorder="1" applyAlignment="1">
      <alignment horizontal="center"/>
    </xf>
    <xf numFmtId="0" fontId="7" fillId="0" borderId="5" xfId="0" applyNumberFormat="1" applyFont="1" applyBorder="1" applyAlignment="1" applyProtection="1">
      <alignment horizontal="center"/>
    </xf>
    <xf numFmtId="165" fontId="7" fillId="0" borderId="5" xfId="0" applyNumberFormat="1" applyFont="1" applyBorder="1" applyAlignment="1" applyProtection="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0" fontId="15" fillId="0" borderId="0" xfId="0" applyFont="1" applyAlignment="1" applyProtection="1">
      <alignment horizontal="center"/>
    </xf>
    <xf numFmtId="1" fontId="0" fillId="0" borderId="0" xfId="0" applyNumberFormat="1" applyAlignment="1" applyProtection="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0" fontId="15"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pplyProtection="1">
      <alignment horizontal="left"/>
    </xf>
    <xf numFmtId="1" fontId="0" fillId="0" borderId="0" xfId="0" applyNumberFormat="1" applyBorder="1" applyAlignment="1" applyProtection="1">
      <alignment horizontal="right"/>
    </xf>
    <xf numFmtId="40" fontId="7" fillId="4" borderId="0" xfId="0" applyNumberFormat="1" applyFont="1" applyFill="1" applyAlignment="1" applyProtection="1">
      <alignment horizontal="center"/>
    </xf>
    <xf numFmtId="40" fontId="26" fillId="0" borderId="0" xfId="0" applyNumberFormat="1" applyFont="1" applyAlignment="1" applyProtection="1">
      <alignment horizontal="center"/>
    </xf>
    <xf numFmtId="40" fontId="26" fillId="0" borderId="0" xfId="0" applyNumberFormat="1" applyFont="1"/>
    <xf numFmtId="0" fontId="11" fillId="0" borderId="0" xfId="0" applyFont="1" applyBorder="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applyBorder="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40" fontId="11" fillId="0" borderId="0" xfId="0" applyNumberFormat="1" applyFont="1" applyBorder="1" applyAlignment="1">
      <alignment horizontal="center"/>
    </xf>
    <xf numFmtId="0" fontId="37" fillId="0" borderId="0" xfId="0" applyFont="1" applyAlignment="1">
      <alignment horizontal="center"/>
    </xf>
    <xf numFmtId="164" fontId="29" fillId="0" borderId="0" xfId="0" applyNumberFormat="1" applyFont="1" applyAlignment="1" applyProtection="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40" fillId="0" borderId="0" xfId="0" applyFont="1"/>
    <xf numFmtId="0" fontId="31" fillId="0" borderId="0" xfId="0" applyFont="1"/>
    <xf numFmtId="0" fontId="15" fillId="0" borderId="0" xfId="0" applyFont="1" applyAlignment="1">
      <alignment horizontal="center"/>
    </xf>
    <xf numFmtId="0" fontId="15" fillId="0" borderId="0" xfId="0" applyFont="1" applyBorder="1" applyAlignment="1">
      <alignment horizontal="center"/>
    </xf>
    <xf numFmtId="0" fontId="11" fillId="0" borderId="0" xfId="0" applyFont="1" applyAlignment="1">
      <alignment horizontal="center"/>
    </xf>
    <xf numFmtId="0" fontId="13" fillId="0" borderId="0" xfId="0" applyFont="1" applyAlignment="1">
      <alignment horizontal="center"/>
    </xf>
    <xf numFmtId="0" fontId="15" fillId="0" borderId="5" xfId="0" applyFont="1" applyBorder="1" applyAlignment="1">
      <alignment horizontal="center"/>
    </xf>
    <xf numFmtId="0" fontId="15" fillId="0" borderId="0" xfId="0" applyFont="1" applyBorder="1" applyAlignment="1">
      <alignment horizontal="center"/>
    </xf>
    <xf numFmtId="0" fontId="0" fillId="0" borderId="15" xfId="0" applyFill="1"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2" fillId="0" borderId="0" xfId="0" applyFont="1" applyAlignment="1">
      <alignment horizontal="center"/>
    </xf>
    <xf numFmtId="0" fontId="15" fillId="0" borderId="0" xfId="0" applyFont="1" applyAlignment="1">
      <alignment horizontal="center"/>
    </xf>
    <xf numFmtId="40" fontId="42" fillId="6" borderId="0" xfId="0" applyNumberFormat="1" applyFont="1" applyFill="1"/>
    <xf numFmtId="0" fontId="0" fillId="0" borderId="0" xfId="0" applyFill="1"/>
    <xf numFmtId="0" fontId="46" fillId="0" borderId="0" xfId="0" applyFont="1"/>
    <xf numFmtId="0" fontId="47"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3" fillId="8" borderId="0" xfId="0" applyFont="1" applyFill="1" applyProtection="1"/>
    <xf numFmtId="0" fontId="0" fillId="8" borderId="0" xfId="0" applyFill="1" applyProtection="1"/>
    <xf numFmtId="0" fontId="15" fillId="8" borderId="0" xfId="0" applyFont="1" applyFill="1" applyProtection="1"/>
    <xf numFmtId="0" fontId="15" fillId="8" borderId="26" xfId="0" applyFont="1" applyFill="1" applyBorder="1" applyAlignment="1" applyProtection="1">
      <alignment horizontal="center"/>
    </xf>
    <xf numFmtId="0" fontId="15" fillId="8" borderId="26" xfId="0" applyFont="1" applyFill="1" applyBorder="1" applyAlignment="1" applyProtection="1">
      <alignment horizontal="center" wrapText="1"/>
    </xf>
    <xf numFmtId="0" fontId="15" fillId="8" borderId="26" xfId="0" applyFont="1" applyFill="1" applyBorder="1" applyProtection="1"/>
    <xf numFmtId="2" fontId="15"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15" fillId="0" borderId="0" xfId="0" applyFont="1" applyProtection="1"/>
    <xf numFmtId="0" fontId="69" fillId="0" borderId="0" xfId="0" applyFont="1"/>
    <xf numFmtId="0" fontId="33" fillId="0" borderId="0" xfId="0" applyFont="1"/>
    <xf numFmtId="0" fontId="68" fillId="0" borderId="0" xfId="0" applyFont="1"/>
    <xf numFmtId="4" fontId="69" fillId="0" borderId="0" xfId="0" applyNumberFormat="1" applyFont="1" applyAlignment="1"/>
    <xf numFmtId="4" fontId="69" fillId="0" borderId="5" xfId="0" applyNumberFormat="1" applyFont="1" applyBorder="1" applyAlignment="1"/>
    <xf numFmtId="0" fontId="69" fillId="0" borderId="0" xfId="0" applyFont="1" applyAlignment="1">
      <alignment horizontal="center"/>
    </xf>
    <xf numFmtId="0" fontId="71" fillId="0" borderId="0" xfId="0" applyFont="1" applyAlignment="1">
      <alignment horizontal="right"/>
    </xf>
    <xf numFmtId="0" fontId="69" fillId="40" borderId="0" xfId="0" applyFont="1" applyFill="1" applyAlignment="1" applyProtection="1">
      <alignment horizontal="center"/>
      <protection locked="0"/>
    </xf>
    <xf numFmtId="40" fontId="69" fillId="0" borderId="3" xfId="0" applyNumberFormat="1" applyFont="1" applyBorder="1"/>
    <xf numFmtId="0" fontId="70" fillId="0" borderId="0" xfId="0" applyFont="1"/>
    <xf numFmtId="165" fontId="72" fillId="0" borderId="0" xfId="0" applyNumberFormat="1" applyFont="1" applyAlignment="1" applyProtection="1">
      <alignment horizontal="center"/>
    </xf>
    <xf numFmtId="165" fontId="72" fillId="0" borderId="0" xfId="0" applyNumberFormat="1" applyFont="1" applyAlignment="1" applyProtection="1">
      <alignment horizontal="left"/>
    </xf>
    <xf numFmtId="164" fontId="41"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8" fillId="7" borderId="0" xfId="0" applyNumberFormat="1" applyFont="1" applyFill="1" applyProtection="1"/>
    <xf numFmtId="49" fontId="41" fillId="0" borderId="0" xfId="0" applyNumberFormat="1" applyFont="1"/>
    <xf numFmtId="0" fontId="15" fillId="40" borderId="0" xfId="0" applyFont="1" applyFill="1"/>
    <xf numFmtId="0" fontId="0" fillId="40" borderId="0" xfId="0" applyFill="1"/>
    <xf numFmtId="0" fontId="42"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1"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applyProtection="1"/>
    <xf numFmtId="0" fontId="0" fillId="0" borderId="0" xfId="0" applyAlignment="1">
      <alignment wrapText="1"/>
    </xf>
    <xf numFmtId="0" fontId="4" fillId="0" borderId="0" xfId="43" applyFont="1"/>
    <xf numFmtId="0" fontId="63" fillId="0" borderId="0" xfId="43" applyFont="1" applyAlignment="1">
      <alignment horizontal="center" vertical="center"/>
    </xf>
    <xf numFmtId="0" fontId="63" fillId="0" borderId="0" xfId="43" applyFont="1" applyAlignment="1">
      <alignment horizontal="left" vertical="center"/>
    </xf>
    <xf numFmtId="0" fontId="73" fillId="0" borderId="0" xfId="43" applyFont="1"/>
    <xf numFmtId="0" fontId="65" fillId="43" borderId="0" xfId="43" applyFont="1" applyFill="1"/>
    <xf numFmtId="0" fontId="65"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applyProtection="1"/>
    <xf numFmtId="0" fontId="2" fillId="43" borderId="0" xfId="43" applyFont="1" applyFill="1"/>
    <xf numFmtId="49" fontId="7" fillId="43" borderId="0" xfId="0" applyNumberFormat="1" applyFont="1" applyFill="1" applyBorder="1" applyProtection="1">
      <protection locked="0"/>
    </xf>
    <xf numFmtId="0" fontId="77" fillId="0" borderId="40" xfId="0" applyFont="1" applyBorder="1" applyAlignment="1" applyProtection="1">
      <alignment vertical="top" wrapText="1" readingOrder="1"/>
      <protection locked="0"/>
    </xf>
    <xf numFmtId="0" fontId="78" fillId="45" borderId="41" xfId="0" applyFont="1" applyFill="1" applyBorder="1" applyAlignment="1" applyProtection="1">
      <alignment horizontal="right" vertical="top" wrapText="1" readingOrder="1"/>
      <protection locked="0"/>
    </xf>
    <xf numFmtId="0" fontId="78" fillId="45" borderId="41" xfId="0" applyFont="1" applyFill="1" applyBorder="1" applyAlignment="1" applyProtection="1">
      <alignment vertical="top" wrapText="1" readingOrder="1"/>
      <protection locked="0"/>
    </xf>
    <xf numFmtId="0" fontId="79" fillId="0" borderId="41" xfId="0" applyFont="1" applyBorder="1" applyAlignment="1" applyProtection="1">
      <alignment vertical="top" wrapText="1" readingOrder="1"/>
      <protection locked="0"/>
    </xf>
    <xf numFmtId="0" fontId="78" fillId="45" borderId="0" xfId="0" applyFont="1" applyFill="1" applyBorder="1" applyAlignment="1" applyProtection="1">
      <alignment vertical="top" wrapText="1" readingOrder="1"/>
      <protection locked="0"/>
    </xf>
    <xf numFmtId="0" fontId="79" fillId="0" borderId="0" xfId="0" applyFont="1" applyBorder="1" applyAlignment="1" applyProtection="1">
      <alignment vertical="top" wrapText="1" readingOrder="1"/>
      <protection locked="0"/>
    </xf>
    <xf numFmtId="0" fontId="77" fillId="0" borderId="0" xfId="0" applyFont="1" applyBorder="1" applyAlignment="1" applyProtection="1">
      <alignment vertical="top" wrapText="1" readingOrder="1"/>
      <protection locked="0"/>
    </xf>
    <xf numFmtId="0" fontId="0" fillId="0" borderId="40" xfId="0" applyBorder="1"/>
    <xf numFmtId="0" fontId="76" fillId="43" borderId="0" xfId="0" applyFont="1" applyFill="1"/>
    <xf numFmtId="0" fontId="36" fillId="43" borderId="0" xfId="0" applyFont="1" applyFill="1"/>
    <xf numFmtId="0" fontId="0" fillId="43" borderId="0" xfId="0" applyFill="1"/>
    <xf numFmtId="0" fontId="76" fillId="46" borderId="0" xfId="0" applyFont="1" applyFill="1"/>
    <xf numFmtId="0" fontId="36" fillId="46" borderId="0" xfId="0" applyFont="1" applyFill="1"/>
    <xf numFmtId="0" fontId="0" fillId="46" borderId="0" xfId="0" applyFill="1"/>
    <xf numFmtId="0" fontId="76" fillId="47" borderId="0" xfId="0" applyFont="1" applyFill="1"/>
    <xf numFmtId="0" fontId="36" fillId="47" borderId="0" xfId="0" applyFont="1" applyFill="1"/>
    <xf numFmtId="0" fontId="0" fillId="47" borderId="0" xfId="0" applyFill="1"/>
    <xf numFmtId="0" fontId="80" fillId="0" borderId="0" xfId="43" applyFont="1" applyAlignment="1">
      <alignment horizontal="center" vertical="center"/>
    </xf>
    <xf numFmtId="0" fontId="1" fillId="40" borderId="0" xfId="43" applyFont="1" applyFill="1" applyProtection="1">
      <protection locked="0"/>
    </xf>
    <xf numFmtId="49" fontId="15" fillId="0" borderId="0" xfId="0" applyNumberFormat="1" applyFont="1" applyAlignment="1">
      <alignment horizontal="center"/>
    </xf>
    <xf numFmtId="0" fontId="69" fillId="0" borderId="0" xfId="0" applyFont="1" applyAlignment="1">
      <alignment horizontal="center"/>
    </xf>
    <xf numFmtId="49" fontId="69" fillId="7" borderId="0" xfId="0" applyNumberFormat="1" applyFont="1" applyFill="1" applyAlignment="1"/>
    <xf numFmtId="0" fontId="69" fillId="7" borderId="0" xfId="0" applyFont="1" applyFill="1" applyAlignment="1"/>
    <xf numFmtId="0" fontId="32" fillId="0" borderId="0" xfId="0" applyFont="1" applyAlignment="1">
      <alignment horizontal="center"/>
    </xf>
    <xf numFmtId="0" fontId="32" fillId="0" borderId="0" xfId="0" applyFont="1" applyAlignme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applyAlignment="1"/>
    <xf numFmtId="0" fontId="46" fillId="0" borderId="0" xfId="0" applyFont="1" applyAlignment="1">
      <alignment horizontal="left" vertical="top" wrapText="1"/>
    </xf>
    <xf numFmtId="4" fontId="42" fillId="0" borderId="0" xfId="0" applyNumberFormat="1" applyFont="1" applyBorder="1" applyAlignment="1" applyProtection="1">
      <alignment wrapText="1"/>
    </xf>
    <xf numFmtId="0" fontId="0" fillId="0" borderId="0" xfId="0" applyAlignment="1">
      <alignment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0" xfId="0" applyNumberFormat="1" applyFont="1" applyAlignment="1" applyProtection="1">
      <alignment horizontal="left"/>
    </xf>
    <xf numFmtId="49" fontId="16" fillId="0" borderId="0" xfId="0" applyNumberFormat="1" applyFont="1" applyBorder="1" applyAlignment="1" applyProtection="1">
      <alignment horizontal="left"/>
      <protection locked="0"/>
    </xf>
    <xf numFmtId="49" fontId="16" fillId="0" borderId="10" xfId="0" applyNumberFormat="1" applyFont="1" applyBorder="1" applyAlignment="1" applyProtection="1">
      <alignment horizontal="left"/>
      <protection locked="0"/>
    </xf>
    <xf numFmtId="0" fontId="33" fillId="0" borderId="20" xfId="0" applyFont="1" applyBorder="1" applyAlignment="1">
      <alignment horizontal="center"/>
    </xf>
    <xf numFmtId="0" fontId="33" fillId="0" borderId="8" xfId="0" applyFont="1" applyBorder="1" applyAlignment="1">
      <alignment horizontal="center"/>
    </xf>
    <xf numFmtId="0" fontId="15" fillId="0" borderId="0" xfId="0" applyFont="1" applyBorder="1" applyAlignment="1">
      <alignment horizontal="center"/>
    </xf>
    <xf numFmtId="0" fontId="15" fillId="0" borderId="10" xfId="0" applyFont="1" applyBorder="1" applyAlignment="1">
      <alignment horizontal="center"/>
    </xf>
    <xf numFmtId="49" fontId="36" fillId="0" borderId="0" xfId="0" applyNumberFormat="1" applyFont="1" applyBorder="1" applyAlignment="1"/>
    <xf numFmtId="0" fontId="36" fillId="0" borderId="0" xfId="0" applyFont="1" applyBorder="1" applyAlignment="1"/>
    <xf numFmtId="0" fontId="35" fillId="0" borderId="11" xfId="0" applyFont="1" applyBorder="1" applyAlignment="1">
      <alignment horizontal="center"/>
    </xf>
    <xf numFmtId="0" fontId="35" fillId="0" borderId="0" xfId="0" applyFont="1" applyBorder="1" applyAlignment="1">
      <alignment horizontal="center"/>
    </xf>
    <xf numFmtId="49" fontId="16" fillId="0" borderId="0" xfId="0" applyNumberFormat="1" applyFont="1" applyBorder="1" applyAlignment="1" applyProtection="1">
      <alignment horizontal="left"/>
    </xf>
    <xf numFmtId="49" fontId="16" fillId="0" borderId="10" xfId="0" applyNumberFormat="1" applyFont="1" applyBorder="1" applyAlignment="1" applyProtection="1">
      <alignment horizontal="left"/>
    </xf>
    <xf numFmtId="49" fontId="15" fillId="0" borderId="0" xfId="0" applyNumberFormat="1" applyFont="1" applyAlignment="1" applyProtection="1">
      <alignment horizontal="center"/>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G667" sqref="G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915</v>
      </c>
      <c r="B2" s="126">
        <f>INDEX('School Tables'!$AH$3:$AH$208,MATCH('DOE25'!A2,'School Tables'!$AJ$3:$AJ$208,0))</f>
        <v>17</v>
      </c>
      <c r="C2" s="126">
        <f>INDEX('School Tables'!$AI$3:$AI$208,MATCH('DOE25'!A2,'School Tables'!$AJ$3:$AJ$208,0))</f>
        <v>17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343354.39</v>
      </c>
      <c r="G9" s="18">
        <v>0</v>
      </c>
      <c r="H9" s="18">
        <v>0</v>
      </c>
      <c r="I9" s="18">
        <v>0</v>
      </c>
      <c r="J9" s="67">
        <f>SUM(I440)</f>
        <v>88433.26999999999</v>
      </c>
      <c r="K9" s="24" t="s">
        <v>288</v>
      </c>
      <c r="L9" s="24" t="s">
        <v>288</v>
      </c>
      <c r="M9" s="8"/>
      <c r="N9" s="265"/>
    </row>
    <row r="10" spans="1:14" s="3" customFormat="1" ht="12.2" customHeight="1" x14ac:dyDescent="0.15">
      <c r="A10" s="1" t="s">
        <v>562</v>
      </c>
      <c r="B10" s="2" t="s">
        <v>289</v>
      </c>
      <c r="C10" s="6">
        <v>2</v>
      </c>
      <c r="D10" s="2" t="s">
        <v>428</v>
      </c>
      <c r="E10" s="6">
        <v>110</v>
      </c>
      <c r="F10" s="18">
        <v>502942.3</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278135.77</v>
      </c>
      <c r="G12" s="18">
        <v>42502.89</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569453.91</v>
      </c>
      <c r="G13" s="18">
        <v>205023.01</v>
      </c>
      <c r="H13" s="18">
        <f>287382.3+7900</f>
        <v>295282.3</v>
      </c>
      <c r="I13" s="18">
        <v>0</v>
      </c>
      <c r="J13" s="67">
        <f>SUM(I443)</f>
        <v>1121530.05</v>
      </c>
      <c r="K13" s="24" t="s">
        <v>288</v>
      </c>
      <c r="L13" s="24" t="s">
        <v>288</v>
      </c>
      <c r="M13" s="8"/>
      <c r="N13" s="265"/>
    </row>
    <row r="14" spans="1:14" s="3" customFormat="1" ht="12.2" customHeight="1" x14ac:dyDescent="0.15">
      <c r="A14" s="1" t="s">
        <v>565</v>
      </c>
      <c r="B14" s="2" t="s">
        <v>289</v>
      </c>
      <c r="C14" s="6">
        <v>6</v>
      </c>
      <c r="D14" s="2" t="s">
        <v>428</v>
      </c>
      <c r="E14" s="6">
        <v>150</v>
      </c>
      <c r="F14" s="18">
        <v>8429.6200000000008</v>
      </c>
      <c r="G14" s="18">
        <v>0</v>
      </c>
      <c r="H14" s="18">
        <v>5661.45</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758.72</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1703074.7100000002</v>
      </c>
      <c r="G19" s="41">
        <f>SUM(G9:G18)</f>
        <v>247525.90000000002</v>
      </c>
      <c r="H19" s="41">
        <f>SUM(H9:H18)</f>
        <v>300943.75</v>
      </c>
      <c r="I19" s="41">
        <f>SUM(I9:I18)</f>
        <v>0</v>
      </c>
      <c r="J19" s="41">
        <f>SUM(J9:J18)</f>
        <v>1209963.32</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0</v>
      </c>
      <c r="H22" s="18">
        <v>280958.61</v>
      </c>
      <c r="I22" s="18">
        <v>0</v>
      </c>
      <c r="J22" s="67">
        <f>SUM(I449)</f>
        <v>39680.049999999996</v>
      </c>
      <c r="K22" s="24" t="s">
        <v>288</v>
      </c>
      <c r="L22" s="24" t="s">
        <v>288</v>
      </c>
      <c r="M22" s="8"/>
      <c r="N22" s="265"/>
    </row>
    <row r="23" spans="1:14" s="3" customFormat="1" ht="12.2" customHeight="1" x14ac:dyDescent="0.15">
      <c r="A23" s="1" t="s">
        <v>607</v>
      </c>
      <c r="B23" s="2" t="s">
        <v>289</v>
      </c>
      <c r="C23" s="6">
        <v>13</v>
      </c>
      <c r="D23" s="2" t="s">
        <v>429</v>
      </c>
      <c r="E23" s="6">
        <v>410</v>
      </c>
      <c r="F23" s="18">
        <f>66262.92+770.75+2394.95</f>
        <v>69428.62</v>
      </c>
      <c r="G23" s="18">
        <v>19343.79</v>
      </c>
      <c r="H23" s="18">
        <v>0</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79545.39</v>
      </c>
      <c r="G24" s="18">
        <v>1245.08</v>
      </c>
      <c r="H24" s="18">
        <v>0</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182724.25</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122877.43</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2861.06</v>
      </c>
      <c r="G30" s="18">
        <v>60896.959999999999</v>
      </c>
      <c r="H30" s="18">
        <v>19985.14</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88433.26999999999</v>
      </c>
      <c r="K31" s="24" t="s">
        <v>288</v>
      </c>
      <c r="L31" s="24" t="s">
        <v>288</v>
      </c>
      <c r="M31" s="8"/>
      <c r="N31" s="265"/>
    </row>
    <row r="32" spans="1:14" s="3" customFormat="1" ht="12.2" customHeight="1" thickTop="1" x14ac:dyDescent="0.15">
      <c r="A32" s="38" t="s">
        <v>406</v>
      </c>
      <c r="B32" s="39" t="s">
        <v>289</v>
      </c>
      <c r="C32" s="40">
        <v>22</v>
      </c>
      <c r="D32" s="39" t="s">
        <v>429</v>
      </c>
      <c r="E32" s="39"/>
      <c r="F32" s="41">
        <f>SUM(F22:F31)</f>
        <v>457436.75</v>
      </c>
      <c r="G32" s="41">
        <f>SUM(G22:G31)</f>
        <v>81485.83</v>
      </c>
      <c r="H32" s="41">
        <f>SUM(H22:H31)</f>
        <v>300943.75</v>
      </c>
      <c r="I32" s="41">
        <f>SUM(I22:I31)</f>
        <v>0</v>
      </c>
      <c r="J32" s="41">
        <f>SUM(J22:J31)</f>
        <v>128113.31999999998</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650000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166040.07</v>
      </c>
      <c r="H48" s="18">
        <v>0</v>
      </c>
      <c r="I48" s="18">
        <v>0</v>
      </c>
      <c r="J48" s="13">
        <f>SUM(I460)</f>
        <v>1081850</v>
      </c>
      <c r="K48" s="24" t="s">
        <v>288</v>
      </c>
      <c r="L48" s="24" t="s">
        <v>288</v>
      </c>
      <c r="M48" s="8"/>
      <c r="N48" s="265"/>
    </row>
    <row r="49" spans="1:14" s="3" customFormat="1" ht="12.2" customHeight="1" x14ac:dyDescent="0.15">
      <c r="A49" s="1" t="s">
        <v>859</v>
      </c>
      <c r="B49" s="2" t="s">
        <v>289</v>
      </c>
      <c r="C49" s="6">
        <v>34</v>
      </c>
      <c r="D49" s="2"/>
      <c r="E49" s="6">
        <v>753</v>
      </c>
      <c r="F49" s="18">
        <v>13345.93</v>
      </c>
      <c r="G49" s="18">
        <v>0</v>
      </c>
      <c r="H49" s="18">
        <v>0</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f>1779013.54-1193555.81-770.75-2394.95</f>
        <v>582292.03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1245637.96</v>
      </c>
      <c r="G51" s="41">
        <f>SUM(G35:G50)</f>
        <v>166040.07</v>
      </c>
      <c r="H51" s="41">
        <f>SUM(H35:H50)</f>
        <v>0</v>
      </c>
      <c r="I51" s="41">
        <f>SUM(I35:I50)</f>
        <v>0</v>
      </c>
      <c r="J51" s="41">
        <f>SUM(J35:J50)</f>
        <v>1081850</v>
      </c>
      <c r="K51" s="45" t="s">
        <v>288</v>
      </c>
      <c r="L51" s="45" t="s">
        <v>288</v>
      </c>
      <c r="N51" s="263"/>
    </row>
    <row r="52" spans="1:14" s="3" customFormat="1" ht="12.2" customHeight="1" thickTop="1" x14ac:dyDescent="0.15">
      <c r="A52" s="38" t="s">
        <v>455</v>
      </c>
      <c r="B52" s="39" t="s">
        <v>289</v>
      </c>
      <c r="C52" s="6">
        <v>37</v>
      </c>
      <c r="D52" s="39" t="s">
        <v>653</v>
      </c>
      <c r="E52" s="39"/>
      <c r="F52" s="41">
        <f>F51+F32</f>
        <v>1703074.71</v>
      </c>
      <c r="G52" s="41">
        <f>G51+G32</f>
        <v>247525.90000000002</v>
      </c>
      <c r="H52" s="41">
        <f>H51+H32</f>
        <v>300943.75</v>
      </c>
      <c r="I52" s="41">
        <f>I51+I32</f>
        <v>0</v>
      </c>
      <c r="J52" s="41">
        <f>J51+J32</f>
        <v>1209963.32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21058969</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21058969</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71105.210000000006</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1207145.93</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1278251.1399999999</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3240.54</v>
      </c>
      <c r="G96" s="18"/>
      <c r="H96" s="18"/>
      <c r="I96" s="18">
        <v>0</v>
      </c>
      <c r="J96" s="18">
        <f>1173.37-17001.76</f>
        <v>-15828.39</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130342.41</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37191</v>
      </c>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1182.1099999999999</v>
      </c>
      <c r="G101" s="18">
        <v>0</v>
      </c>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c r="H102" s="18">
        <v>25963.86</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f>364162.3-770.75</f>
        <v>363391.55</v>
      </c>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377945.36</v>
      </c>
      <c r="G109" s="18">
        <v>1676.64</v>
      </c>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0</v>
      </c>
      <c r="G110" s="18">
        <v>492.61</v>
      </c>
      <c r="H110" s="18"/>
      <c r="I110" s="18"/>
      <c r="J110" s="18">
        <v>1183.26</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782950.56</v>
      </c>
      <c r="G111" s="41">
        <f>SUM(G96:G110)</f>
        <v>132511.66</v>
      </c>
      <c r="H111" s="41">
        <f>SUM(H96:H110)</f>
        <v>25963.86</v>
      </c>
      <c r="I111" s="41">
        <f>SUM(I96:I110)</f>
        <v>0</v>
      </c>
      <c r="J111" s="41">
        <f>SUM(J96:J110)</f>
        <v>-14645.13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23120170.699999999</v>
      </c>
      <c r="G112" s="41">
        <f>G60+G111</f>
        <v>132511.66</v>
      </c>
      <c r="H112" s="41">
        <f>H60+H79+H94+H111</f>
        <v>25963.86</v>
      </c>
      <c r="I112" s="41">
        <f>I60+I111</f>
        <v>0</v>
      </c>
      <c r="J112" s="41">
        <f>J60+J111</f>
        <v>-14645.13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2723455.38</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2477298</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3990.42</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5204743.8</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137915.70000000001</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248714.52</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8670.8700000000008</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386630.22</v>
      </c>
      <c r="G136" s="41">
        <f>SUM(G123:G135)</f>
        <v>8670.8700000000008</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5591374.0199999996</v>
      </c>
      <c r="G140" s="41">
        <f>G121+SUM(G136:G137)</f>
        <v>8670.8700000000008</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62338.34</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36593.45+7900</f>
        <v>44493.45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791102.99</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303784.83</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227888.12</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v>0</v>
      </c>
      <c r="G162" s="18"/>
      <c r="H162" s="18">
        <v>260690.36</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227888.12</v>
      </c>
      <c r="G163" s="41">
        <f>SUM(G150:G162)</f>
        <v>791102.99</v>
      </c>
      <c r="H163" s="41">
        <f>SUM(H150:H162)</f>
        <v>671306.98</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227888.12</v>
      </c>
      <c r="G170" s="41">
        <f>G147+G163+SUM(G164:G169)</f>
        <v>791102.99</v>
      </c>
      <c r="H170" s="41">
        <f>H147+H163+SUM(H164:H169)</f>
        <v>671306.98</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500000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500000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500000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28939432.84</v>
      </c>
      <c r="G194" s="47">
        <f>G112+G140+G170+G193</f>
        <v>932285.52</v>
      </c>
      <c r="H194" s="47">
        <f>H112+H140+H170+H193</f>
        <v>697270.84</v>
      </c>
      <c r="I194" s="47">
        <f>I112+I140+I170+I193</f>
        <v>0</v>
      </c>
      <c r="J194" s="47">
        <f>J112+J140+J193</f>
        <v>485354.87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3668766.66</v>
      </c>
      <c r="G198" s="18">
        <v>2117480.91</v>
      </c>
      <c r="H198" s="18">
        <v>4892</v>
      </c>
      <c r="I198" s="18">
        <v>145213.74</v>
      </c>
      <c r="J198" s="18">
        <v>30977.27</v>
      </c>
      <c r="K198" s="18">
        <v>0</v>
      </c>
      <c r="L198" s="19">
        <f>SUM(F198:K198)</f>
        <v>5967330.5800000001</v>
      </c>
      <c r="M198" s="8"/>
      <c r="N198" s="265"/>
    </row>
    <row r="199" spans="1:14" s="3" customFormat="1" ht="12.2" customHeight="1" x14ac:dyDescent="0.15">
      <c r="A199" s="1" t="s">
        <v>439</v>
      </c>
      <c r="B199" s="2" t="s">
        <v>341</v>
      </c>
      <c r="C199" s="2" t="s">
        <v>291</v>
      </c>
      <c r="D199" s="2" t="s">
        <v>431</v>
      </c>
      <c r="E199" s="6">
        <v>1200</v>
      </c>
      <c r="F199" s="18">
        <v>1774212.67</v>
      </c>
      <c r="G199" s="18">
        <v>1130311.3400000001</v>
      </c>
      <c r="H199" s="18">
        <v>193350.52</v>
      </c>
      <c r="I199" s="18">
        <v>12313.51</v>
      </c>
      <c r="J199" s="18">
        <v>1955.38</v>
      </c>
      <c r="K199" s="18">
        <v>122</v>
      </c>
      <c r="L199" s="19">
        <f>SUM(F199:K199)</f>
        <v>3112265.4199999995</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54789.71</v>
      </c>
      <c r="G201" s="18">
        <v>15209.93</v>
      </c>
      <c r="H201" s="18">
        <v>0</v>
      </c>
      <c r="I201" s="18">
        <v>1950</v>
      </c>
      <c r="J201" s="18">
        <v>0</v>
      </c>
      <c r="K201" s="18">
        <v>0</v>
      </c>
      <c r="L201" s="19">
        <f>SUM(F201:K201)</f>
        <v>71949.64</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1247967.04</v>
      </c>
      <c r="G203" s="18">
        <v>740695.86</v>
      </c>
      <c r="H203" s="18">
        <v>69317.73</v>
      </c>
      <c r="I203" s="18">
        <v>9194.92</v>
      </c>
      <c r="J203" s="18">
        <v>0</v>
      </c>
      <c r="K203" s="18">
        <v>0</v>
      </c>
      <c r="L203" s="19">
        <f t="shared" ref="L203:L209" si="0">SUM(F203:K203)</f>
        <v>2067175.5499999998</v>
      </c>
      <c r="M203" s="8"/>
      <c r="N203" s="265"/>
    </row>
    <row r="204" spans="1:14" s="3" customFormat="1" ht="12.2" customHeight="1" x14ac:dyDescent="0.15">
      <c r="A204" s="1" t="s">
        <v>443</v>
      </c>
      <c r="B204" s="2" t="s">
        <v>341</v>
      </c>
      <c r="C204" s="2" t="s">
        <v>295</v>
      </c>
      <c r="D204" s="2" t="s">
        <v>431</v>
      </c>
      <c r="E204" s="6">
        <v>2200</v>
      </c>
      <c r="F204" s="18">
        <v>113314.43</v>
      </c>
      <c r="G204" s="18">
        <v>113914.48</v>
      </c>
      <c r="H204" s="18">
        <v>0</v>
      </c>
      <c r="I204" s="18">
        <v>10748.24</v>
      </c>
      <c r="J204" s="18">
        <v>0</v>
      </c>
      <c r="K204" s="18">
        <v>0</v>
      </c>
      <c r="L204" s="19">
        <f t="shared" si="0"/>
        <v>237977.14999999997</v>
      </c>
      <c r="M204" s="8"/>
      <c r="N204" s="265"/>
    </row>
    <row r="205" spans="1:14" s="3" customFormat="1" ht="12.2" customHeight="1" x14ac:dyDescent="0.15">
      <c r="A205" s="1" t="s">
        <v>444</v>
      </c>
      <c r="B205" s="2" t="s">
        <v>341</v>
      </c>
      <c r="C205" s="2" t="s">
        <v>296</v>
      </c>
      <c r="D205" s="2" t="s">
        <v>431</v>
      </c>
      <c r="E205" s="6">
        <v>2300</v>
      </c>
      <c r="F205" s="18">
        <v>100965.12</v>
      </c>
      <c r="G205" s="18">
        <v>29556.98</v>
      </c>
      <c r="H205" s="18">
        <v>768160.35</v>
      </c>
      <c r="I205" s="18">
        <v>545.16</v>
      </c>
      <c r="J205" s="18">
        <v>0</v>
      </c>
      <c r="K205" s="18">
        <v>2799.37</v>
      </c>
      <c r="L205" s="19">
        <f t="shared" si="0"/>
        <v>902026.98</v>
      </c>
      <c r="M205" s="8"/>
      <c r="N205" s="265"/>
    </row>
    <row r="206" spans="1:14" s="3" customFormat="1" ht="12.2" customHeight="1" x14ac:dyDescent="0.15">
      <c r="A206" s="1" t="s">
        <v>445</v>
      </c>
      <c r="B206" s="2" t="s">
        <v>341</v>
      </c>
      <c r="C206" s="2" t="s">
        <v>297</v>
      </c>
      <c r="D206" s="2" t="s">
        <v>431</v>
      </c>
      <c r="E206" s="6">
        <v>2400</v>
      </c>
      <c r="F206" s="18">
        <v>487250.98</v>
      </c>
      <c r="G206" s="18">
        <v>230841.19</v>
      </c>
      <c r="H206" s="18">
        <v>22780.81</v>
      </c>
      <c r="I206" s="18">
        <v>25641.58</v>
      </c>
      <c r="J206" s="18">
        <v>0</v>
      </c>
      <c r="K206" s="18">
        <v>2110</v>
      </c>
      <c r="L206" s="19">
        <f t="shared" si="0"/>
        <v>768624.55999999994</v>
      </c>
      <c r="M206" s="8"/>
      <c r="N206" s="265"/>
    </row>
    <row r="207" spans="1:14" s="3" customFormat="1" ht="12.2" customHeight="1" x14ac:dyDescent="0.15">
      <c r="A207" s="1" t="s">
        <v>446</v>
      </c>
      <c r="B207" s="2" t="s">
        <v>341</v>
      </c>
      <c r="C207" s="2" t="s">
        <v>298</v>
      </c>
      <c r="D207" s="2" t="s">
        <v>431</v>
      </c>
      <c r="E207" s="6">
        <v>2500</v>
      </c>
      <c r="F207" s="18">
        <v>0</v>
      </c>
      <c r="G207" s="18">
        <v>0</v>
      </c>
      <c r="H207" s="18">
        <v>177.5</v>
      </c>
      <c r="I207" s="18">
        <v>0</v>
      </c>
      <c r="J207" s="18">
        <v>0</v>
      </c>
      <c r="K207" s="18">
        <v>0</v>
      </c>
      <c r="L207" s="19">
        <f t="shared" si="0"/>
        <v>177.5</v>
      </c>
      <c r="M207" s="8"/>
      <c r="N207" s="265"/>
    </row>
    <row r="208" spans="1:14" s="3" customFormat="1" ht="12.2" customHeight="1" x14ac:dyDescent="0.15">
      <c r="A208" s="1" t="s">
        <v>447</v>
      </c>
      <c r="B208" s="2" t="s">
        <v>341</v>
      </c>
      <c r="C208" s="2" t="s">
        <v>299</v>
      </c>
      <c r="D208" s="2" t="s">
        <v>431</v>
      </c>
      <c r="E208" s="6">
        <v>2600</v>
      </c>
      <c r="F208" s="18">
        <v>269620.40000000002</v>
      </c>
      <c r="G208" s="18">
        <v>146726.99</v>
      </c>
      <c r="H208" s="18">
        <v>188817.05</v>
      </c>
      <c r="I208" s="18">
        <v>189441.39</v>
      </c>
      <c r="J208" s="18">
        <v>21083.01</v>
      </c>
      <c r="K208" s="18">
        <v>0</v>
      </c>
      <c r="L208" s="19">
        <f t="shared" si="0"/>
        <v>815688.84</v>
      </c>
      <c r="M208" s="8"/>
      <c r="N208" s="265"/>
    </row>
    <row r="209" spans="1:14" s="3" customFormat="1" ht="12.2" customHeight="1" x14ac:dyDescent="0.15">
      <c r="A209" s="1" t="s">
        <v>448</v>
      </c>
      <c r="B209" s="2" t="s">
        <v>341</v>
      </c>
      <c r="C209" s="2" t="s">
        <v>300</v>
      </c>
      <c r="D209" s="2" t="s">
        <v>431</v>
      </c>
      <c r="E209" s="6">
        <v>2700</v>
      </c>
      <c r="F209" s="18">
        <v>565.99</v>
      </c>
      <c r="G209" s="18">
        <v>43.3</v>
      </c>
      <c r="H209" s="18">
        <v>536969.96</v>
      </c>
      <c r="I209" s="18">
        <v>0</v>
      </c>
      <c r="J209" s="18">
        <v>0</v>
      </c>
      <c r="K209" s="18">
        <v>0</v>
      </c>
      <c r="L209" s="19">
        <f t="shared" si="0"/>
        <v>537579.25</v>
      </c>
      <c r="M209" s="8"/>
      <c r="N209" s="265"/>
    </row>
    <row r="210" spans="1:14" s="3" customFormat="1" ht="12.2" customHeight="1" x14ac:dyDescent="0.15">
      <c r="A210" s="1" t="s">
        <v>449</v>
      </c>
      <c r="B210" s="2" t="s">
        <v>341</v>
      </c>
      <c r="C210" s="2" t="s">
        <v>343</v>
      </c>
      <c r="D210" s="2" t="s">
        <v>431</v>
      </c>
      <c r="E210" s="6">
        <v>2800</v>
      </c>
      <c r="F210" s="18">
        <v>62593</v>
      </c>
      <c r="G210" s="18">
        <v>41875.06</v>
      </c>
      <c r="H210" s="18">
        <v>26172.1</v>
      </c>
      <c r="I210" s="18">
        <v>34440.26</v>
      </c>
      <c r="J210" s="18">
        <v>2552.6</v>
      </c>
      <c r="K210" s="18">
        <v>0</v>
      </c>
      <c r="L210" s="19">
        <f>SUM(F210:K210)</f>
        <v>167633.02000000002</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7780046</v>
      </c>
      <c r="G212" s="41">
        <f t="shared" si="1"/>
        <v>4566656.04</v>
      </c>
      <c r="H212" s="41">
        <f t="shared" si="1"/>
        <v>1810638.02</v>
      </c>
      <c r="I212" s="41">
        <f t="shared" si="1"/>
        <v>429488.80000000005</v>
      </c>
      <c r="J212" s="41">
        <f t="shared" si="1"/>
        <v>56568.26</v>
      </c>
      <c r="K212" s="41">
        <f t="shared" si="1"/>
        <v>5031.37</v>
      </c>
      <c r="L212" s="41">
        <f t="shared" si="1"/>
        <v>14648428.490000002</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3921547.48</v>
      </c>
      <c r="G216" s="18">
        <v>2248292.1800000002</v>
      </c>
      <c r="H216" s="18">
        <v>3388.49</v>
      </c>
      <c r="I216" s="18">
        <v>114064.23</v>
      </c>
      <c r="J216" s="18">
        <v>77963.73</v>
      </c>
      <c r="K216" s="18">
        <v>0</v>
      </c>
      <c r="L216" s="19">
        <f>SUM(F216:K216)</f>
        <v>6365256.1100000013</v>
      </c>
      <c r="M216" s="8"/>
      <c r="N216" s="265"/>
    </row>
    <row r="217" spans="1:14" s="3" customFormat="1" ht="12.2" customHeight="1" x14ac:dyDescent="0.15">
      <c r="A217" s="1" t="s">
        <v>439</v>
      </c>
      <c r="B217" s="2" t="s">
        <v>346</v>
      </c>
      <c r="C217" s="2" t="s">
        <v>291</v>
      </c>
      <c r="D217" s="2" t="s">
        <v>431</v>
      </c>
      <c r="E217" s="6">
        <v>1200</v>
      </c>
      <c r="F217" s="18">
        <v>1613553.47</v>
      </c>
      <c r="G217" s="18">
        <v>1008630.99</v>
      </c>
      <c r="H217" s="18">
        <f>142217.85+2394.95</f>
        <v>144612.80000000002</v>
      </c>
      <c r="I217" s="18">
        <v>11652.13</v>
      </c>
      <c r="J217" s="18">
        <v>0</v>
      </c>
      <c r="K217" s="18">
        <v>0</v>
      </c>
      <c r="L217" s="19">
        <f>SUM(F217:K217)</f>
        <v>2778449.3899999997</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110743.15</v>
      </c>
      <c r="G219" s="18">
        <v>20944.650000000001</v>
      </c>
      <c r="H219" s="18">
        <v>13167</v>
      </c>
      <c r="I219" s="18">
        <v>12217.58</v>
      </c>
      <c r="J219" s="18">
        <v>0</v>
      </c>
      <c r="K219" s="18">
        <v>2549.29</v>
      </c>
      <c r="L219" s="19">
        <f>SUM(F219:K219)</f>
        <v>159621.66999999998</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838235.41</v>
      </c>
      <c r="G221" s="18">
        <v>489049.63</v>
      </c>
      <c r="H221" s="18">
        <v>190395.08</v>
      </c>
      <c r="I221" s="18">
        <v>6034.41</v>
      </c>
      <c r="J221" s="18">
        <v>0</v>
      </c>
      <c r="K221" s="18">
        <v>0</v>
      </c>
      <c r="L221" s="19">
        <f t="shared" ref="L221:L227" si="2">SUM(F221:K221)</f>
        <v>1523714.53</v>
      </c>
      <c r="M221" s="8"/>
      <c r="N221" s="265"/>
    </row>
    <row r="222" spans="1:14" s="3" customFormat="1" ht="12.2" customHeight="1" x14ac:dyDescent="0.15">
      <c r="A222" s="1" t="s">
        <v>443</v>
      </c>
      <c r="B222" s="2" t="s">
        <v>346</v>
      </c>
      <c r="C222" s="2" t="s">
        <v>295</v>
      </c>
      <c r="D222" s="2" t="s">
        <v>431</v>
      </c>
      <c r="E222" s="6">
        <v>2200</v>
      </c>
      <c r="F222" s="18">
        <v>161703.20000000001</v>
      </c>
      <c r="G222" s="18">
        <v>109829.38</v>
      </c>
      <c r="H222" s="18">
        <v>99.87</v>
      </c>
      <c r="I222" s="18">
        <v>8464.75</v>
      </c>
      <c r="J222" s="18">
        <v>0</v>
      </c>
      <c r="K222" s="18">
        <v>0</v>
      </c>
      <c r="L222" s="19">
        <f t="shared" si="2"/>
        <v>280097.2</v>
      </c>
      <c r="M222" s="8"/>
      <c r="N222" s="265"/>
    </row>
    <row r="223" spans="1:14" s="3" customFormat="1" ht="12.2" customHeight="1" x14ac:dyDescent="0.15">
      <c r="A223" s="1" t="s">
        <v>444</v>
      </c>
      <c r="B223" s="2" t="s">
        <v>346</v>
      </c>
      <c r="C223" s="2" t="s">
        <v>296</v>
      </c>
      <c r="D223" s="2" t="s">
        <v>431</v>
      </c>
      <c r="E223" s="6">
        <v>2300</v>
      </c>
      <c r="F223" s="18">
        <v>83218.38</v>
      </c>
      <c r="G223" s="18">
        <v>46232.91</v>
      </c>
      <c r="H223" s="18">
        <v>764392.31</v>
      </c>
      <c r="I223" s="18">
        <v>545.16</v>
      </c>
      <c r="J223" s="18">
        <v>0</v>
      </c>
      <c r="K223" s="18">
        <v>2799.37</v>
      </c>
      <c r="L223" s="19">
        <f t="shared" si="2"/>
        <v>897188.13000000012</v>
      </c>
      <c r="M223" s="8"/>
      <c r="N223" s="265"/>
    </row>
    <row r="224" spans="1:14" s="3" customFormat="1" ht="12.2" customHeight="1" x14ac:dyDescent="0.15">
      <c r="A224" s="1" t="s">
        <v>445</v>
      </c>
      <c r="B224" s="2" t="s">
        <v>346</v>
      </c>
      <c r="C224" s="2" t="s">
        <v>297</v>
      </c>
      <c r="D224" s="2" t="s">
        <v>431</v>
      </c>
      <c r="E224" s="6">
        <v>2400</v>
      </c>
      <c r="F224" s="18">
        <v>465267.03</v>
      </c>
      <c r="G224" s="18">
        <v>243146.16</v>
      </c>
      <c r="H224" s="18">
        <v>21812.15</v>
      </c>
      <c r="I224" s="18">
        <v>34703.339999999997</v>
      </c>
      <c r="J224" s="18">
        <v>0</v>
      </c>
      <c r="K224" s="18">
        <v>3029</v>
      </c>
      <c r="L224" s="19">
        <f t="shared" si="2"/>
        <v>767957.68</v>
      </c>
      <c r="M224" s="8"/>
      <c r="N224" s="265"/>
    </row>
    <row r="225" spans="1:14" s="3" customFormat="1" ht="12.2" customHeight="1" x14ac:dyDescent="0.15">
      <c r="A225" s="1" t="s">
        <v>446</v>
      </c>
      <c r="B225" s="2" t="s">
        <v>346</v>
      </c>
      <c r="C225" s="2" t="s">
        <v>298</v>
      </c>
      <c r="D225" s="2" t="s">
        <v>431</v>
      </c>
      <c r="E225" s="6">
        <v>2500</v>
      </c>
      <c r="F225" s="18">
        <v>0</v>
      </c>
      <c r="G225" s="18">
        <v>0</v>
      </c>
      <c r="H225" s="18">
        <v>144.46</v>
      </c>
      <c r="I225" s="18">
        <v>0</v>
      </c>
      <c r="J225" s="18">
        <v>0</v>
      </c>
      <c r="K225" s="18">
        <v>0</v>
      </c>
      <c r="L225" s="19">
        <f t="shared" si="2"/>
        <v>144.46</v>
      </c>
      <c r="M225" s="8"/>
      <c r="N225" s="265"/>
    </row>
    <row r="226" spans="1:14" s="3" customFormat="1" ht="12.2" customHeight="1" x14ac:dyDescent="0.15">
      <c r="A226" s="1" t="s">
        <v>447</v>
      </c>
      <c r="B226" s="2" t="s">
        <v>346</v>
      </c>
      <c r="C226" s="2" t="s">
        <v>299</v>
      </c>
      <c r="D226" s="2" t="s">
        <v>431</v>
      </c>
      <c r="E226" s="6">
        <v>2600</v>
      </c>
      <c r="F226" s="18">
        <v>333392.61</v>
      </c>
      <c r="G226" s="18">
        <v>189934.9</v>
      </c>
      <c r="H226" s="18">
        <v>306721.93</v>
      </c>
      <c r="I226" s="18">
        <v>286659.90000000002</v>
      </c>
      <c r="J226" s="18">
        <v>13411.74</v>
      </c>
      <c r="K226" s="18">
        <v>0</v>
      </c>
      <c r="L226" s="19">
        <f t="shared" si="2"/>
        <v>1130121.0799999998</v>
      </c>
      <c r="M226" s="8"/>
      <c r="N226" s="265"/>
    </row>
    <row r="227" spans="1:14" s="3" customFormat="1" ht="12.2" customHeight="1" x14ac:dyDescent="0.15">
      <c r="A227" s="1" t="s">
        <v>448</v>
      </c>
      <c r="B227" s="2" t="s">
        <v>346</v>
      </c>
      <c r="C227" s="2" t="s">
        <v>300</v>
      </c>
      <c r="D227" s="2" t="s">
        <v>431</v>
      </c>
      <c r="E227" s="6">
        <v>2700</v>
      </c>
      <c r="F227" s="18">
        <v>565.99</v>
      </c>
      <c r="G227" s="18">
        <v>43.29</v>
      </c>
      <c r="H227" s="18">
        <v>401545.37</v>
      </c>
      <c r="I227" s="18">
        <v>0</v>
      </c>
      <c r="J227" s="18">
        <v>0</v>
      </c>
      <c r="K227" s="18">
        <v>0</v>
      </c>
      <c r="L227" s="19">
        <f t="shared" si="2"/>
        <v>402154.65</v>
      </c>
      <c r="M227" s="8"/>
      <c r="N227" s="265"/>
    </row>
    <row r="228" spans="1:14" s="3" customFormat="1" ht="12.2" customHeight="1" x14ac:dyDescent="0.15">
      <c r="A228" s="1" t="s">
        <v>449</v>
      </c>
      <c r="B228" s="2" t="s">
        <v>346</v>
      </c>
      <c r="C228" s="2" t="s">
        <v>343</v>
      </c>
      <c r="D228" s="2" t="s">
        <v>431</v>
      </c>
      <c r="E228" s="6">
        <v>2800</v>
      </c>
      <c r="F228" s="18">
        <v>111432.26</v>
      </c>
      <c r="G228" s="18">
        <v>62666.13</v>
      </c>
      <c r="H228" s="18">
        <v>28803.02</v>
      </c>
      <c r="I228" s="18">
        <v>30496.17</v>
      </c>
      <c r="J228" s="18">
        <v>3348.25</v>
      </c>
      <c r="K228" s="18">
        <v>0</v>
      </c>
      <c r="L228" s="19">
        <f>SUM(F228:K228)</f>
        <v>236745.82999999996</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7639658.9800000014</v>
      </c>
      <c r="G230" s="41">
        <f>SUM(G216:G229)</f>
        <v>4418770.22</v>
      </c>
      <c r="H230" s="41">
        <f>SUM(H216:H229)</f>
        <v>1875082.48</v>
      </c>
      <c r="I230" s="41">
        <f>SUM(I216:I229)</f>
        <v>504837.67</v>
      </c>
      <c r="J230" s="41">
        <f>SUM(J216:J229)</f>
        <v>94723.72</v>
      </c>
      <c r="K230" s="41">
        <f t="shared" si="3"/>
        <v>8377.66</v>
      </c>
      <c r="L230" s="41">
        <f t="shared" si="3"/>
        <v>14541450.73</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25000</v>
      </c>
      <c r="I256" s="18">
        <v>0</v>
      </c>
      <c r="J256" s="18">
        <v>0</v>
      </c>
      <c r="K256" s="18">
        <v>0</v>
      </c>
      <c r="L256" s="19">
        <f t="shared" si="6"/>
        <v>25000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25000</v>
      </c>
      <c r="I257" s="41">
        <f t="shared" si="7"/>
        <v>0</v>
      </c>
      <c r="J257" s="41">
        <f t="shared" si="7"/>
        <v>0</v>
      </c>
      <c r="K257" s="41">
        <f t="shared" si="7"/>
        <v>0</v>
      </c>
      <c r="L257" s="41">
        <f>SUM(F257:K257)</f>
        <v>25000</v>
      </c>
      <c r="M257" s="8"/>
      <c r="N257" s="265"/>
    </row>
    <row r="258" spans="1:14" s="3" customFormat="1" ht="12.2" customHeight="1" thickTop="1" x14ac:dyDescent="0.15">
      <c r="A258" s="38" t="s">
        <v>462</v>
      </c>
      <c r="B258" s="40">
        <v>10</v>
      </c>
      <c r="C258" s="40">
        <v>8</v>
      </c>
      <c r="D258" s="39" t="s">
        <v>431</v>
      </c>
      <c r="E258" s="40"/>
      <c r="F258" s="41">
        <f t="shared" ref="F258:L258" si="8">F212+F230+F248+F257</f>
        <v>15419704.98</v>
      </c>
      <c r="G258" s="41">
        <f t="shared" si="8"/>
        <v>8985426.2599999998</v>
      </c>
      <c r="H258" s="41">
        <f t="shared" si="8"/>
        <v>3710720.5</v>
      </c>
      <c r="I258" s="41">
        <f t="shared" si="8"/>
        <v>934326.47</v>
      </c>
      <c r="J258" s="41">
        <f t="shared" si="8"/>
        <v>151291.98000000001</v>
      </c>
      <c r="K258" s="41">
        <f t="shared" si="8"/>
        <v>13409.029999999999</v>
      </c>
      <c r="L258" s="41">
        <f t="shared" si="8"/>
        <v>29214879.220000003</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370000</v>
      </c>
      <c r="L261" s="19">
        <f>SUM(F261:K261)</f>
        <v>370000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51275.13</v>
      </c>
      <c r="L262" s="19">
        <f>SUM(F262:K262)</f>
        <v>51275.13</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500000</v>
      </c>
      <c r="L267" s="19">
        <f t="shared" si="9"/>
        <v>500000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921275.13</v>
      </c>
      <c r="L271" s="41">
        <f t="shared" si="9"/>
        <v>921275.13</v>
      </c>
      <c r="M271" s="8"/>
      <c r="N271" s="265"/>
    </row>
    <row r="272" spans="1:14" s="34" customFormat="1" ht="12.2" customHeight="1" thickTop="1" x14ac:dyDescent="0.2">
      <c r="A272" s="43" t="s">
        <v>464</v>
      </c>
      <c r="B272" s="40">
        <v>10</v>
      </c>
      <c r="C272" s="40">
        <v>18</v>
      </c>
      <c r="D272" s="39" t="s">
        <v>431</v>
      </c>
      <c r="E272" s="40"/>
      <c r="F272" s="42">
        <f t="shared" ref="F272:L272" si="11">F258+F271</f>
        <v>15419704.98</v>
      </c>
      <c r="G272" s="42">
        <f t="shared" si="11"/>
        <v>8985426.2599999998</v>
      </c>
      <c r="H272" s="42">
        <f t="shared" si="11"/>
        <v>3710720.5</v>
      </c>
      <c r="I272" s="42">
        <f t="shared" si="11"/>
        <v>934326.47</v>
      </c>
      <c r="J272" s="42">
        <f t="shared" si="11"/>
        <v>151291.98000000001</v>
      </c>
      <c r="K272" s="42">
        <f t="shared" si="11"/>
        <v>934684.16000000003</v>
      </c>
      <c r="L272" s="42">
        <f t="shared" si="11"/>
        <v>30136154.350000001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85505.97</v>
      </c>
      <c r="G277" s="18">
        <v>51043.02</v>
      </c>
      <c r="H277" s="18">
        <v>0</v>
      </c>
      <c r="I277" s="18">
        <v>27386.54</v>
      </c>
      <c r="J277" s="18">
        <v>6949.84</v>
      </c>
      <c r="K277" s="18">
        <v>0</v>
      </c>
      <c r="L277" s="19">
        <f>SUM(F277:K277)</f>
        <v>170885.37</v>
      </c>
      <c r="M277" s="8"/>
      <c r="N277" s="265"/>
    </row>
    <row r="278" spans="1:14" s="3" customFormat="1" ht="12.2" customHeight="1" x14ac:dyDescent="0.15">
      <c r="A278" s="1" t="s">
        <v>439</v>
      </c>
      <c r="B278" s="2" t="s">
        <v>357</v>
      </c>
      <c r="C278" s="2" t="s">
        <v>291</v>
      </c>
      <c r="D278" s="2" t="s">
        <v>431</v>
      </c>
      <c r="E278" s="6">
        <v>1200</v>
      </c>
      <c r="F278" s="18">
        <v>50977.97</v>
      </c>
      <c r="G278" s="18">
        <v>11067.24</v>
      </c>
      <c r="H278" s="18">
        <v>0</v>
      </c>
      <c r="I278" s="18">
        <f>1790.09+945.25</f>
        <v>2735.34</v>
      </c>
      <c r="J278" s="18">
        <v>0</v>
      </c>
      <c r="K278" s="18">
        <v>0</v>
      </c>
      <c r="L278" s="19">
        <f>SUM(F278:K278)</f>
        <v>64780.55</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21963.39</v>
      </c>
      <c r="G280" s="18">
        <v>5938.41</v>
      </c>
      <c r="H280" s="18">
        <v>0</v>
      </c>
      <c r="I280" s="18">
        <v>17.96</v>
      </c>
      <c r="J280" s="18">
        <v>0</v>
      </c>
      <c r="K280" s="18">
        <v>0</v>
      </c>
      <c r="L280" s="19">
        <f>SUM(F280:K280)</f>
        <v>27919.759999999998</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89084</v>
      </c>
      <c r="G282" s="18">
        <v>56097.66</v>
      </c>
      <c r="H282" s="18">
        <v>16159.04</v>
      </c>
      <c r="I282" s="18">
        <v>0</v>
      </c>
      <c r="J282" s="18">
        <v>0</v>
      </c>
      <c r="K282" s="18">
        <v>0</v>
      </c>
      <c r="L282" s="19">
        <f t="shared" ref="L282:L288" si="12">SUM(F282:K282)</f>
        <v>161340.70000000001</v>
      </c>
      <c r="M282" s="8"/>
      <c r="N282" s="265"/>
    </row>
    <row r="283" spans="1:14" s="3" customFormat="1" ht="12.2" customHeight="1" x14ac:dyDescent="0.15">
      <c r="A283" s="1" t="s">
        <v>443</v>
      </c>
      <c r="B283" s="2" t="s">
        <v>357</v>
      </c>
      <c r="C283" s="2" t="s">
        <v>295</v>
      </c>
      <c r="D283" s="2" t="s">
        <v>431</v>
      </c>
      <c r="E283" s="6">
        <v>2200</v>
      </c>
      <c r="F283" s="18">
        <v>1500</v>
      </c>
      <c r="G283" s="18">
        <v>430.05</v>
      </c>
      <c r="H283" s="18">
        <v>32775.199999999997</v>
      </c>
      <c r="I283" s="18">
        <v>0</v>
      </c>
      <c r="J283" s="18">
        <v>0</v>
      </c>
      <c r="K283" s="18">
        <v>0</v>
      </c>
      <c r="L283" s="19">
        <f t="shared" si="12"/>
        <v>34705.25</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2020.14</v>
      </c>
      <c r="J285" s="18">
        <v>0</v>
      </c>
      <c r="K285" s="18">
        <v>0</v>
      </c>
      <c r="L285" s="19">
        <f t="shared" si="12"/>
        <v>2020.14</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11700</v>
      </c>
      <c r="I287" s="18">
        <v>0</v>
      </c>
      <c r="J287" s="18">
        <v>542.21</v>
      </c>
      <c r="K287" s="18">
        <v>0</v>
      </c>
      <c r="L287" s="19">
        <f t="shared" si="12"/>
        <v>12242.21</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249031.33000000002</v>
      </c>
      <c r="G291" s="42">
        <f t="shared" si="13"/>
        <v>124576.38</v>
      </c>
      <c r="H291" s="42">
        <f t="shared" si="13"/>
        <v>60634.239999999998</v>
      </c>
      <c r="I291" s="42">
        <f t="shared" si="13"/>
        <v>32159.98</v>
      </c>
      <c r="J291" s="42">
        <f t="shared" si="13"/>
        <v>7492.05</v>
      </c>
      <c r="K291" s="42">
        <f t="shared" si="13"/>
        <v>0</v>
      </c>
      <c r="L291" s="41">
        <f t="shared" si="13"/>
        <v>473893.98000000004</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31135.17</v>
      </c>
      <c r="G296" s="18">
        <v>16831.77</v>
      </c>
      <c r="H296" s="18">
        <v>0</v>
      </c>
      <c r="I296" s="18">
        <v>12748.86</v>
      </c>
      <c r="J296" s="18">
        <v>5955.44</v>
      </c>
      <c r="K296" s="18">
        <v>549.09</v>
      </c>
      <c r="L296" s="19">
        <f>SUM(F296:K296)</f>
        <v>67220.33</v>
      </c>
      <c r="M296" s="8"/>
      <c r="N296" s="265"/>
    </row>
    <row r="297" spans="1:14" s="3" customFormat="1" ht="12.2" customHeight="1" x14ac:dyDescent="0.15">
      <c r="A297" s="1" t="s">
        <v>439</v>
      </c>
      <c r="B297" s="2" t="s">
        <v>358</v>
      </c>
      <c r="C297" s="2" t="s">
        <v>291</v>
      </c>
      <c r="D297" s="2" t="s">
        <v>431</v>
      </c>
      <c r="E297" s="6">
        <v>1200</v>
      </c>
      <c r="F297" s="18">
        <v>21178.57</v>
      </c>
      <c r="G297" s="18">
        <v>4597.24</v>
      </c>
      <c r="H297" s="18">
        <v>0</v>
      </c>
      <c r="I297" s="18">
        <v>0</v>
      </c>
      <c r="J297" s="18">
        <v>0</v>
      </c>
      <c r="K297" s="18">
        <v>0</v>
      </c>
      <c r="L297" s="19">
        <f>SUM(F297:K297)</f>
        <v>25775.809999999998</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v>26088.880000000001</v>
      </c>
      <c r="G299" s="18">
        <v>6838.14</v>
      </c>
      <c r="H299" s="18">
        <v>0</v>
      </c>
      <c r="I299" s="18">
        <v>772.33</v>
      </c>
      <c r="J299" s="18">
        <v>0</v>
      </c>
      <c r="K299" s="18">
        <v>0</v>
      </c>
      <c r="L299" s="19">
        <f>SUM(F299:K299)</f>
        <v>33699.350000000006</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50322</v>
      </c>
      <c r="I301" s="18">
        <v>0</v>
      </c>
      <c r="J301" s="18">
        <v>0</v>
      </c>
      <c r="K301" s="18">
        <v>0</v>
      </c>
      <c r="L301" s="19">
        <f t="shared" ref="L301:L307" si="14">SUM(F301:K301)</f>
        <v>50322</v>
      </c>
      <c r="M301" s="8"/>
      <c r="N301" s="265"/>
    </row>
    <row r="302" spans="1:14" s="3" customFormat="1" ht="12.2" customHeight="1" x14ac:dyDescent="0.15">
      <c r="A302" s="1" t="s">
        <v>443</v>
      </c>
      <c r="B302" s="2" t="s">
        <v>358</v>
      </c>
      <c r="C302" s="2" t="s">
        <v>295</v>
      </c>
      <c r="D302" s="2" t="s">
        <v>431</v>
      </c>
      <c r="E302" s="6">
        <v>2200</v>
      </c>
      <c r="F302" s="18">
        <v>29726.45</v>
      </c>
      <c r="G302" s="18">
        <v>8421.85</v>
      </c>
      <c r="H302" s="18">
        <v>0</v>
      </c>
      <c r="I302" s="18">
        <v>3205.6</v>
      </c>
      <c r="J302" s="18">
        <v>0</v>
      </c>
      <c r="K302" s="18">
        <v>0</v>
      </c>
      <c r="L302" s="19">
        <f t="shared" si="14"/>
        <v>41353.9</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2020.14</v>
      </c>
      <c r="J304" s="18">
        <v>0</v>
      </c>
      <c r="K304" s="18">
        <v>0</v>
      </c>
      <c r="L304" s="19">
        <f t="shared" si="14"/>
        <v>2020.14</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612.44000000000005</v>
      </c>
      <c r="K306" s="18">
        <v>0</v>
      </c>
      <c r="L306" s="19">
        <f t="shared" si="14"/>
        <v>612.44000000000005</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108129.06999999999</v>
      </c>
      <c r="G310" s="42">
        <f t="shared" si="15"/>
        <v>36689</v>
      </c>
      <c r="H310" s="42">
        <f t="shared" si="15"/>
        <v>50322</v>
      </c>
      <c r="I310" s="42">
        <f t="shared" si="15"/>
        <v>18746.93</v>
      </c>
      <c r="J310" s="42">
        <f t="shared" si="15"/>
        <v>6567.8799999999992</v>
      </c>
      <c r="K310" s="42">
        <f t="shared" si="15"/>
        <v>549.09</v>
      </c>
      <c r="L310" s="41">
        <f t="shared" si="15"/>
        <v>221003.97</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v>1565.77</v>
      </c>
      <c r="I337" s="18">
        <v>807.12</v>
      </c>
      <c r="J337" s="18"/>
      <c r="K337" s="18"/>
      <c r="L337" s="19">
        <f t="shared" si="18"/>
        <v>2372.89</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1565.77</v>
      </c>
      <c r="I338" s="41">
        <f t="shared" si="19"/>
        <v>807.12</v>
      </c>
      <c r="J338" s="41">
        <f t="shared" si="19"/>
        <v>0</v>
      </c>
      <c r="K338" s="41">
        <f t="shared" si="19"/>
        <v>0</v>
      </c>
      <c r="L338" s="41">
        <f t="shared" si="18"/>
        <v>2372.89</v>
      </c>
      <c r="M338" s="8"/>
      <c r="N338" s="265"/>
    </row>
    <row r="339" spans="1:43" s="3" customFormat="1" ht="12.2" customHeight="1" thickTop="1" x14ac:dyDescent="0.15">
      <c r="A339" s="38" t="s">
        <v>468</v>
      </c>
      <c r="B339" s="40">
        <v>14</v>
      </c>
      <c r="C339" s="40">
        <v>7</v>
      </c>
      <c r="D339" s="39" t="s">
        <v>431</v>
      </c>
      <c r="E339" s="40"/>
      <c r="F339" s="41">
        <f t="shared" ref="F339:L339" si="20">F291+F310+F329+F338</f>
        <v>357160.4</v>
      </c>
      <c r="G339" s="41">
        <f t="shared" si="20"/>
        <v>161265.38</v>
      </c>
      <c r="H339" s="41">
        <f t="shared" si="20"/>
        <v>112522.01</v>
      </c>
      <c r="I339" s="41">
        <f t="shared" si="20"/>
        <v>51714.030000000006</v>
      </c>
      <c r="J339" s="41">
        <f t="shared" si="20"/>
        <v>14059.93</v>
      </c>
      <c r="K339" s="41">
        <f t="shared" si="20"/>
        <v>549.09</v>
      </c>
      <c r="L339" s="41">
        <f t="shared" si="20"/>
        <v>697270.84000000008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357160.4</v>
      </c>
      <c r="G353" s="41">
        <f>G339</f>
        <v>161265.38</v>
      </c>
      <c r="H353" s="41">
        <f>H339</f>
        <v>112522.01</v>
      </c>
      <c r="I353" s="41">
        <f>I339</f>
        <v>51714.030000000006</v>
      </c>
      <c r="J353" s="41">
        <f>J339</f>
        <v>14059.93</v>
      </c>
      <c r="K353" s="47">
        <f>K339+K352</f>
        <v>549.09</v>
      </c>
      <c r="L353" s="41">
        <f>L339+L352</f>
        <v>697270.84000000008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87179.7</v>
      </c>
      <c r="G359" s="18">
        <v>37004.92</v>
      </c>
      <c r="H359" s="18">
        <v>37980.67</v>
      </c>
      <c r="I359" s="18">
        <v>136501.38</v>
      </c>
      <c r="J359" s="18">
        <v>0</v>
      </c>
      <c r="K359" s="18">
        <v>34104.589999999997</v>
      </c>
      <c r="L359" s="13">
        <f>SUM(F359:K359)</f>
        <v>332771.26</v>
      </c>
      <c r="M359" s="8"/>
      <c r="N359" s="265"/>
    </row>
    <row r="360" spans="1:22" s="3" customFormat="1" ht="12.2" customHeight="1" x14ac:dyDescent="0.15">
      <c r="A360" s="1" t="s">
        <v>542</v>
      </c>
      <c r="B360" s="2" t="s">
        <v>366</v>
      </c>
      <c r="C360" s="6">
        <v>2</v>
      </c>
      <c r="D360" s="2" t="s">
        <v>431</v>
      </c>
      <c r="E360" s="6"/>
      <c r="F360" s="18">
        <v>120746.68</v>
      </c>
      <c r="G360" s="18">
        <v>57902.81</v>
      </c>
      <c r="H360" s="18">
        <v>36978.03</v>
      </c>
      <c r="I360" s="18">
        <v>181349.05</v>
      </c>
      <c r="J360" s="18">
        <v>9316</v>
      </c>
      <c r="K360" s="18">
        <v>27181.62</v>
      </c>
      <c r="L360" s="19">
        <f>SUM(F360:K360)</f>
        <v>433474.18999999994</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207926.38</v>
      </c>
      <c r="G363" s="47">
        <f t="shared" si="22"/>
        <v>94907.73</v>
      </c>
      <c r="H363" s="47">
        <f t="shared" si="22"/>
        <v>74958.7</v>
      </c>
      <c r="I363" s="47">
        <f t="shared" si="22"/>
        <v>317850.43</v>
      </c>
      <c r="J363" s="47">
        <f t="shared" si="22"/>
        <v>9316</v>
      </c>
      <c r="K363" s="47">
        <f t="shared" si="22"/>
        <v>61286.209999999992</v>
      </c>
      <c r="L363" s="47">
        <f t="shared" si="22"/>
        <v>766245.45</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121896.61</v>
      </c>
      <c r="G368" s="18">
        <v>164436.47</v>
      </c>
      <c r="H368" s="18"/>
      <c r="I368" s="56">
        <f>SUM(F368:H368)</f>
        <v>286333.08</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14604.77</v>
      </c>
      <c r="G369" s="63">
        <v>16912.580000000002</v>
      </c>
      <c r="H369" s="63"/>
      <c r="I369" s="56">
        <f>SUM(F369:H369)</f>
        <v>31517.350000000002</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136501.38</v>
      </c>
      <c r="G370" s="47">
        <f>SUM(G368:G369)</f>
        <v>181349.05</v>
      </c>
      <c r="H370" s="47">
        <f>SUM(H368:H369)</f>
        <v>0</v>
      </c>
      <c r="I370" s="47">
        <f>SUM(I368:I369)</f>
        <v>317850.43</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500000</v>
      </c>
      <c r="H397" s="18">
        <f>849-12278.47</f>
        <v>-11429.47</v>
      </c>
      <c r="I397" s="18"/>
      <c r="J397" s="24" t="s">
        <v>288</v>
      </c>
      <c r="K397" s="24" t="s">
        <v>288</v>
      </c>
      <c r="L397" s="56">
        <f t="shared" si="26"/>
        <v>488570.53</v>
      </c>
      <c r="M397" s="8"/>
      <c r="N397" s="265"/>
    </row>
    <row r="398" spans="1:14" s="3" customFormat="1" ht="12.2" customHeight="1" x14ac:dyDescent="0.15">
      <c r="A398" s="79" t="s">
        <v>515</v>
      </c>
      <c r="B398" s="2" t="s">
        <v>381</v>
      </c>
      <c r="C398" s="6">
        <v>10</v>
      </c>
      <c r="D398" s="2" t="s">
        <v>432</v>
      </c>
      <c r="E398" s="6"/>
      <c r="F398" s="18"/>
      <c r="G398" s="18"/>
      <c r="H398" s="18">
        <f>324.37-4723.29</f>
        <v>-4398.92</v>
      </c>
      <c r="I398" s="18"/>
      <c r="J398" s="24" t="s">
        <v>288</v>
      </c>
      <c r="K398" s="24" t="s">
        <v>288</v>
      </c>
      <c r="L398" s="56">
        <f t="shared" si="26"/>
        <v>-4398.92</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500000</v>
      </c>
      <c r="H402" s="47">
        <f>SUM(H396:H401)</f>
        <v>-15828.39</v>
      </c>
      <c r="I402" s="47">
        <f>SUM(I396:I401)</f>
        <v>0</v>
      </c>
      <c r="J402" s="45" t="s">
        <v>288</v>
      </c>
      <c r="K402" s="45" t="s">
        <v>288</v>
      </c>
      <c r="L402" s="47">
        <f>SUM(L396:L401)</f>
        <v>484171.61000000004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t="s">
        <v>1802</v>
      </c>
      <c r="B404" s="2" t="s">
        <v>381</v>
      </c>
      <c r="C404" s="6">
        <v>15</v>
      </c>
      <c r="D404" s="2" t="s">
        <v>432</v>
      </c>
      <c r="E404" s="6"/>
      <c r="F404" s="18"/>
      <c r="G404" s="18"/>
      <c r="H404" s="18"/>
      <c r="I404" s="18">
        <v>1183.26</v>
      </c>
      <c r="J404" s="24" t="s">
        <v>288</v>
      </c>
      <c r="K404" s="24" t="s">
        <v>288</v>
      </c>
      <c r="L404" s="56">
        <f>SUM(F404:K404)</f>
        <v>1183.26</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1183.26</v>
      </c>
      <c r="J408" s="49" t="s">
        <v>288</v>
      </c>
      <c r="K408" s="49" t="s">
        <v>288</v>
      </c>
      <c r="L408" s="47">
        <f>SUM(L404:L407)</f>
        <v>1183.26</v>
      </c>
      <c r="M408" s="8"/>
      <c r="N408" s="265"/>
    </row>
    <row r="409" spans="1:21" s="3" customFormat="1" ht="12.2" customHeight="1" thickTop="1" x14ac:dyDescent="0.15">
      <c r="A409" s="78" t="s">
        <v>421</v>
      </c>
      <c r="B409" s="2" t="s">
        <v>381</v>
      </c>
      <c r="C409" s="6">
        <v>20</v>
      </c>
      <c r="D409" s="6"/>
      <c r="E409" s="40"/>
      <c r="F409" s="47">
        <f>F394+F402+F408</f>
        <v>0</v>
      </c>
      <c r="G409" s="47">
        <f>G394+G402+G408</f>
        <v>500000</v>
      </c>
      <c r="H409" s="47">
        <f>H394+H402+H408</f>
        <v>-15828.39</v>
      </c>
      <c r="I409" s="47">
        <f>I394+I402+I408</f>
        <v>1183.26</v>
      </c>
      <c r="J409" s="24" t="s">
        <v>288</v>
      </c>
      <c r="K409" s="24" t="s">
        <v>288</v>
      </c>
      <c r="L409" s="47">
        <f>L394+L402+L408</f>
        <v>485354.87000000005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v>38908.03</v>
      </c>
      <c r="I423" s="18"/>
      <c r="J423" s="18"/>
      <c r="K423" s="18"/>
      <c r="L423" s="56">
        <f t="shared" si="29"/>
        <v>38908.03</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38908.03</v>
      </c>
      <c r="I428" s="47">
        <f t="shared" si="30"/>
        <v>0</v>
      </c>
      <c r="J428" s="47">
        <f t="shared" si="30"/>
        <v>0</v>
      </c>
      <c r="K428" s="47">
        <f t="shared" si="30"/>
        <v>0</v>
      </c>
      <c r="L428" s="47">
        <f t="shared" si="30"/>
        <v>38908.03</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t="s">
        <v>1802</v>
      </c>
      <c r="B430" s="6">
        <v>17</v>
      </c>
      <c r="C430" s="6">
        <v>15</v>
      </c>
      <c r="D430" s="2" t="s">
        <v>432</v>
      </c>
      <c r="E430" s="6"/>
      <c r="F430" s="18">
        <v>1200</v>
      </c>
      <c r="G430" s="18">
        <f>71.52+16.72+252.24+3.2</f>
        <v>343.68</v>
      </c>
      <c r="H430" s="18"/>
      <c r="I430" s="18"/>
      <c r="J430" s="18"/>
      <c r="K430" s="18"/>
      <c r="L430" s="56">
        <f>SUM(F430:K430)</f>
        <v>1543.68</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1200</v>
      </c>
      <c r="G434" s="47">
        <f t="shared" si="31"/>
        <v>343.68</v>
      </c>
      <c r="H434" s="47">
        <f t="shared" si="31"/>
        <v>0</v>
      </c>
      <c r="I434" s="47">
        <f t="shared" si="31"/>
        <v>0</v>
      </c>
      <c r="J434" s="47">
        <f t="shared" si="31"/>
        <v>0</v>
      </c>
      <c r="K434" s="47">
        <f t="shared" si="31"/>
        <v>0</v>
      </c>
      <c r="L434" s="47">
        <f t="shared" si="31"/>
        <v>1543.68</v>
      </c>
      <c r="M434" s="8"/>
      <c r="N434" s="265"/>
    </row>
    <row r="435" spans="1:14" s="3" customFormat="1" ht="12.2" customHeight="1" thickTop="1" x14ac:dyDescent="0.15">
      <c r="A435" s="78" t="s">
        <v>422</v>
      </c>
      <c r="B435" s="6">
        <v>17</v>
      </c>
      <c r="C435" s="6">
        <v>20</v>
      </c>
      <c r="D435" s="2" t="s">
        <v>432</v>
      </c>
      <c r="E435" s="40"/>
      <c r="F435" s="47">
        <f t="shared" ref="F435:L435" si="32">F420+F428+F434</f>
        <v>1200</v>
      </c>
      <c r="G435" s="47">
        <f t="shared" si="32"/>
        <v>343.68</v>
      </c>
      <c r="H435" s="47">
        <f t="shared" si="32"/>
        <v>38908.03</v>
      </c>
      <c r="I435" s="47">
        <f t="shared" si="32"/>
        <v>0</v>
      </c>
      <c r="J435" s="47">
        <f t="shared" si="32"/>
        <v>0</v>
      </c>
      <c r="K435" s="47">
        <f t="shared" si="32"/>
        <v>0</v>
      </c>
      <c r="L435" s="47">
        <f t="shared" si="32"/>
        <v>40451.71</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f>69103.68+19329.59</f>
        <v>88433.26999999999</v>
      </c>
      <c r="I440" s="56">
        <f t="shared" ref="I440:I446" si="33">SUM(F440:H440)</f>
        <v>88433.26999999999</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v>1120758.03</v>
      </c>
      <c r="H443" s="18">
        <v>772.02</v>
      </c>
      <c r="I443" s="56">
        <f t="shared" si="33"/>
        <v>1121530.05</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1120758.03</v>
      </c>
      <c r="H447" s="13">
        <f>SUM(H440:H446)</f>
        <v>89205.29</v>
      </c>
      <c r="I447" s="13">
        <f>SUM(I440:I446)</f>
        <v>1209963.32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v>38908.03</v>
      </c>
      <c r="H449" s="18">
        <v>772.02</v>
      </c>
      <c r="I449" s="56">
        <f>SUM(F449:H449)</f>
        <v>39680.049999999996</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f>69103.68+19329.59</f>
        <v>88433.26999999999</v>
      </c>
      <c r="I452" s="56">
        <f>SUM(F452:H452)</f>
        <v>88433.26999999999</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38908.03</v>
      </c>
      <c r="H453" s="72">
        <f>SUM(H449:H452)</f>
        <v>89205.29</v>
      </c>
      <c r="I453" s="72">
        <f>SUM(I449:I452)</f>
        <v>128113.31999999998</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636586.42+445263.58</f>
        <v>1081850</v>
      </c>
      <c r="H460" s="18">
        <v>0</v>
      </c>
      <c r="I460" s="56">
        <f t="shared" si="34"/>
        <v>1081850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1081850</v>
      </c>
      <c r="H461" s="83">
        <f>SUM(H455:H460)</f>
        <v>0</v>
      </c>
      <c r="I461" s="83">
        <f>SUM(I455:I460)</f>
        <v>1081850</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1120758.03</v>
      </c>
      <c r="H462" s="42">
        <f>H453+H461</f>
        <v>89205.29</v>
      </c>
      <c r="I462" s="42">
        <f>I453+I461</f>
        <v>1209963.32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2441888.1599999964</v>
      </c>
      <c r="G466" s="18">
        <v>0</v>
      </c>
      <c r="H466" s="18">
        <v>0</v>
      </c>
      <c r="I466" s="18">
        <v>0</v>
      </c>
      <c r="J466" s="18">
        <v>636946.84</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28939432.84</v>
      </c>
      <c r="G469" s="18">
        <f t="shared" ref="G469:I469" si="35">G194</f>
        <v>932285.52</v>
      </c>
      <c r="H469" s="18">
        <f t="shared" si="35"/>
        <v>697270.84</v>
      </c>
      <c r="I469" s="18">
        <f t="shared" si="35"/>
        <v>0</v>
      </c>
      <c r="J469" s="18">
        <f>J194</f>
        <v>485354.87</v>
      </c>
      <c r="K469" s="24" t="s">
        <v>288</v>
      </c>
      <c r="L469" s="24" t="s">
        <v>288</v>
      </c>
      <c r="N469" s="264"/>
    </row>
    <row r="470" spans="1:14" s="52" customFormat="1" ht="12.2" customHeight="1" x14ac:dyDescent="0.2">
      <c r="A470" s="93" t="s">
        <v>611</v>
      </c>
      <c r="B470" s="75">
        <v>19</v>
      </c>
      <c r="C470" s="80">
        <v>3</v>
      </c>
      <c r="D470" s="2" t="s">
        <v>432</v>
      </c>
      <c r="E470" s="80"/>
      <c r="F470" s="18">
        <v>471.31</v>
      </c>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28939904.149999999</v>
      </c>
      <c r="G471" s="53">
        <f>SUM(G469:G470)</f>
        <v>932285.52</v>
      </c>
      <c r="H471" s="53">
        <f>SUM(H469:H470)</f>
        <v>697270.84</v>
      </c>
      <c r="I471" s="53">
        <f>SUM(I469:I470)</f>
        <v>0</v>
      </c>
      <c r="J471" s="53">
        <f>SUM(J469:J470)</f>
        <v>485354.87</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30136154.350000001</v>
      </c>
      <c r="G473" s="18">
        <f>L363</f>
        <v>766245.45</v>
      </c>
      <c r="H473" s="18">
        <f>L353</f>
        <v>697270.84000000008</v>
      </c>
      <c r="I473" s="18">
        <f>L383</f>
        <v>0</v>
      </c>
      <c r="J473" s="18">
        <f>L435</f>
        <v>40451.71</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30136154.350000001</v>
      </c>
      <c r="G475" s="53">
        <f>SUM(G473:G474)</f>
        <v>766245.45</v>
      </c>
      <c r="H475" s="53">
        <f>SUM(H473:H474)</f>
        <v>697270.84000000008</v>
      </c>
      <c r="I475" s="53">
        <f>SUM(I473:I474)</f>
        <v>0</v>
      </c>
      <c r="J475" s="53">
        <f>SUM(J473:J474)</f>
        <v>40451.71</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1245637.9599999934</v>
      </c>
      <c r="G477" s="53">
        <f>(G466+G471)- G475</f>
        <v>166040.07000000007</v>
      </c>
      <c r="H477" s="53">
        <f>(H466+H471)- H475</f>
        <v>0</v>
      </c>
      <c r="I477" s="53">
        <f>(I466+I471)- I475</f>
        <v>0</v>
      </c>
      <c r="J477" s="53">
        <f>(J466+J471)- J475</f>
        <v>1081850</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1803</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10</v>
      </c>
      <c r="G491" s="154">
        <v>20</v>
      </c>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1804</v>
      </c>
      <c r="G492" s="155" t="s">
        <v>1805</v>
      </c>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1806</v>
      </c>
      <c r="G493" s="155" t="s">
        <v>1807</v>
      </c>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1717000</v>
      </c>
      <c r="G494" s="18">
        <v>3883620</v>
      </c>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1.62</v>
      </c>
      <c r="G495" s="18">
        <v>4.24</v>
      </c>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175000</v>
      </c>
      <c r="G496" s="18">
        <v>1545000</v>
      </c>
      <c r="H496" s="18"/>
      <c r="I496" s="18"/>
      <c r="J496" s="18"/>
      <c r="K496" s="53">
        <f>SUM(F496:J496)</f>
        <v>1720000</v>
      </c>
      <c r="L496" s="24" t="s">
        <v>288</v>
      </c>
      <c r="N496" s="264"/>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6">SUM(F497:J497)</f>
        <v>0</v>
      </c>
      <c r="L497" s="24" t="s">
        <v>288</v>
      </c>
      <c r="N497" s="264"/>
    </row>
    <row r="498" spans="1:14" s="52" customFormat="1" ht="12.2" customHeight="1" x14ac:dyDescent="0.2">
      <c r="A498" s="22" t="s">
        <v>621</v>
      </c>
      <c r="B498" s="75">
        <v>20</v>
      </c>
      <c r="C498" s="115">
        <v>8</v>
      </c>
      <c r="D498" s="2" t="s">
        <v>432</v>
      </c>
      <c r="E498" s="115"/>
      <c r="F498" s="18">
        <v>175000</v>
      </c>
      <c r="G498" s="18">
        <v>195000</v>
      </c>
      <c r="H498" s="18"/>
      <c r="I498" s="18"/>
      <c r="J498" s="18"/>
      <c r="K498" s="53">
        <f t="shared" si="36"/>
        <v>370000</v>
      </c>
      <c r="L498" s="24" t="s">
        <v>288</v>
      </c>
      <c r="N498" s="264"/>
    </row>
    <row r="499" spans="1:14" s="52" customFormat="1" ht="12.2" customHeight="1" x14ac:dyDescent="0.2">
      <c r="A499" s="199" t="s">
        <v>622</v>
      </c>
      <c r="B499" s="200">
        <v>20</v>
      </c>
      <c r="C499" s="201">
        <v>9</v>
      </c>
      <c r="D499" s="202" t="s">
        <v>432</v>
      </c>
      <c r="E499" s="201"/>
      <c r="F499" s="203">
        <v>0</v>
      </c>
      <c r="G499" s="203">
        <f>G496-G498</f>
        <v>1350000</v>
      </c>
      <c r="H499" s="203"/>
      <c r="I499" s="203"/>
      <c r="J499" s="203"/>
      <c r="K499" s="204">
        <f t="shared" si="36"/>
        <v>1350000</v>
      </c>
      <c r="L499" s="205" t="s">
        <v>288</v>
      </c>
      <c r="N499" s="264"/>
    </row>
    <row r="500" spans="1:14" s="52" customFormat="1" ht="12.2" customHeight="1" thickBot="1" x14ac:dyDescent="0.25">
      <c r="A500" s="22" t="s">
        <v>623</v>
      </c>
      <c r="B500" s="75">
        <v>20</v>
      </c>
      <c r="C500" s="115">
        <v>10</v>
      </c>
      <c r="D500" s="2" t="s">
        <v>432</v>
      </c>
      <c r="E500" s="115"/>
      <c r="F500" s="18">
        <v>0</v>
      </c>
      <c r="G500" s="18">
        <f>226119.42-29337.88-25316-26336-22314.13</f>
        <v>122815.41</v>
      </c>
      <c r="H500" s="18"/>
      <c r="I500" s="18"/>
      <c r="J500" s="18"/>
      <c r="K500" s="53">
        <f t="shared" si="36"/>
        <v>122815.41</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1472815.41</v>
      </c>
      <c r="H501" s="42">
        <f>SUM(H499:H500)</f>
        <v>0</v>
      </c>
      <c r="I501" s="42">
        <f>SUM(I499:I500)</f>
        <v>0</v>
      </c>
      <c r="J501" s="42">
        <f>SUM(J499:J500)</f>
        <v>0</v>
      </c>
      <c r="K501" s="42">
        <f t="shared" si="36"/>
        <v>1472815.41</v>
      </c>
      <c r="L501" s="45" t="s">
        <v>288</v>
      </c>
      <c r="N501" s="264"/>
    </row>
    <row r="502" spans="1:14" s="52" customFormat="1" ht="12.2" customHeight="1" x14ac:dyDescent="0.2">
      <c r="A502" s="199" t="s">
        <v>651</v>
      </c>
      <c r="B502" s="200">
        <v>20</v>
      </c>
      <c r="C502" s="201">
        <v>12</v>
      </c>
      <c r="D502" s="202" t="s">
        <v>432</v>
      </c>
      <c r="E502" s="201"/>
      <c r="F502" s="203">
        <v>0</v>
      </c>
      <c r="G502" s="203">
        <v>195000</v>
      </c>
      <c r="H502" s="203"/>
      <c r="I502" s="203"/>
      <c r="J502" s="203"/>
      <c r="K502" s="204">
        <f t="shared" si="36"/>
        <v>195000</v>
      </c>
      <c r="L502" s="205" t="s">
        <v>288</v>
      </c>
      <c r="N502" s="264"/>
    </row>
    <row r="503" spans="1:14" s="52" customFormat="1" ht="12.2" customHeight="1" thickBot="1" x14ac:dyDescent="0.25">
      <c r="A503" s="22" t="s">
        <v>625</v>
      </c>
      <c r="B503" s="75">
        <v>20</v>
      </c>
      <c r="C503" s="115">
        <v>13</v>
      </c>
      <c r="D503" s="2" t="s">
        <v>432</v>
      </c>
      <c r="E503" s="115"/>
      <c r="F503" s="18">
        <v>0</v>
      </c>
      <c r="G503" s="18">
        <f>22314.13+18170.38</f>
        <v>40484.51</v>
      </c>
      <c r="H503" s="18"/>
      <c r="I503" s="18"/>
      <c r="J503" s="18"/>
      <c r="K503" s="53">
        <f t="shared" si="36"/>
        <v>40484.51</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235484.51</v>
      </c>
      <c r="H504" s="42">
        <f>SUM(H502:H503)</f>
        <v>0</v>
      </c>
      <c r="I504" s="42">
        <f>SUM(I502:I503)</f>
        <v>0</v>
      </c>
      <c r="J504" s="42">
        <f>SUM(J502:J503)</f>
        <v>0</v>
      </c>
      <c r="K504" s="42">
        <f t="shared" si="36"/>
        <v>235484.51</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1788440.64</v>
      </c>
      <c r="G522" s="18">
        <v>1117586.27</v>
      </c>
      <c r="H522" s="18">
        <v>192997.03</v>
      </c>
      <c r="I522" s="18">
        <f>13633.14+945.25</f>
        <v>14578.39</v>
      </c>
      <c r="J522" s="18">
        <v>1955.38</v>
      </c>
      <c r="K522" s="18">
        <v>122</v>
      </c>
      <c r="L522" s="88">
        <f>SUM(F522:K522)</f>
        <v>3115679.71</v>
      </c>
      <c r="N522" s="264"/>
    </row>
    <row r="523" spans="1:14" s="52" customFormat="1" ht="12.2" customHeight="1" x14ac:dyDescent="0.2">
      <c r="A523" s="22" t="s">
        <v>634</v>
      </c>
      <c r="B523" s="105">
        <v>21</v>
      </c>
      <c r="C523" s="115">
        <v>2</v>
      </c>
      <c r="D523" s="2" t="s">
        <v>432</v>
      </c>
      <c r="E523" s="115"/>
      <c r="F523" s="18">
        <v>1597982.04</v>
      </c>
      <c r="G523" s="18">
        <v>988831.52</v>
      </c>
      <c r="H523" s="18">
        <f>142049.17+2394.95</f>
        <v>144444.12000000002</v>
      </c>
      <c r="I523" s="18">
        <v>11168.68</v>
      </c>
      <c r="J523" s="18">
        <v>0</v>
      </c>
      <c r="K523" s="18">
        <v>0</v>
      </c>
      <c r="L523" s="88">
        <f>SUM(F523:K523)</f>
        <v>2742426.3600000003</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3386422.6799999997</v>
      </c>
      <c r="G525" s="108">
        <f t="shared" ref="G525:L525" si="37">SUM(G522:G524)</f>
        <v>2106417.79</v>
      </c>
      <c r="H525" s="108">
        <f t="shared" si="37"/>
        <v>337441.15</v>
      </c>
      <c r="I525" s="108">
        <f t="shared" si="37"/>
        <v>25747.07</v>
      </c>
      <c r="J525" s="108">
        <f t="shared" si="37"/>
        <v>1955.38</v>
      </c>
      <c r="K525" s="108">
        <f t="shared" si="37"/>
        <v>122</v>
      </c>
      <c r="L525" s="89">
        <f t="shared" si="37"/>
        <v>5858106.0700000003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983792.08</v>
      </c>
      <c r="G527" s="18">
        <v>557824.05000000005</v>
      </c>
      <c r="H527" s="18">
        <v>72276.25</v>
      </c>
      <c r="I527" s="18">
        <v>5997.1</v>
      </c>
      <c r="J527" s="18">
        <v>0</v>
      </c>
      <c r="K527" s="18">
        <v>0</v>
      </c>
      <c r="L527" s="88">
        <f>SUM(F527:K527)</f>
        <v>1619889.48</v>
      </c>
      <c r="M527" s="8"/>
      <c r="N527" s="265"/>
    </row>
    <row r="528" spans="1:14" s="3" customFormat="1" ht="12.2" customHeight="1" x14ac:dyDescent="0.15">
      <c r="A528" s="22" t="s">
        <v>634</v>
      </c>
      <c r="B528" s="105">
        <v>21</v>
      </c>
      <c r="C528" s="115">
        <v>6</v>
      </c>
      <c r="D528" s="2" t="s">
        <v>432</v>
      </c>
      <c r="E528" s="115"/>
      <c r="F528" s="18">
        <v>466107.66</v>
      </c>
      <c r="G528" s="18">
        <v>288437.39</v>
      </c>
      <c r="H528" s="18">
        <v>172643.67</v>
      </c>
      <c r="I528" s="18">
        <v>3525.21</v>
      </c>
      <c r="J528" s="18">
        <v>0</v>
      </c>
      <c r="K528" s="18">
        <v>0</v>
      </c>
      <c r="L528" s="88">
        <f>SUM(F528:K528)</f>
        <v>930713.93</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1449899.74</v>
      </c>
      <c r="G530" s="89">
        <f t="shared" ref="G530:L530" si="38">SUM(G527:G529)</f>
        <v>846261.44000000006</v>
      </c>
      <c r="H530" s="89">
        <f t="shared" si="38"/>
        <v>244919.92</v>
      </c>
      <c r="I530" s="89">
        <f t="shared" si="38"/>
        <v>9522.3100000000013</v>
      </c>
      <c r="J530" s="89">
        <f t="shared" si="38"/>
        <v>0</v>
      </c>
      <c r="K530" s="89">
        <f t="shared" si="38"/>
        <v>0</v>
      </c>
      <c r="L530" s="89">
        <f t="shared" si="38"/>
        <v>2550603.41</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94375.59</v>
      </c>
      <c r="G532" s="18">
        <v>29052.86</v>
      </c>
      <c r="H532" s="18">
        <v>6676.54</v>
      </c>
      <c r="I532" s="18">
        <v>545.16</v>
      </c>
      <c r="J532" s="18">
        <v>0</v>
      </c>
      <c r="K532" s="18">
        <v>0</v>
      </c>
      <c r="L532" s="88">
        <f>SUM(F532:K532)</f>
        <v>130650.15</v>
      </c>
      <c r="M532" s="8"/>
      <c r="N532" s="265"/>
    </row>
    <row r="533" spans="1:14" s="3" customFormat="1" ht="12.2" customHeight="1" x14ac:dyDescent="0.15">
      <c r="A533" s="22" t="s">
        <v>634</v>
      </c>
      <c r="B533" s="105">
        <v>21</v>
      </c>
      <c r="C533" s="105">
        <v>10</v>
      </c>
      <c r="D533" s="2" t="s">
        <v>432</v>
      </c>
      <c r="E533" s="105"/>
      <c r="F533" s="18">
        <v>76628.850000000006</v>
      </c>
      <c r="G533" s="18">
        <v>45728.78</v>
      </c>
      <c r="H533" s="18">
        <v>14753</v>
      </c>
      <c r="I533" s="18">
        <v>545.16</v>
      </c>
      <c r="J533" s="18">
        <v>0</v>
      </c>
      <c r="K533" s="18">
        <v>0</v>
      </c>
      <c r="L533" s="88">
        <f>SUM(F533:K533)</f>
        <v>137655.79</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171004.44</v>
      </c>
      <c r="G535" s="89">
        <f t="shared" ref="G535:L535" si="39">SUM(G532:G534)</f>
        <v>74781.64</v>
      </c>
      <c r="H535" s="89">
        <f t="shared" si="39"/>
        <v>21429.54</v>
      </c>
      <c r="I535" s="89">
        <f t="shared" si="39"/>
        <v>1090.32</v>
      </c>
      <c r="J535" s="89">
        <f t="shared" si="39"/>
        <v>0</v>
      </c>
      <c r="K535" s="89">
        <f t="shared" si="39"/>
        <v>0</v>
      </c>
      <c r="L535" s="89">
        <f t="shared" si="39"/>
        <v>268305.94</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11844.5</v>
      </c>
      <c r="I537" s="18"/>
      <c r="J537" s="18"/>
      <c r="K537" s="18"/>
      <c r="L537" s="88">
        <f>SUM(F537:K537)</f>
        <v>11844.5</v>
      </c>
      <c r="M537" s="8"/>
      <c r="N537" s="265"/>
    </row>
    <row r="538" spans="1:14" s="3" customFormat="1" ht="12.2" customHeight="1" x14ac:dyDescent="0.15">
      <c r="A538" s="22" t="s">
        <v>634</v>
      </c>
      <c r="B538" s="105">
        <v>21</v>
      </c>
      <c r="C538" s="105">
        <v>14</v>
      </c>
      <c r="D538" s="2" t="s">
        <v>432</v>
      </c>
      <c r="E538" s="105"/>
      <c r="F538" s="18"/>
      <c r="G538" s="18"/>
      <c r="H538" s="18">
        <v>0</v>
      </c>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11844.5</v>
      </c>
      <c r="I540" s="89">
        <f t="shared" si="40"/>
        <v>0</v>
      </c>
      <c r="J540" s="89">
        <f t="shared" si="40"/>
        <v>0</v>
      </c>
      <c r="K540" s="89">
        <f t="shared" si="40"/>
        <v>0</v>
      </c>
      <c r="L540" s="89">
        <f t="shared" si="40"/>
        <v>11844.5</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131714.68</v>
      </c>
      <c r="I542" s="18"/>
      <c r="J542" s="18"/>
      <c r="K542" s="18"/>
      <c r="L542" s="88">
        <f>SUM(F542:K542)</f>
        <v>131714.68</v>
      </c>
      <c r="M542" s="8"/>
      <c r="N542" s="265"/>
    </row>
    <row r="543" spans="1:14" s="3" customFormat="1" ht="12.2" customHeight="1" x14ac:dyDescent="0.15">
      <c r="A543" s="22" t="s">
        <v>634</v>
      </c>
      <c r="B543" s="105">
        <v>21</v>
      </c>
      <c r="C543" s="105">
        <v>18</v>
      </c>
      <c r="D543" s="2" t="s">
        <v>432</v>
      </c>
      <c r="E543" s="105"/>
      <c r="F543" s="18">
        <v>0</v>
      </c>
      <c r="G543" s="18">
        <v>0</v>
      </c>
      <c r="H543" s="18">
        <v>145409.46</v>
      </c>
      <c r="I543" s="18"/>
      <c r="J543" s="18"/>
      <c r="K543" s="18"/>
      <c r="L543" s="88">
        <f>SUM(F543:K543)</f>
        <v>145409.46</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1">SUM(G542:G544)</f>
        <v>0</v>
      </c>
      <c r="H545" s="192">
        <f t="shared" si="41"/>
        <v>277124.14</v>
      </c>
      <c r="I545" s="192">
        <f t="shared" si="41"/>
        <v>0</v>
      </c>
      <c r="J545" s="192">
        <f t="shared" si="41"/>
        <v>0</v>
      </c>
      <c r="K545" s="192">
        <f t="shared" si="41"/>
        <v>0</v>
      </c>
      <c r="L545" s="192">
        <f t="shared" si="41"/>
        <v>277124.14</v>
      </c>
      <c r="M545" s="8"/>
      <c r="N545" s="265"/>
    </row>
    <row r="546" spans="1:14" s="3" customFormat="1" ht="12.2" customHeight="1" thickTop="1" x14ac:dyDescent="0.15">
      <c r="A546" s="98" t="s">
        <v>72</v>
      </c>
      <c r="B546" s="107">
        <v>21</v>
      </c>
      <c r="C546" s="107">
        <v>21</v>
      </c>
      <c r="D546" s="158" t="s">
        <v>432</v>
      </c>
      <c r="E546" s="107"/>
      <c r="F546" s="89">
        <f>F525+F530+F535+F540+F545</f>
        <v>5007326.8600000003</v>
      </c>
      <c r="G546" s="89">
        <f t="shared" ref="G546:L546" si="42">G525+G530+G535+G540+G545</f>
        <v>3027460.87</v>
      </c>
      <c r="H546" s="89">
        <f t="shared" si="42"/>
        <v>892759.25000000012</v>
      </c>
      <c r="I546" s="89">
        <f t="shared" si="42"/>
        <v>36359.700000000004</v>
      </c>
      <c r="J546" s="89">
        <f t="shared" si="42"/>
        <v>1955.38</v>
      </c>
      <c r="K546" s="89">
        <f t="shared" si="42"/>
        <v>122</v>
      </c>
      <c r="L546" s="89">
        <f t="shared" si="42"/>
        <v>8965984.0600000005</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3115679.71</v>
      </c>
      <c r="G550" s="87">
        <f>L527</f>
        <v>1619889.48</v>
      </c>
      <c r="H550" s="87">
        <f>L532</f>
        <v>130650.15</v>
      </c>
      <c r="I550" s="87">
        <f>L537</f>
        <v>11844.5</v>
      </c>
      <c r="J550" s="87">
        <f>L542</f>
        <v>131714.68</v>
      </c>
      <c r="K550" s="87">
        <f>SUM(F550:J550)</f>
        <v>5009778.5199999996</v>
      </c>
      <c r="L550" s="24" t="s">
        <v>288</v>
      </c>
      <c r="M550" s="8"/>
      <c r="N550" s="265"/>
    </row>
    <row r="551" spans="1:14" s="3" customFormat="1" ht="12.2" customHeight="1" x14ac:dyDescent="0.15">
      <c r="A551" s="22" t="s">
        <v>634</v>
      </c>
      <c r="B551" s="75">
        <v>21</v>
      </c>
      <c r="C551" s="75">
        <v>23</v>
      </c>
      <c r="D551" s="2" t="s">
        <v>432</v>
      </c>
      <c r="E551" s="75"/>
      <c r="F551" s="87">
        <f>L523</f>
        <v>2742426.3600000003</v>
      </c>
      <c r="G551" s="87">
        <f>L528</f>
        <v>930713.93</v>
      </c>
      <c r="H551" s="87">
        <f>L533</f>
        <v>137655.79</v>
      </c>
      <c r="I551" s="87">
        <f>L538</f>
        <v>0</v>
      </c>
      <c r="J551" s="87">
        <f>L543</f>
        <v>145409.46</v>
      </c>
      <c r="K551" s="87">
        <f>SUM(F551:J551)</f>
        <v>3956205.5400000005</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3">SUM(F550:F552)</f>
        <v>5858106.0700000003</v>
      </c>
      <c r="G553" s="89">
        <f t="shared" si="43"/>
        <v>2550603.41</v>
      </c>
      <c r="H553" s="89">
        <f t="shared" si="43"/>
        <v>268305.94</v>
      </c>
      <c r="I553" s="89">
        <f t="shared" si="43"/>
        <v>11844.5</v>
      </c>
      <c r="J553" s="89">
        <f t="shared" si="43"/>
        <v>277124.14</v>
      </c>
      <c r="K553" s="89">
        <f t="shared" si="43"/>
        <v>8965984.0600000005</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36750</v>
      </c>
      <c r="G563" s="18">
        <v>23792.31</v>
      </c>
      <c r="H563" s="18">
        <v>353.49</v>
      </c>
      <c r="I563" s="18">
        <v>470.46</v>
      </c>
      <c r="J563" s="18">
        <v>0</v>
      </c>
      <c r="K563" s="18">
        <v>0</v>
      </c>
      <c r="L563" s="88">
        <f>SUM(F563:K563)</f>
        <v>61366.259999999995</v>
      </c>
      <c r="M563" s="8"/>
      <c r="N563" s="265"/>
    </row>
    <row r="564" spans="1:14" s="3" customFormat="1" ht="12.2" customHeight="1" x14ac:dyDescent="0.15">
      <c r="A564" s="22" t="s">
        <v>634</v>
      </c>
      <c r="B564" s="105">
        <v>22</v>
      </c>
      <c r="C564" s="115">
        <v>6</v>
      </c>
      <c r="D564" s="2" t="s">
        <v>432</v>
      </c>
      <c r="E564" s="115"/>
      <c r="F564" s="18">
        <v>36750</v>
      </c>
      <c r="G564" s="18">
        <v>24396.71</v>
      </c>
      <c r="H564" s="18">
        <v>168.68</v>
      </c>
      <c r="I564" s="18">
        <v>483.45</v>
      </c>
      <c r="J564" s="18">
        <v>0</v>
      </c>
      <c r="K564" s="18">
        <v>0</v>
      </c>
      <c r="L564" s="88">
        <f>SUM(F564:K564)</f>
        <v>61798.84</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K566" si="45">SUM(F563:F565)</f>
        <v>73500</v>
      </c>
      <c r="G566" s="89">
        <f t="shared" si="45"/>
        <v>48189.020000000004</v>
      </c>
      <c r="H566" s="89">
        <f t="shared" si="45"/>
        <v>522.17000000000007</v>
      </c>
      <c r="I566" s="89">
        <f t="shared" si="45"/>
        <v>953.91</v>
      </c>
      <c r="J566" s="89">
        <f t="shared" si="45"/>
        <v>0</v>
      </c>
      <c r="K566" s="89">
        <f t="shared" si="45"/>
        <v>0</v>
      </c>
      <c r="L566" s="89">
        <f t="shared" ref="L566" si="46">SUM(L563:L565)</f>
        <v>123165.09999999999</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 t="shared" ref="F571:K571" si="47">SUM(F568:F570)</f>
        <v>0</v>
      </c>
      <c r="G571" s="192">
        <f t="shared" si="47"/>
        <v>0</v>
      </c>
      <c r="H571" s="192">
        <f t="shared" si="47"/>
        <v>0</v>
      </c>
      <c r="I571" s="192">
        <f t="shared" si="47"/>
        <v>0</v>
      </c>
      <c r="J571" s="192">
        <f t="shared" si="47"/>
        <v>0</v>
      </c>
      <c r="K571" s="192">
        <f t="shared" si="47"/>
        <v>0</v>
      </c>
      <c r="L571" s="192">
        <f t="shared" ref="L571" si="48">SUM(L568:L570)</f>
        <v>0</v>
      </c>
      <c r="M571" s="8"/>
      <c r="N571" s="265"/>
    </row>
    <row r="572" spans="1:14" s="3" customFormat="1" ht="12.2" customHeight="1" thickTop="1" x14ac:dyDescent="0.15">
      <c r="A572" s="98" t="s">
        <v>88</v>
      </c>
      <c r="B572" s="107">
        <v>22</v>
      </c>
      <c r="C572" s="107">
        <v>13</v>
      </c>
      <c r="D572" s="158" t="s">
        <v>432</v>
      </c>
      <c r="E572" s="107"/>
      <c r="F572" s="89">
        <f>F561+F566+F571</f>
        <v>73500</v>
      </c>
      <c r="G572" s="89">
        <f t="shared" ref="G572:L572" si="49">G561+G566+G571</f>
        <v>48189.020000000004</v>
      </c>
      <c r="H572" s="89">
        <f t="shared" si="49"/>
        <v>522.17000000000007</v>
      </c>
      <c r="I572" s="89">
        <f t="shared" si="49"/>
        <v>953.91</v>
      </c>
      <c r="J572" s="89">
        <f t="shared" si="49"/>
        <v>0</v>
      </c>
      <c r="K572" s="89">
        <f t="shared" si="49"/>
        <v>0</v>
      </c>
      <c r="L572" s="89">
        <f t="shared" si="49"/>
        <v>123165.09999999999</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50">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50"/>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50"/>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0</v>
      </c>
      <c r="G580" s="18">
        <v>0</v>
      </c>
      <c r="H580" s="18"/>
      <c r="I580" s="87">
        <f t="shared" si="50"/>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50"/>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50"/>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184527.5</v>
      </c>
      <c r="G583" s="18">
        <v>88507.5</v>
      </c>
      <c r="H583" s="18"/>
      <c r="I583" s="87">
        <f t="shared" si="50"/>
        <v>273035</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50"/>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50"/>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50"/>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50"/>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50"/>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404411.91+609.29</f>
        <v>405021.19999999995</v>
      </c>
      <c r="I592" s="18">
        <f>238765.62+609.28</f>
        <v>239374.9</v>
      </c>
      <c r="J592" s="18"/>
      <c r="K592" s="104">
        <f t="shared" ref="K592:K598" si="51">SUM(H592:J592)</f>
        <v>644396.1</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131714.68</v>
      </c>
      <c r="I593" s="18">
        <f>138300.36+7109.1</f>
        <v>145409.46</v>
      </c>
      <c r="J593" s="18"/>
      <c r="K593" s="104">
        <f t="shared" si="51"/>
        <v>277124.14</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51"/>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17370.29</v>
      </c>
      <c r="J595" s="18"/>
      <c r="K595" s="104">
        <f t="shared" si="51"/>
        <v>17370.29</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843.37</v>
      </c>
      <c r="I596" s="18"/>
      <c r="J596" s="18"/>
      <c r="K596" s="104">
        <f t="shared" si="51"/>
        <v>843.37</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51"/>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1"/>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537579.24999999988</v>
      </c>
      <c r="I599" s="108">
        <f>SUM(I592:I598)</f>
        <v>402154.64999999997</v>
      </c>
      <c r="J599" s="108">
        <f>SUM(J592:J598)</f>
        <v>0</v>
      </c>
      <c r="K599" s="108">
        <f>SUM(K592:K598)</f>
        <v>939733.9</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64060.31</v>
      </c>
      <c r="I605" s="18">
        <v>101291.6</v>
      </c>
      <c r="J605" s="18"/>
      <c r="K605" s="104">
        <f>SUM(H605:J605)</f>
        <v>165351.91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64060.31</v>
      </c>
      <c r="I606" s="108">
        <f>SUM(I603:I605)</f>
        <v>101291.6</v>
      </c>
      <c r="J606" s="108">
        <f>SUM(J603:J605)</f>
        <v>0</v>
      </c>
      <c r="K606" s="108">
        <f>SUM(K603:K605)</f>
        <v>165351.91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25687.89</v>
      </c>
      <c r="G612" s="18">
        <v>7097.26</v>
      </c>
      <c r="H612" s="18">
        <v>0</v>
      </c>
      <c r="I612" s="18">
        <v>1967.96</v>
      </c>
      <c r="J612" s="18">
        <v>0</v>
      </c>
      <c r="K612" s="18">
        <v>0</v>
      </c>
      <c r="L612" s="88">
        <f>SUM(F612:K612)</f>
        <v>34753.11</v>
      </c>
      <c r="M612" s="8"/>
      <c r="N612" s="265"/>
    </row>
    <row r="613" spans="1:14" s="3" customFormat="1" ht="12.2" customHeight="1" x14ac:dyDescent="0.15">
      <c r="A613" s="22" t="s">
        <v>634</v>
      </c>
      <c r="B613" s="75">
        <v>23</v>
      </c>
      <c r="C613" s="75">
        <v>14</v>
      </c>
      <c r="D613" s="2" t="s">
        <v>432</v>
      </c>
      <c r="E613" s="75"/>
      <c r="F613" s="18">
        <v>35630.03</v>
      </c>
      <c r="G613" s="18">
        <v>9508.7900000000009</v>
      </c>
      <c r="H613" s="18">
        <v>0</v>
      </c>
      <c r="I613" s="18">
        <v>272.33</v>
      </c>
      <c r="J613" s="18">
        <v>0</v>
      </c>
      <c r="K613" s="18">
        <v>0</v>
      </c>
      <c r="L613" s="88">
        <f>SUM(F613:K613)</f>
        <v>45411.15</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52">SUM(F612:F614)</f>
        <v>61317.919999999998</v>
      </c>
      <c r="G615" s="108">
        <f t="shared" si="52"/>
        <v>16606.050000000003</v>
      </c>
      <c r="H615" s="108">
        <f t="shared" si="52"/>
        <v>0</v>
      </c>
      <c r="I615" s="108">
        <f t="shared" si="52"/>
        <v>2240.29</v>
      </c>
      <c r="J615" s="108">
        <f t="shared" si="52"/>
        <v>0</v>
      </c>
      <c r="K615" s="108">
        <f t="shared" si="52"/>
        <v>0</v>
      </c>
      <c r="L615" s="89">
        <f t="shared" si="52"/>
        <v>80164.260000000009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1703074.7100000002</v>
      </c>
      <c r="H618" s="109">
        <f>SUM(F52)</f>
        <v>1703074.71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247525.90000000002</v>
      </c>
      <c r="H619" s="109">
        <f>SUM(G52)</f>
        <v>247525.90000000002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300943.75</v>
      </c>
      <c r="H620" s="109">
        <f>SUM(H52)</f>
        <v>300943.75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1209963.32</v>
      </c>
      <c r="H622" s="109">
        <f>SUM(J52)</f>
        <v>1209963.32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1245637.96</v>
      </c>
      <c r="H623" s="109">
        <f>F477</f>
        <v>1245637.9599999934</v>
      </c>
      <c r="I623" s="121" t="s">
        <v>101</v>
      </c>
      <c r="J623" s="109">
        <f t="shared" ref="J623:J656" si="53">G623-H623</f>
        <v>6.5192580223083496E-9</v>
      </c>
      <c r="K623" s="109"/>
      <c r="L623" s="109"/>
      <c r="M623" s="8"/>
    </row>
    <row r="624" spans="1:14" s="3" customFormat="1" ht="12.2" customHeight="1" x14ac:dyDescent="0.15">
      <c r="A624" s="97"/>
      <c r="B624" s="105"/>
      <c r="C624" s="119"/>
      <c r="D624" s="119"/>
      <c r="E624" s="119"/>
      <c r="F624" s="119" t="s">
        <v>866</v>
      </c>
      <c r="G624" s="109">
        <f>G51</f>
        <v>166040.07</v>
      </c>
      <c r="H624" s="109">
        <f>G477</f>
        <v>166040.07000000007</v>
      </c>
      <c r="I624" s="121" t="s">
        <v>102</v>
      </c>
      <c r="J624" s="109">
        <f t="shared" si="53"/>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3"/>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3"/>
        <v>0</v>
      </c>
      <c r="K626" s="109"/>
      <c r="L626" s="109"/>
      <c r="M626" s="8"/>
    </row>
    <row r="627" spans="1:13" s="3" customFormat="1" ht="12.2" customHeight="1" x14ac:dyDescent="0.15">
      <c r="A627" s="22"/>
      <c r="B627" s="105"/>
      <c r="C627" s="105"/>
      <c r="D627" s="105"/>
      <c r="E627" s="105"/>
      <c r="F627" s="120" t="s">
        <v>869</v>
      </c>
      <c r="G627" s="109">
        <f>J51</f>
        <v>1081850</v>
      </c>
      <c r="H627" s="109">
        <f>J477</f>
        <v>1081850</v>
      </c>
      <c r="I627" s="140" t="s">
        <v>105</v>
      </c>
      <c r="J627" s="109">
        <f t="shared" si="53"/>
        <v>0</v>
      </c>
      <c r="K627" s="85"/>
      <c r="L627" s="88"/>
      <c r="M627" s="8"/>
    </row>
    <row r="628" spans="1:13" s="3" customFormat="1" ht="12.2" customHeight="1" x14ac:dyDescent="0.15">
      <c r="A628" s="22"/>
      <c r="B628" s="105"/>
      <c r="C628" s="105"/>
      <c r="D628" s="105"/>
      <c r="E628" s="105"/>
      <c r="F628" s="120" t="s">
        <v>658</v>
      </c>
      <c r="G628" s="109">
        <f>F194</f>
        <v>28939432.84</v>
      </c>
      <c r="H628" s="104">
        <f>SUM(F469)</f>
        <v>28939432.84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932285.52</v>
      </c>
      <c r="H629" s="104">
        <f>SUM(G469)</f>
        <v>932285.52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697270.84</v>
      </c>
      <c r="H630" s="104">
        <f>SUM(H469)</f>
        <v>697270.84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485354.87</v>
      </c>
      <c r="H632" s="104">
        <f>SUM(J469)</f>
        <v>485354.87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30136154.350000001</v>
      </c>
      <c r="H633" s="104">
        <f>SUM(F473)</f>
        <v>30136154.350000001</v>
      </c>
      <c r="I633" s="140" t="s">
        <v>111</v>
      </c>
      <c r="J633" s="109">
        <f t="shared" si="53"/>
        <v>0</v>
      </c>
      <c r="K633" s="85"/>
      <c r="L633" s="88"/>
      <c r="M633" s="8"/>
    </row>
    <row r="634" spans="1:13" s="3" customFormat="1" ht="12.2" customHeight="1" x14ac:dyDescent="0.15">
      <c r="A634" s="22"/>
      <c r="B634" s="105"/>
      <c r="C634" s="105"/>
      <c r="D634" s="105"/>
      <c r="E634" s="105"/>
      <c r="F634" s="120" t="s">
        <v>395</v>
      </c>
      <c r="G634" s="109">
        <f>SUM(L353)</f>
        <v>697270.84000000008</v>
      </c>
      <c r="H634" s="104">
        <f>SUM(H473)</f>
        <v>697270.84000000008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317850.43</v>
      </c>
      <c r="H635" s="104">
        <f>I370</f>
        <v>317850.43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766245.45</v>
      </c>
      <c r="H636" s="104">
        <f>SUM(G473)</f>
        <v>766245.45</v>
      </c>
      <c r="I636" s="140" t="s">
        <v>114</v>
      </c>
      <c r="J636" s="109">
        <f t="shared" si="53"/>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3"/>
        <v>0</v>
      </c>
      <c r="K637" s="85"/>
      <c r="L637" s="88"/>
      <c r="M637" s="8"/>
    </row>
    <row r="638" spans="1:13" s="3" customFormat="1" ht="12.2" customHeight="1" x14ac:dyDescent="0.15">
      <c r="A638" s="161"/>
      <c r="B638" s="162"/>
      <c r="C638" s="162"/>
      <c r="D638" s="162"/>
      <c r="E638" s="162"/>
      <c r="F638" s="163" t="s">
        <v>477</v>
      </c>
      <c r="G638" s="151">
        <f>SUM(L409)</f>
        <v>485354.87000000005</v>
      </c>
      <c r="H638" s="164">
        <f>SUM(J469)</f>
        <v>485354.87</v>
      </c>
      <c r="I638" s="165" t="s">
        <v>110</v>
      </c>
      <c r="J638" s="151">
        <f t="shared" si="53"/>
        <v>0</v>
      </c>
      <c r="K638" s="166"/>
      <c r="L638" s="167"/>
      <c r="M638" s="8"/>
    </row>
    <row r="639" spans="1:13" s="3" customFormat="1" ht="12.2" customHeight="1" x14ac:dyDescent="0.15">
      <c r="A639" s="161"/>
      <c r="B639" s="162"/>
      <c r="C639" s="162"/>
      <c r="D639" s="162"/>
      <c r="E639" s="162"/>
      <c r="F639" s="163" t="s">
        <v>478</v>
      </c>
      <c r="G639" s="151">
        <f>SUM(L435)</f>
        <v>40451.71</v>
      </c>
      <c r="H639" s="164">
        <f>SUM(J473)</f>
        <v>40451.71</v>
      </c>
      <c r="I639" s="165" t="s">
        <v>117</v>
      </c>
      <c r="J639" s="151">
        <f t="shared" si="53"/>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3"/>
        <v>0</v>
      </c>
      <c r="K640" s="85"/>
      <c r="L640" s="88"/>
      <c r="M640" s="8"/>
    </row>
    <row r="641" spans="1:13" s="3" customFormat="1" ht="12.2" customHeight="1" x14ac:dyDescent="0.15">
      <c r="A641" s="22"/>
      <c r="B641" s="105"/>
      <c r="C641" s="105"/>
      <c r="D641" s="105"/>
      <c r="E641" s="105"/>
      <c r="F641" s="120" t="s">
        <v>119</v>
      </c>
      <c r="G641" s="109">
        <f>SUM(G447)</f>
        <v>1120758.03</v>
      </c>
      <c r="H641" s="104">
        <f>SUM(G462)</f>
        <v>1120758.03</v>
      </c>
      <c r="I641" s="140" t="s">
        <v>842</v>
      </c>
      <c r="J641" s="109">
        <f t="shared" si="53"/>
        <v>0</v>
      </c>
      <c r="K641" s="85"/>
      <c r="L641" s="88"/>
      <c r="M641" s="8"/>
    </row>
    <row r="642" spans="1:13" s="3" customFormat="1" ht="12.2" customHeight="1" x14ac:dyDescent="0.15">
      <c r="A642" s="22"/>
      <c r="B642" s="105"/>
      <c r="C642" s="105"/>
      <c r="D642" s="105"/>
      <c r="E642" s="105"/>
      <c r="F642" s="120" t="s">
        <v>120</v>
      </c>
      <c r="G642" s="109">
        <f>SUM(H447)</f>
        <v>89205.29</v>
      </c>
      <c r="H642" s="104">
        <f>SUM(H462)</f>
        <v>89205.29</v>
      </c>
      <c r="I642" s="140" t="s">
        <v>843</v>
      </c>
      <c r="J642" s="109">
        <f t="shared" si="53"/>
        <v>0</v>
      </c>
      <c r="K642" s="85"/>
      <c r="L642" s="88"/>
      <c r="M642" s="8"/>
    </row>
    <row r="643" spans="1:13" s="3" customFormat="1" ht="12.2" customHeight="1" x14ac:dyDescent="0.15">
      <c r="A643" s="22"/>
      <c r="B643" s="105"/>
      <c r="C643" s="105"/>
      <c r="D643" s="105"/>
      <c r="E643" s="105"/>
      <c r="F643" s="120" t="s">
        <v>121</v>
      </c>
      <c r="G643" s="109">
        <f>SUM(I447)</f>
        <v>1209963.32</v>
      </c>
      <c r="H643" s="104">
        <f>SUM(I462)</f>
        <v>1209963.32</v>
      </c>
      <c r="I643" s="140" t="s">
        <v>844</v>
      </c>
      <c r="J643" s="109">
        <f t="shared" si="53"/>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3"/>
        <v>0</v>
      </c>
      <c r="K644" s="85"/>
      <c r="L644" s="88"/>
      <c r="M644" s="8"/>
    </row>
    <row r="645" spans="1:13" s="3" customFormat="1" ht="12.2" customHeight="1" x14ac:dyDescent="0.15">
      <c r="A645" s="22"/>
      <c r="B645" s="105"/>
      <c r="C645" s="105"/>
      <c r="D645" s="105"/>
      <c r="E645" s="105"/>
      <c r="F645" s="120" t="s">
        <v>663</v>
      </c>
      <c r="G645" s="109">
        <f>J96</f>
        <v>-15828.39</v>
      </c>
      <c r="H645" s="104">
        <f>H409</f>
        <v>-15828.39</v>
      </c>
      <c r="I645" s="140" t="s">
        <v>480</v>
      </c>
      <c r="J645" s="109">
        <f t="shared" si="53"/>
        <v>0</v>
      </c>
      <c r="K645" s="85"/>
      <c r="L645" s="88"/>
      <c r="M645" s="8"/>
    </row>
    <row r="646" spans="1:13" s="3" customFormat="1" ht="12.2" customHeight="1" x14ac:dyDescent="0.15">
      <c r="A646" s="22"/>
      <c r="B646" s="105"/>
      <c r="C646" s="105"/>
      <c r="D646" s="105"/>
      <c r="E646" s="105"/>
      <c r="F646" s="120" t="s">
        <v>664</v>
      </c>
      <c r="G646" s="109">
        <f>J184</f>
        <v>500000</v>
      </c>
      <c r="H646" s="104">
        <f>G409</f>
        <v>500000</v>
      </c>
      <c r="I646" s="140" t="s">
        <v>481</v>
      </c>
      <c r="J646" s="109">
        <f t="shared" si="53"/>
        <v>0</v>
      </c>
      <c r="K646" s="85"/>
      <c r="L646" s="88"/>
      <c r="M646" s="8"/>
    </row>
    <row r="647" spans="1:13" s="3" customFormat="1" ht="12.2" customHeight="1" x14ac:dyDescent="0.15">
      <c r="A647" s="22"/>
      <c r="B647" s="105"/>
      <c r="C647" s="105"/>
      <c r="D647" s="105"/>
      <c r="E647" s="105"/>
      <c r="F647" s="120" t="s">
        <v>662</v>
      </c>
      <c r="G647" s="109">
        <f>J194</f>
        <v>485354.87</v>
      </c>
      <c r="H647" s="104">
        <f>L409</f>
        <v>485354.87000000005</v>
      </c>
      <c r="I647" s="140" t="s">
        <v>477</v>
      </c>
      <c r="J647" s="109">
        <f t="shared" si="53"/>
        <v>0</v>
      </c>
      <c r="K647" s="85"/>
      <c r="L647" s="88"/>
      <c r="M647" s="8"/>
    </row>
    <row r="648" spans="1:13" s="3" customFormat="1" ht="12.2" customHeight="1" x14ac:dyDescent="0.15">
      <c r="A648" s="22"/>
      <c r="B648" s="105"/>
      <c r="C648" s="105"/>
      <c r="D648" s="105"/>
      <c r="E648" s="105"/>
      <c r="F648" s="120" t="s">
        <v>51</v>
      </c>
      <c r="G648" s="109">
        <f>K599</f>
        <v>939733.9</v>
      </c>
      <c r="H648" s="104">
        <f>L209+L227+L245</f>
        <v>939733.9</v>
      </c>
      <c r="I648" s="140" t="s">
        <v>396</v>
      </c>
      <c r="J648" s="109">
        <f t="shared" si="53"/>
        <v>0</v>
      </c>
      <c r="K648" s="85"/>
      <c r="L648" s="88"/>
      <c r="M648" s="8"/>
    </row>
    <row r="649" spans="1:13" s="3" customFormat="1" ht="12.2" customHeight="1" x14ac:dyDescent="0.15">
      <c r="A649" s="22"/>
      <c r="B649" s="105"/>
      <c r="C649" s="105"/>
      <c r="D649" s="105"/>
      <c r="E649" s="105"/>
      <c r="F649" s="120" t="s">
        <v>52</v>
      </c>
      <c r="G649" s="109">
        <f>K606</f>
        <v>165351.91</v>
      </c>
      <c r="H649" s="104">
        <f>(J258+J339)-(J256+J337)</f>
        <v>165351.91</v>
      </c>
      <c r="I649" s="140" t="s">
        <v>699</v>
      </c>
      <c r="J649" s="109">
        <f t="shared" si="53"/>
        <v>0</v>
      </c>
      <c r="K649" s="85"/>
      <c r="L649" s="88"/>
      <c r="M649" s="8"/>
    </row>
    <row r="650" spans="1:13" s="3" customFormat="1" ht="12.2" customHeight="1" x14ac:dyDescent="0.15">
      <c r="A650" s="22"/>
      <c r="B650" s="105"/>
      <c r="C650" s="105"/>
      <c r="D650" s="105"/>
      <c r="E650" s="105"/>
      <c r="F650" s="120" t="s">
        <v>387</v>
      </c>
      <c r="G650" s="109">
        <f>L209</f>
        <v>537579.25</v>
      </c>
      <c r="H650" s="104">
        <f>H599</f>
        <v>537579.24999999988</v>
      </c>
      <c r="I650" s="140" t="s">
        <v>388</v>
      </c>
      <c r="J650" s="109">
        <f t="shared" si="53"/>
        <v>0</v>
      </c>
      <c r="K650" s="85"/>
      <c r="L650" s="88"/>
      <c r="M650" s="8"/>
    </row>
    <row r="651" spans="1:13" s="3" customFormat="1" ht="12.2" customHeight="1" x14ac:dyDescent="0.15">
      <c r="A651" s="22"/>
      <c r="B651" s="105"/>
      <c r="C651" s="105"/>
      <c r="D651" s="105"/>
      <c r="E651" s="105"/>
      <c r="F651" s="120" t="s">
        <v>392</v>
      </c>
      <c r="G651" s="109">
        <f>L227</f>
        <v>402154.65</v>
      </c>
      <c r="H651" s="104">
        <f>I599</f>
        <v>402154.64999999997</v>
      </c>
      <c r="I651" s="140" t="s">
        <v>389</v>
      </c>
      <c r="J651" s="109">
        <f t="shared" si="53"/>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3"/>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3"/>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3"/>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3"/>
        <v>0</v>
      </c>
      <c r="K655" s="85"/>
      <c r="L655" s="88"/>
      <c r="M655" s="8"/>
    </row>
    <row r="656" spans="1:13" s="3" customFormat="1" ht="12.2" customHeight="1" x14ac:dyDescent="0.15">
      <c r="A656" s="22"/>
      <c r="B656" s="105"/>
      <c r="C656" s="105"/>
      <c r="D656" s="105"/>
      <c r="E656" s="105"/>
      <c r="F656" s="120" t="s">
        <v>668</v>
      </c>
      <c r="G656" s="109">
        <f>J180+J182</f>
        <v>500000</v>
      </c>
      <c r="H656" s="104">
        <f>K267+K348</f>
        <v>500000</v>
      </c>
      <c r="I656" s="140" t="s">
        <v>400</v>
      </c>
      <c r="J656" s="109">
        <f t="shared" si="53"/>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15455093.730000002</v>
      </c>
      <c r="G661" s="19">
        <f>(L230+L310+L360)</f>
        <v>15195928.890000001</v>
      </c>
      <c r="H661" s="19">
        <f>(L248+L329+L361)</f>
        <v>0</v>
      </c>
      <c r="I661" s="19">
        <f>SUM(F661:H661)</f>
        <v>30651022.620000005</v>
      </c>
      <c r="J661" s="13"/>
      <c r="K661" s="13"/>
      <c r="L661" s="13"/>
      <c r="M661" s="9"/>
    </row>
    <row r="662" spans="1:13" s="3" customFormat="1" ht="12.2" customHeight="1" x14ac:dyDescent="0.2">
      <c r="A662" s="1" t="s">
        <v>127</v>
      </c>
      <c r="F662" s="19">
        <f>(L359/IF(SUM(L359:L361)=0,1,SUM(L359:L361))*(SUM(G97:G110)))</f>
        <v>57548.233484311851</v>
      </c>
      <c r="G662" s="19">
        <f>(L360/IF(SUM(L359:L361)=0,1,SUM(L359:L361))*(SUM(G97:G110)))</f>
        <v>74963.426515688145</v>
      </c>
      <c r="H662" s="19">
        <f>(L361/IF(SUM(L359:L361)=0,1,SUM(L359:L361))*(SUM(G97:G110)))</f>
        <v>0</v>
      </c>
      <c r="I662" s="19">
        <f>SUM(F662:H662)</f>
        <v>132511.66</v>
      </c>
      <c r="J662"/>
      <c r="K662" s="13"/>
      <c r="L662" s="13"/>
      <c r="M662" s="8"/>
    </row>
    <row r="663" spans="1:13" s="3" customFormat="1" ht="12.2" customHeight="1" x14ac:dyDescent="0.2">
      <c r="A663" s="1" t="s">
        <v>128</v>
      </c>
      <c r="F663" s="19">
        <f>(L209+L288)-(J209+J288)</f>
        <v>537579.25</v>
      </c>
      <c r="G663" s="19">
        <f>(L227+L307)-(J227+J307)</f>
        <v>402154.65</v>
      </c>
      <c r="H663" s="19">
        <f>(L245+L326)-(J245+J326)</f>
        <v>0</v>
      </c>
      <c r="I663" s="19">
        <f>SUM(F663:H663)</f>
        <v>939733.9</v>
      </c>
      <c r="J663"/>
      <c r="K663" s="13"/>
      <c r="L663" s="13"/>
      <c r="M663" s="9"/>
    </row>
    <row r="664" spans="1:13" s="3" customFormat="1" ht="12.2" customHeight="1" x14ac:dyDescent="0.15">
      <c r="A664" s="197" t="s">
        <v>129</v>
      </c>
      <c r="B664" s="169"/>
      <c r="C664" s="169"/>
      <c r="D664" s="169"/>
      <c r="E664" s="169"/>
      <c r="F664" s="198">
        <f>SUM(F576:F588)+SUM(H603:H605)+SUM(L612)</f>
        <v>283340.92</v>
      </c>
      <c r="G664" s="198">
        <f>SUM(G576:G588)+SUM(I603:I605)+L613</f>
        <v>235210.25</v>
      </c>
      <c r="H664" s="198">
        <f>SUM(H576:H588)+SUM(J603:J605)+L614</f>
        <v>0</v>
      </c>
      <c r="I664" s="19">
        <f>SUM(F664:H664)</f>
        <v>518551.17</v>
      </c>
      <c r="J664" s="13"/>
      <c r="K664" s="13"/>
      <c r="L664" s="13"/>
      <c r="M664" s="9"/>
    </row>
    <row r="665" spans="1:13" s="3" customFormat="1" ht="12.2" customHeight="1" x14ac:dyDescent="0.15">
      <c r="A665" s="1" t="s">
        <v>130</v>
      </c>
      <c r="F665" s="19">
        <f>F661-SUM(F662:F664)</f>
        <v>14576625.326515689</v>
      </c>
      <c r="G665" s="19">
        <f>G661-SUM(G662:G664)</f>
        <v>14483600.563484313</v>
      </c>
      <c r="H665" s="19">
        <f>H661-SUM(H662:H664)</f>
        <v>0</v>
      </c>
      <c r="I665" s="19">
        <f>I661-SUM(I662:I664)</f>
        <v>29060225.890000004</v>
      </c>
      <c r="J665" s="13"/>
      <c r="K665" s="13"/>
      <c r="L665" s="13"/>
      <c r="M665" s="8"/>
    </row>
    <row r="666" spans="1:13" s="3" customFormat="1" ht="12.2" customHeight="1" x14ac:dyDescent="0.2">
      <c r="A666" s="1" t="s">
        <v>131</v>
      </c>
      <c r="F666" s="245">
        <v>656.45</v>
      </c>
      <c r="G666" s="246">
        <v>647.08000000000004</v>
      </c>
      <c r="H666" s="246"/>
      <c r="I666" s="19">
        <f>SUM(F666:H666)</f>
        <v>1303.5300000000002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22205.23</v>
      </c>
      <c r="G668" s="19">
        <f>ROUND(G665/G666,2)</f>
        <v>22383.01</v>
      </c>
      <c r="H668" s="19" t="e">
        <f>ROUND(H665/H666,2)</f>
        <v>#DIV/0!</v>
      </c>
      <c r="I668" s="19">
        <f>ROUND(I665/I666,2)</f>
        <v>22293.48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22205.23</v>
      </c>
      <c r="G673" s="19">
        <f>ROUND((G665+G670)/(G666+G671),2)</f>
        <v>22383.01</v>
      </c>
      <c r="H673" s="19" t="e">
        <f>ROUND((H665+H670)/(H666+H671),2)</f>
        <v>#DIV/0!</v>
      </c>
      <c r="I673" s="19">
        <f>ROUND((I665+I670)/(I666+I671),2)</f>
        <v>22293.48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C1" zoomScaleNormal="100" workbookViewId="0">
      <selection activeCell="E10" sqref="E10"/>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44493.45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20725.05+7900</f>
        <v>28625.05</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15868.4</v>
      </c>
      <c r="F13" s="349" t="s">
        <v>1646</v>
      </c>
    </row>
    <row r="14" spans="2:8" x14ac:dyDescent="0.25">
      <c r="B14" s="348"/>
      <c r="C14" s="348"/>
      <c r="D14" s="349"/>
      <c r="E14" s="348"/>
      <c r="F14" s="348"/>
    </row>
    <row r="15" spans="2:8" x14ac:dyDescent="0.25">
      <c r="B15" s="348"/>
      <c r="C15" s="349" t="s">
        <v>1640</v>
      </c>
      <c r="D15" s="349" t="s">
        <v>1653</v>
      </c>
      <c r="E15" s="372"/>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5" t="str">
        <f>'DOE25'!A2</f>
        <v>Amherst</v>
      </c>
      <c r="C5" s="376"/>
      <c r="D5" s="376"/>
      <c r="E5" s="376"/>
      <c r="F5" s="376"/>
    </row>
    <row r="8" spans="1:9" ht="18" x14ac:dyDescent="0.25">
      <c r="A8" s="312" t="s">
        <v>1568</v>
      </c>
      <c r="F8" s="319" t="s">
        <v>1586</v>
      </c>
    </row>
    <row r="9" spans="1:9" ht="15" x14ac:dyDescent="0.2">
      <c r="A9" s="310" t="s">
        <v>1569</v>
      </c>
      <c r="B9" s="313">
        <f>'DOE25'!G97</f>
        <v>130342.41</v>
      </c>
      <c r="F9" s="310" t="s">
        <v>1582</v>
      </c>
    </row>
    <row r="10" spans="1:9" ht="15" x14ac:dyDescent="0.2">
      <c r="A10" s="310" t="s">
        <v>1570</v>
      </c>
      <c r="B10" s="313">
        <f>'DOE25'!G112-'DOE25'!G97</f>
        <v>2169.25</v>
      </c>
      <c r="F10" s="310" t="s">
        <v>1583</v>
      </c>
    </row>
    <row r="11" spans="1:9" ht="15" x14ac:dyDescent="0.2">
      <c r="A11" s="310" t="s">
        <v>1571</v>
      </c>
      <c r="B11" s="313">
        <f>'DOE25'!G140</f>
        <v>8670.8700000000008</v>
      </c>
      <c r="F11" s="310" t="s">
        <v>1584</v>
      </c>
    </row>
    <row r="12" spans="1:9" ht="15" x14ac:dyDescent="0.2">
      <c r="A12" s="310" t="s">
        <v>1572</v>
      </c>
      <c r="B12" s="313">
        <f>'DOE25'!G170</f>
        <v>791102.99</v>
      </c>
      <c r="F12" s="310" t="s">
        <v>1585</v>
      </c>
    </row>
    <row r="13" spans="1:9" ht="15" x14ac:dyDescent="0.2">
      <c r="A13" s="310" t="s">
        <v>1573</v>
      </c>
      <c r="B13" s="313">
        <f>'DOE25'!G193-'DOE25'!G180</f>
        <v>0</v>
      </c>
      <c r="F13" s="310" t="s">
        <v>1595</v>
      </c>
    </row>
    <row r="14" spans="1:9" ht="18" x14ac:dyDescent="0.25">
      <c r="A14" s="312" t="s">
        <v>732</v>
      </c>
      <c r="B14" s="314">
        <f>SUM(B9:B13)</f>
        <v>932285.52</v>
      </c>
    </row>
    <row r="16" spans="1:9" ht="18" x14ac:dyDescent="0.25">
      <c r="A16" s="312" t="s">
        <v>786</v>
      </c>
      <c r="F16" s="319" t="s">
        <v>1587</v>
      </c>
    </row>
    <row r="17" spans="1:6" ht="15" x14ac:dyDescent="0.2">
      <c r="A17" s="310" t="s">
        <v>1574</v>
      </c>
      <c r="B17" s="313">
        <f>'DOE25'!L363-'DOE25'!L362</f>
        <v>766245.45</v>
      </c>
      <c r="F17" s="310" t="s">
        <v>1588</v>
      </c>
    </row>
    <row r="18" spans="1:6" ht="15" x14ac:dyDescent="0.2">
      <c r="A18" s="310" t="s">
        <v>1575</v>
      </c>
      <c r="B18" s="323"/>
      <c r="F18" s="319" t="s">
        <v>1612</v>
      </c>
    </row>
    <row r="19" spans="1:6" ht="18" x14ac:dyDescent="0.25">
      <c r="A19" s="312" t="s">
        <v>725</v>
      </c>
      <c r="B19" s="314">
        <f>SUM(B17:B18)</f>
        <v>766245.45</v>
      </c>
    </row>
    <row r="21" spans="1:6" ht="18.75" thickBot="1" x14ac:dyDescent="0.3">
      <c r="A21" s="312" t="s">
        <v>1576</v>
      </c>
    </row>
    <row r="22" spans="1:6" ht="18.75" thickTop="1" x14ac:dyDescent="0.25">
      <c r="A22" s="312" t="s">
        <v>1577</v>
      </c>
      <c r="B22" s="318">
        <f>B14-B19</f>
        <v>166040.07000000007</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166040.07000000007</v>
      </c>
      <c r="F33" s="310" t="s">
        <v>1593</v>
      </c>
    </row>
    <row r="36" spans="1:6" ht="15" x14ac:dyDescent="0.2">
      <c r="A36" s="310" t="s">
        <v>1579</v>
      </c>
      <c r="B36" s="324">
        <v>19928.34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A2" sqref="A2"/>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Amherst</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7706955.2800000003</v>
      </c>
      <c r="C9" s="228">
        <f>'DOE25'!G198+'DOE25'!G216+'DOE25'!G234+'DOE25'!G277+'DOE25'!G296+'DOE25'!G315</f>
        <v>4433647.879999999</v>
      </c>
    </row>
    <row r="10" spans="1:3" x14ac:dyDescent="0.2">
      <c r="A10" t="s">
        <v>775</v>
      </c>
      <c r="B10" s="239">
        <v>7450373.4699999997</v>
      </c>
      <c r="C10" s="239">
        <v>4286041.8099999996</v>
      </c>
    </row>
    <row r="11" spans="1:3" x14ac:dyDescent="0.2">
      <c r="A11" t="s">
        <v>776</v>
      </c>
      <c r="B11" s="239">
        <v>240856.83</v>
      </c>
      <c r="C11" s="239">
        <v>138559.82</v>
      </c>
    </row>
    <row r="12" spans="1:3" x14ac:dyDescent="0.2">
      <c r="A12" t="s">
        <v>777</v>
      </c>
      <c r="B12" s="239">
        <f>27344.5-11619.52</f>
        <v>15724.98</v>
      </c>
      <c r="C12" s="239">
        <v>9046.25</v>
      </c>
    </row>
    <row r="13" spans="1:3" x14ac:dyDescent="0.2">
      <c r="A13" t="str">
        <f>IF(B9=B13,IF(C9=C13,"Check Total OK","Check Total Error"),"Check Total Error")</f>
        <v>Check Total OK</v>
      </c>
      <c r="B13" s="230">
        <f>SUM(B10:B12)</f>
        <v>7706955.2800000003</v>
      </c>
      <c r="C13" s="230">
        <f>SUM(C10:C12)</f>
        <v>4433647.88</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3459922.6799999997</v>
      </c>
      <c r="C18" s="228">
        <f>'DOE25'!G199+'DOE25'!G217+'DOE25'!G235+'DOE25'!G278+'DOE25'!G297+'DOE25'!G316</f>
        <v>2154606.8100000005</v>
      </c>
    </row>
    <row r="19" spans="1:3" x14ac:dyDescent="0.2">
      <c r="A19" t="s">
        <v>775</v>
      </c>
      <c r="B19" s="239">
        <f>1566215.18+22093.81</f>
        <v>1588308.99</v>
      </c>
      <c r="C19" s="239">
        <v>989091.86</v>
      </c>
    </row>
    <row r="20" spans="1:3" x14ac:dyDescent="0.2">
      <c r="A20" t="s">
        <v>776</v>
      </c>
      <c r="B20" s="239">
        <f>1724054.38+24307.23</f>
        <v>1748361.6099999999</v>
      </c>
      <c r="C20" s="239">
        <v>1088761.8500000001</v>
      </c>
    </row>
    <row r="21" spans="1:3" x14ac:dyDescent="0.2">
      <c r="A21" t="s">
        <v>777</v>
      </c>
      <c r="B21" s="239">
        <v>123252.08</v>
      </c>
      <c r="C21" s="239">
        <v>76753.100000000006</v>
      </c>
    </row>
    <row r="22" spans="1:3" x14ac:dyDescent="0.2">
      <c r="A22" t="str">
        <f>IF(B18=B22,IF(C18=C22,"Check Total OK","Check Total Error"),"Check Total Error")</f>
        <v>Check Total OK</v>
      </c>
      <c r="B22" s="230">
        <f>SUM(B19:B21)</f>
        <v>3459922.6799999997</v>
      </c>
      <c r="C22" s="230">
        <f>SUM(C19:C21)</f>
        <v>2154606.81</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213585.13</v>
      </c>
      <c r="C36" s="234">
        <f>'DOE25'!G201+'DOE25'!G219+'DOE25'!G237+'DOE25'!G280+'DOE25'!G299+'DOE25'!G318</f>
        <v>48931.130000000005</v>
      </c>
    </row>
    <row r="37" spans="1:3" x14ac:dyDescent="0.2">
      <c r="A37" t="s">
        <v>775</v>
      </c>
      <c r="B37" s="239">
        <f>126302.48+6986.8</f>
        <v>133289.28</v>
      </c>
      <c r="C37" s="239">
        <v>30535.81</v>
      </c>
    </row>
    <row r="38" spans="1:3" x14ac:dyDescent="0.2">
      <c r="A38" t="s">
        <v>776</v>
      </c>
      <c r="B38" s="239">
        <f>25068.24+1890.41</f>
        <v>26958.65</v>
      </c>
      <c r="C38" s="239">
        <v>6176.07</v>
      </c>
    </row>
    <row r="39" spans="1:3" x14ac:dyDescent="0.2">
      <c r="A39" t="s">
        <v>777</v>
      </c>
      <c r="B39" s="239">
        <f>52828.54+508.66</f>
        <v>53337.200000000004</v>
      </c>
      <c r="C39" s="239">
        <v>12219.25</v>
      </c>
    </row>
    <row r="40" spans="1:3" x14ac:dyDescent="0.2">
      <c r="A40" t="str">
        <f>IF(B36=B40,IF(C36=C40,"Check Total OK","Check Total Error"),"Check Total Error")</f>
        <v>Check Total OK</v>
      </c>
      <c r="B40" s="230">
        <f>SUM(B37:B39)</f>
        <v>213585.13</v>
      </c>
      <c r="C40" s="230">
        <f>SUM(C37:C39)</f>
        <v>48931.130000000005</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topLeftCell="B1"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Amherst</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18454872.810000002</v>
      </c>
      <c r="D5" s="20">
        <f>SUM('DOE25'!L198:L201)+SUM('DOE25'!L216:L219)+SUM('DOE25'!L234:L237)-F5-G5-H5</f>
        <v>18341305.140000004</v>
      </c>
      <c r="E5" s="242"/>
      <c r="F5" s="243"/>
      <c r="G5" s="53">
        <f>SUM('DOE25'!J198:J201)+SUM('DOE25'!J216:J219)+SUM('DOE25'!J234:J237)</f>
        <v>110896.38</v>
      </c>
      <c r="H5" s="53">
        <f>SUM('DOE25'!K198:K201)+SUM('DOE25'!K216:K219)+SUM('DOE25'!K234:K237)</f>
        <v>2671.29</v>
      </c>
      <c r="I5" s="255"/>
    </row>
    <row r="6" spans="1:9" x14ac:dyDescent="0.2">
      <c r="A6" s="32">
        <v>2100</v>
      </c>
      <c r="B6" t="s">
        <v>796</v>
      </c>
      <c r="C6" s="274">
        <f t="shared" si="0"/>
        <v>3590890.08</v>
      </c>
      <c r="D6" s="20">
        <f>'DOE25'!L203+'DOE25'!L221+'DOE25'!L239-F6-G6-H6</f>
        <v>3590890.08</v>
      </c>
      <c r="E6" s="242"/>
      <c r="F6" s="243"/>
      <c r="G6" s="53">
        <f>'DOE25'!J203+'DOE25'!J221+'DOE25'!J239</f>
        <v>0</v>
      </c>
      <c r="H6" s="53">
        <f>'DOE25'!K203+'DOE25'!K221+'DOE25'!K239</f>
        <v>0</v>
      </c>
      <c r="I6" s="255"/>
    </row>
    <row r="7" spans="1:9" x14ac:dyDescent="0.2">
      <c r="A7" s="32">
        <v>2200</v>
      </c>
      <c r="B7" t="s">
        <v>821</v>
      </c>
      <c r="C7" s="274">
        <f t="shared" si="0"/>
        <v>518074.35</v>
      </c>
      <c r="D7" s="20">
        <f>'DOE25'!L204+'DOE25'!L222+'DOE25'!L240-F7-G7-H7</f>
        <v>518074.35</v>
      </c>
      <c r="E7" s="242"/>
      <c r="F7" s="243"/>
      <c r="G7" s="53">
        <f>'DOE25'!J204+'DOE25'!J222+'DOE25'!J240</f>
        <v>0</v>
      </c>
      <c r="H7" s="53">
        <f>'DOE25'!K204+'DOE25'!K222+'DOE25'!K240</f>
        <v>0</v>
      </c>
      <c r="I7" s="255"/>
    </row>
    <row r="8" spans="1:9" x14ac:dyDescent="0.2">
      <c r="A8" s="32">
        <v>2300</v>
      </c>
      <c r="B8" t="s">
        <v>797</v>
      </c>
      <c r="C8" s="274">
        <f t="shared" si="0"/>
        <v>1799215.11</v>
      </c>
      <c r="D8" s="242"/>
      <c r="E8" s="20">
        <f>'DOE25'!L205+'DOE25'!L223+'DOE25'!L241-F8-G8-H8-D9-D11</f>
        <v>1793616.37</v>
      </c>
      <c r="F8" s="243"/>
      <c r="G8" s="53">
        <f>'DOE25'!J205+'DOE25'!J223+'DOE25'!J241</f>
        <v>0</v>
      </c>
      <c r="H8" s="53">
        <f>'DOE25'!K205+'DOE25'!K223+'DOE25'!K241</f>
        <v>5598.74</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1536582.24</v>
      </c>
      <c r="D12" s="20">
        <f>'DOE25'!L206+'DOE25'!L224+'DOE25'!L242-F12-G12-H12</f>
        <v>1531443.24</v>
      </c>
      <c r="E12" s="242"/>
      <c r="F12" s="243"/>
      <c r="G12" s="53">
        <f>'DOE25'!J206+'DOE25'!J224+'DOE25'!J242</f>
        <v>0</v>
      </c>
      <c r="H12" s="53">
        <f>'DOE25'!K206+'DOE25'!K224+'DOE25'!K242</f>
        <v>5139</v>
      </c>
      <c r="I12" s="255"/>
    </row>
    <row r="13" spans="1:9" x14ac:dyDescent="0.2">
      <c r="A13" s="32">
        <v>2500</v>
      </c>
      <c r="B13" t="s">
        <v>798</v>
      </c>
      <c r="C13" s="274">
        <f t="shared" si="0"/>
        <v>321.96000000000004</v>
      </c>
      <c r="D13" s="242"/>
      <c r="E13" s="20">
        <f>'DOE25'!L207+'DOE25'!L225+'DOE25'!L243-F13-G13-H13</f>
        <v>321.96000000000004</v>
      </c>
      <c r="F13" s="243"/>
      <c r="G13" s="53">
        <f>'DOE25'!J207+'DOE25'!J225+'DOE25'!J243</f>
        <v>0</v>
      </c>
      <c r="H13" s="53">
        <f>'DOE25'!K207+'DOE25'!K225+'DOE25'!K243</f>
        <v>0</v>
      </c>
      <c r="I13" s="255"/>
    </row>
    <row r="14" spans="1:9" x14ac:dyDescent="0.2">
      <c r="A14" s="32">
        <v>2600</v>
      </c>
      <c r="B14" t="s">
        <v>819</v>
      </c>
      <c r="C14" s="274">
        <f t="shared" si="0"/>
        <v>1945809.9199999999</v>
      </c>
      <c r="D14" s="20">
        <f>'DOE25'!L208+'DOE25'!L226+'DOE25'!L244-F14-G14-H14</f>
        <v>1911315.17</v>
      </c>
      <c r="E14" s="242"/>
      <c r="F14" s="243"/>
      <c r="G14" s="53">
        <f>'DOE25'!J208+'DOE25'!J226+'DOE25'!J244</f>
        <v>34494.75</v>
      </c>
      <c r="H14" s="53">
        <f>'DOE25'!K208+'DOE25'!K226+'DOE25'!K244</f>
        <v>0</v>
      </c>
      <c r="I14" s="255"/>
    </row>
    <row r="15" spans="1:9" x14ac:dyDescent="0.2">
      <c r="A15" s="32">
        <v>2700</v>
      </c>
      <c r="B15" t="s">
        <v>799</v>
      </c>
      <c r="C15" s="274">
        <f t="shared" si="0"/>
        <v>939733.9</v>
      </c>
      <c r="D15" s="20">
        <f>'DOE25'!L209+'DOE25'!L227+'DOE25'!L245-F15-G15-H15</f>
        <v>939733.9</v>
      </c>
      <c r="E15" s="242"/>
      <c r="F15" s="243"/>
      <c r="G15" s="53">
        <f>'DOE25'!J209+'DOE25'!J227+'DOE25'!J245</f>
        <v>0</v>
      </c>
      <c r="H15" s="53">
        <f>'DOE25'!K209+'DOE25'!K227+'DOE25'!K245</f>
        <v>0</v>
      </c>
      <c r="I15" s="255"/>
    </row>
    <row r="16" spans="1:9" x14ac:dyDescent="0.2">
      <c r="A16" s="32">
        <v>2800</v>
      </c>
      <c r="B16" t="s">
        <v>800</v>
      </c>
      <c r="C16" s="274">
        <f t="shared" si="0"/>
        <v>404378.85</v>
      </c>
      <c r="D16" s="242"/>
      <c r="E16" s="20">
        <f>'DOE25'!L210+'DOE25'!L228+'DOE25'!L246-F16-G16-H16</f>
        <v>398478</v>
      </c>
      <c r="F16" s="243"/>
      <c r="G16" s="53">
        <f>'DOE25'!J210+'DOE25'!J228+'DOE25'!J246</f>
        <v>5900.85</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27372.89</v>
      </c>
      <c r="D22" s="242"/>
      <c r="E22" s="242"/>
      <c r="F22" s="242"/>
      <c r="G22" s="53">
        <f>'DOE25'!L256+'DOE25'!L337</f>
        <v>27372.89</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421275.13</v>
      </c>
      <c r="D25" s="242"/>
      <c r="E25" s="242"/>
      <c r="F25" s="254"/>
      <c r="G25" s="252"/>
      <c r="H25" s="252"/>
      <c r="I25" s="253">
        <f>'DOE25'!L261+'DOE25'!L262+'DOE25'!L342+'DOE25'!L343</f>
        <v>421275.13</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479912.36999999988</v>
      </c>
      <c r="D29" s="282">
        <f>'DOE25'!L359+'DOE25'!L360+'DOE25'!L361-'DOE25'!I368-F29-G29-H29</f>
        <v>409310.15999999992</v>
      </c>
      <c r="E29" s="242"/>
      <c r="F29" s="243"/>
      <c r="G29" s="53">
        <f>'DOE25'!J359+'DOE25'!J360+'DOE25'!J361</f>
        <v>9316</v>
      </c>
      <c r="H29" s="53">
        <f>'DOE25'!K359+'DOE25'!K360+'DOE25'!K361</f>
        <v>61286.209999999992</v>
      </c>
      <c r="I29" s="255"/>
    </row>
    <row r="30" spans="1:9" x14ac:dyDescent="0.2">
      <c r="A30" s="32"/>
      <c r="C30" s="275"/>
      <c r="D30" s="20"/>
      <c r="E30" s="279"/>
      <c r="F30" s="269"/>
      <c r="G30" s="53"/>
      <c r="H30" s="53"/>
      <c r="I30" s="255"/>
    </row>
    <row r="31" spans="1:9" x14ac:dyDescent="0.2">
      <c r="A31" s="32" t="s">
        <v>818</v>
      </c>
      <c r="B31" t="s">
        <v>817</v>
      </c>
      <c r="C31" s="274">
        <f>SUM(D31:I31)</f>
        <v>694897.95000000007</v>
      </c>
      <c r="D31" s="20">
        <f>'DOE25'!L291+'DOE25'!L310+'DOE25'!L329+'DOE25'!L334+'DOE25'!L335+'DOE25'!L336-F31-G31-H31</f>
        <v>680288.93</v>
      </c>
      <c r="E31" s="242"/>
      <c r="F31" s="243"/>
      <c r="G31" s="53">
        <f>'DOE25'!J291+'DOE25'!J310+'DOE25'!J329+'DOE25'!J334+'DOE25'!J335+'DOE25'!J336</f>
        <v>14059.93</v>
      </c>
      <c r="H31" s="53">
        <f>'DOE25'!K291+'DOE25'!K310+'DOE25'!K329+'DOE25'!K334+'DOE25'!K335+'DOE25'!K336</f>
        <v>549.09</v>
      </c>
      <c r="I31" s="255"/>
    </row>
    <row r="32" spans="1:9" ht="12" thickBot="1" x14ac:dyDescent="0.25">
      <c r="C32" s="275"/>
      <c r="G32" s="250"/>
      <c r="H32" s="250"/>
      <c r="I32" s="257"/>
    </row>
    <row r="33" spans="1:9" ht="12" thickTop="1" x14ac:dyDescent="0.2">
      <c r="B33" t="s">
        <v>809</v>
      </c>
      <c r="D33" s="244">
        <f t="shared" ref="D33:I33" si="1">SUM(D5:D31)</f>
        <v>27922360.970000003</v>
      </c>
      <c r="E33" s="244">
        <f t="shared" si="1"/>
        <v>2192416.33</v>
      </c>
      <c r="F33" s="244">
        <f t="shared" si="1"/>
        <v>0</v>
      </c>
      <c r="G33" s="244">
        <f t="shared" si="1"/>
        <v>202040.8</v>
      </c>
      <c r="H33" s="244">
        <f t="shared" si="1"/>
        <v>75244.329999999987</v>
      </c>
      <c r="I33" s="244">
        <f t="shared" si="1"/>
        <v>421275.13</v>
      </c>
    </row>
    <row r="35" spans="1:9" ht="12" thickBot="1" x14ac:dyDescent="0.25">
      <c r="B35" s="250" t="s">
        <v>831</v>
      </c>
      <c r="D35" s="251">
        <f>E33</f>
        <v>2192416.33</v>
      </c>
      <c r="E35" s="247"/>
      <c r="F35" s="328" t="s">
        <v>1617</v>
      </c>
      <c r="G35" s="329"/>
      <c r="H35" s="329"/>
      <c r="I35" s="329"/>
    </row>
    <row r="36" spans="1:9" ht="12" thickTop="1" x14ac:dyDescent="0.2">
      <c r="B36" t="s">
        <v>810</v>
      </c>
      <c r="D36" s="20">
        <f>D33</f>
        <v>27922360.970000003</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27" sqref="D2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Amherst</v>
      </c>
      <c r="B2" s="126">
        <f>'DOE25'!B2</f>
        <v>17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15122322.469999999</v>
      </c>
      <c r="G4" s="299">
        <f>'DOE25'!L212+'DOE25'!L291</f>
        <v>15122322.470000003</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5"/>
      <c r="N5"/>
    </row>
    <row r="6" spans="1:18" x14ac:dyDescent="0.2">
      <c r="A6" s="126" t="str" cm="1">
        <f t="array" ref="A6">IFERROR(INDEX('School Tables'!$A$4:$G$325,'School Tables'!$J4,3),"")</f>
        <v>Clark-Wilkins School</v>
      </c>
      <c r="B6" s="300">
        <f>IFERROR(VLOOKUP(A6,'School Tables'!$C$3:$D$365,2,FALSE),"")</f>
        <v>21750</v>
      </c>
      <c r="C6" s="293" t="str">
        <f>IFERROR(INDEX('School Tables'!$B$3:$B$365,MATCH('School Level Expenditures'!B6,'School Tables'!$D$3:$D$365,0)),"")</f>
        <v>Amherst</v>
      </c>
      <c r="D6" s="290">
        <v>14597885.789999999</v>
      </c>
      <c r="E6" s="290">
        <v>524436.68000000005</v>
      </c>
      <c r="F6" s="303">
        <f>D6+E6</f>
        <v>15122322.469999999</v>
      </c>
      <c r="G6" s="293"/>
      <c r="H6" s="293"/>
      <c r="I6" s="385"/>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ref="F7:F20" si="0">D7+E7</f>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14597885.789999999</v>
      </c>
      <c r="E21" s="338">
        <f>SUM(E5:E20)</f>
        <v>524436.68000000005</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14762454.699999999</v>
      </c>
      <c r="G24" s="299">
        <f>'DOE25'!L230+'DOE25'!L310</f>
        <v>14762454.700000001</v>
      </c>
      <c r="H24" s="340">
        <f>F24-G24</f>
        <v>0</v>
      </c>
      <c r="I24" s="384"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5"/>
      <c r="N25"/>
    </row>
    <row r="26" spans="1:14" x14ac:dyDescent="0.2">
      <c r="A26" s="126" t="str" cm="1">
        <f t="array" ref="A26">IFERROR(INDEX('School Tables'!$L$4:$R$75,'School Tables'!$U4,3),"")</f>
        <v>Amherst Middle School</v>
      </c>
      <c r="B26" s="300">
        <f>IFERROR(VLOOKUP(A26,'School Tables'!$N$4:$O$75,2,FALSE),"")</f>
        <v>21745</v>
      </c>
      <c r="C26" s="293" t="str">
        <f>IFERROR(INDEX('School Tables'!$M$4:$M$75,MATCH('School Level Expenditures'!A26,'School Tables'!$N$4:$N$75,0)),"")</f>
        <v>Amherst</v>
      </c>
      <c r="D26" s="290">
        <f>14385301.33+2394.95</f>
        <v>14387696.279999999</v>
      </c>
      <c r="E26" s="290">
        <v>374758.42</v>
      </c>
      <c r="F26" s="303">
        <f t="shared" ref="F26:F32" si="1">D26+E26</f>
        <v>14762454.699999999</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14387696.279999999</v>
      </c>
      <c r="E33" s="338">
        <f>SUM(E25:E32)</f>
        <v>374758.42</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4"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5"/>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Amherst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343354.39</v>
      </c>
      <c r="D8" s="95">
        <f>'DOE25'!G9</f>
        <v>0</v>
      </c>
      <c r="E8" s="95">
        <f>'DOE25'!H9</f>
        <v>0</v>
      </c>
      <c r="F8" s="95">
        <f>'DOE25'!I9</f>
        <v>0</v>
      </c>
      <c r="G8" s="95">
        <f>'DOE25'!J9</f>
        <v>88433.26999999999</v>
      </c>
      <c r="H8" s="124">
        <f>SUM(C8:G8)</f>
        <v>431787.66000000003</v>
      </c>
      <c r="I8" s="124"/>
    </row>
    <row r="9" spans="1:9" x14ac:dyDescent="0.2">
      <c r="A9" s="1" t="s">
        <v>140</v>
      </c>
      <c r="B9" s="6">
        <v>110</v>
      </c>
      <c r="C9" s="95">
        <f>'DOE25'!F10</f>
        <v>502942.3</v>
      </c>
      <c r="D9" s="95">
        <f>'DOE25'!G10</f>
        <v>0</v>
      </c>
      <c r="E9" s="95">
        <f>'DOE25'!H10</f>
        <v>0</v>
      </c>
      <c r="F9" s="95">
        <f>'DOE25'!I10</f>
        <v>0</v>
      </c>
      <c r="G9" s="95">
        <f>'DOE25'!J10</f>
        <v>0</v>
      </c>
      <c r="H9" s="124">
        <f t="shared" ref="H9:H18" si="0">SUM(C9:G9)</f>
        <v>502942.3</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278135.77</v>
      </c>
      <c r="D11" s="95">
        <f>'DOE25'!G12</f>
        <v>42502.89</v>
      </c>
      <c r="E11" s="95">
        <f>'DOE25'!H12</f>
        <v>0</v>
      </c>
      <c r="F11" s="95">
        <f>'DOE25'!I12</f>
        <v>0</v>
      </c>
      <c r="G11" s="95">
        <f>'DOE25'!J12</f>
        <v>0</v>
      </c>
      <c r="H11" s="124">
        <f t="shared" si="0"/>
        <v>320638.66000000003</v>
      </c>
      <c r="I11" s="124"/>
    </row>
    <row r="12" spans="1:9" x14ac:dyDescent="0.2">
      <c r="A12" s="1" t="s">
        <v>143</v>
      </c>
      <c r="B12" s="6">
        <v>140</v>
      </c>
      <c r="C12" s="95">
        <f>'DOE25'!F13</f>
        <v>569453.91</v>
      </c>
      <c r="D12" s="95">
        <f>'DOE25'!G13</f>
        <v>205023.01</v>
      </c>
      <c r="E12" s="95">
        <f>'DOE25'!H13</f>
        <v>295282.3</v>
      </c>
      <c r="F12" s="95">
        <f>'DOE25'!I13</f>
        <v>0</v>
      </c>
      <c r="G12" s="95">
        <f>'DOE25'!J13</f>
        <v>1121530.05</v>
      </c>
      <c r="H12" s="124">
        <f t="shared" si="0"/>
        <v>2191289.27</v>
      </c>
      <c r="I12" s="124"/>
    </row>
    <row r="13" spans="1:9" x14ac:dyDescent="0.2">
      <c r="A13" s="1" t="s">
        <v>144</v>
      </c>
      <c r="B13" s="6">
        <v>150</v>
      </c>
      <c r="C13" s="95">
        <f>'DOE25'!F14</f>
        <v>8429.6200000000008</v>
      </c>
      <c r="D13" s="95">
        <f>'DOE25'!G14</f>
        <v>0</v>
      </c>
      <c r="E13" s="95">
        <f>'DOE25'!H14</f>
        <v>5661.45</v>
      </c>
      <c r="F13" s="95">
        <f>'DOE25'!I14</f>
        <v>0</v>
      </c>
      <c r="G13" s="95">
        <f>'DOE25'!J14</f>
        <v>0</v>
      </c>
      <c r="H13" s="124">
        <f t="shared" si="0"/>
        <v>14091.07</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758.72</v>
      </c>
      <c r="D16" s="95">
        <f>'DOE25'!G17</f>
        <v>0</v>
      </c>
      <c r="E16" s="95">
        <f>'DOE25'!H17</f>
        <v>0</v>
      </c>
      <c r="F16" s="95">
        <f>'DOE25'!I17</f>
        <v>0</v>
      </c>
      <c r="G16" s="95">
        <f>'DOE25'!J17</f>
        <v>0</v>
      </c>
      <c r="H16" s="124">
        <f t="shared" si="0"/>
        <v>758.72</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1703074.7100000002</v>
      </c>
      <c r="D18" s="41">
        <f>SUM(D8:D17)</f>
        <v>247525.90000000002</v>
      </c>
      <c r="E18" s="41">
        <f>SUM(E8:E17)</f>
        <v>300943.75</v>
      </c>
      <c r="F18" s="41">
        <f>SUM(F8:F17)</f>
        <v>0</v>
      </c>
      <c r="G18" s="41">
        <f>SUM(G8:G17)</f>
        <v>1209963.32</v>
      </c>
      <c r="H18" s="41">
        <f t="shared" si="0"/>
        <v>3461507.6800000006</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280958.61</v>
      </c>
      <c r="F21" s="95">
        <f>'DOE25'!I22</f>
        <v>0</v>
      </c>
      <c r="G21" s="95">
        <f>'DOE25'!J22</f>
        <v>39680.049999999996</v>
      </c>
      <c r="H21" s="124">
        <f t="shared" ref="H21:H31" si="1">SUM(C21:G21)</f>
        <v>320638.65999999997</v>
      </c>
      <c r="I21" s="124"/>
    </row>
    <row r="22" spans="1:9" x14ac:dyDescent="0.2">
      <c r="A22" s="1" t="s">
        <v>151</v>
      </c>
      <c r="B22" s="6">
        <v>410</v>
      </c>
      <c r="C22" s="95">
        <f>'DOE25'!F23</f>
        <v>69428.62</v>
      </c>
      <c r="D22" s="95">
        <f>'DOE25'!G23</f>
        <v>19343.79</v>
      </c>
      <c r="E22" s="95">
        <f>'DOE25'!H23</f>
        <v>0</v>
      </c>
      <c r="F22" s="95">
        <f>'DOE25'!I23</f>
        <v>0</v>
      </c>
      <c r="G22" s="95">
        <f>'DOE25'!J23</f>
        <v>0</v>
      </c>
      <c r="H22" s="124">
        <f t="shared" si="1"/>
        <v>88772.41</v>
      </c>
      <c r="I22" s="124"/>
    </row>
    <row r="23" spans="1:9" x14ac:dyDescent="0.2">
      <c r="A23" s="1" t="s">
        <v>152</v>
      </c>
      <c r="B23" s="6">
        <v>420</v>
      </c>
      <c r="C23" s="95">
        <f>'DOE25'!F24</f>
        <v>79545.39</v>
      </c>
      <c r="D23" s="95">
        <f>'DOE25'!G24</f>
        <v>1245.08</v>
      </c>
      <c r="E23" s="95">
        <f>'DOE25'!H24</f>
        <v>0</v>
      </c>
      <c r="F23" s="95">
        <f>'DOE25'!I24</f>
        <v>0</v>
      </c>
      <c r="G23" s="95">
        <f>'DOE25'!J24</f>
        <v>0</v>
      </c>
      <c r="H23" s="124">
        <f t="shared" si="1"/>
        <v>80790.47</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182724.25</v>
      </c>
      <c r="D27" s="95">
        <f>'DOE25'!G28</f>
        <v>0</v>
      </c>
      <c r="E27" s="95">
        <f>'DOE25'!H28</f>
        <v>0</v>
      </c>
      <c r="F27" s="95">
        <f>'DOE25'!I28</f>
        <v>0</v>
      </c>
      <c r="G27" s="24" t="s">
        <v>288</v>
      </c>
      <c r="H27" s="124">
        <f t="shared" si="1"/>
        <v>182724.25</v>
      </c>
      <c r="I27" s="124"/>
    </row>
    <row r="28" spans="1:9" x14ac:dyDescent="0.2">
      <c r="A28" s="1" t="s">
        <v>157</v>
      </c>
      <c r="B28" s="6">
        <v>470</v>
      </c>
      <c r="C28" s="95">
        <f>'DOE25'!F29</f>
        <v>122877.43</v>
      </c>
      <c r="D28" s="95">
        <f>'DOE25'!G29</f>
        <v>0</v>
      </c>
      <c r="E28" s="95">
        <f>'DOE25'!H29</f>
        <v>0</v>
      </c>
      <c r="F28" s="95">
        <f>'DOE25'!I29</f>
        <v>0</v>
      </c>
      <c r="G28" s="24" t="s">
        <v>288</v>
      </c>
      <c r="H28" s="124">
        <f t="shared" si="1"/>
        <v>122877.43</v>
      </c>
      <c r="I28" s="124"/>
    </row>
    <row r="29" spans="1:9" x14ac:dyDescent="0.2">
      <c r="A29" s="1" t="s">
        <v>158</v>
      </c>
      <c r="B29" s="6">
        <v>480</v>
      </c>
      <c r="C29" s="95">
        <f>'DOE25'!F30</f>
        <v>2861.06</v>
      </c>
      <c r="D29" s="95">
        <f>'DOE25'!G30</f>
        <v>60896.959999999999</v>
      </c>
      <c r="E29" s="95">
        <f>'DOE25'!H30</f>
        <v>19985.14</v>
      </c>
      <c r="F29" s="95">
        <f>'DOE25'!I30</f>
        <v>0</v>
      </c>
      <c r="G29" s="24" t="s">
        <v>288</v>
      </c>
      <c r="H29" s="124">
        <f t="shared" si="1"/>
        <v>83743.16</v>
      </c>
      <c r="I29" s="124"/>
    </row>
    <row r="30" spans="1:9" ht="12" thickBot="1" x14ac:dyDescent="0.25">
      <c r="A30" s="1" t="s">
        <v>159</v>
      </c>
      <c r="B30" s="71">
        <v>490</v>
      </c>
      <c r="C30" s="95">
        <f>'DOE25'!F31</f>
        <v>0</v>
      </c>
      <c r="D30" s="95">
        <f>'DOE25'!G31</f>
        <v>0</v>
      </c>
      <c r="E30" s="95">
        <f>'DOE25'!H31</f>
        <v>0</v>
      </c>
      <c r="F30" s="95">
        <f>'DOE25'!I31</f>
        <v>0</v>
      </c>
      <c r="G30" s="95">
        <f>'DOE25'!J31</f>
        <v>88433.26999999999</v>
      </c>
      <c r="H30" s="124">
        <f t="shared" si="1"/>
        <v>88433.26999999999</v>
      </c>
      <c r="I30" s="124"/>
    </row>
    <row r="31" spans="1:9" ht="12" thickTop="1" x14ac:dyDescent="0.2">
      <c r="A31" s="38" t="s">
        <v>160</v>
      </c>
      <c r="B31" s="2"/>
      <c r="C31" s="41">
        <f>SUM(C21:C30)</f>
        <v>457436.75</v>
      </c>
      <c r="D31" s="41">
        <f>SUM(D21:D30)</f>
        <v>81485.83</v>
      </c>
      <c r="E31" s="41">
        <f>SUM(E21:E30)</f>
        <v>300943.75</v>
      </c>
      <c r="F31" s="41">
        <f>SUM(F21:F30)</f>
        <v>0</v>
      </c>
      <c r="G31" s="41">
        <f>SUM(G21:G30)</f>
        <v>128113.31999999998</v>
      </c>
      <c r="H31" s="41">
        <f t="shared" si="1"/>
        <v>967979.64999999991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650000</v>
      </c>
      <c r="D43" s="95">
        <f>'DOE25'!G44</f>
        <v>0</v>
      </c>
      <c r="E43" s="95">
        <f>'DOE25'!H44</f>
        <v>0</v>
      </c>
      <c r="F43" s="95">
        <f>'DOE25'!I44</f>
        <v>0</v>
      </c>
      <c r="G43" s="24" t="s">
        <v>288</v>
      </c>
      <c r="H43" s="124">
        <f t="shared" si="2"/>
        <v>650000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166040.07</v>
      </c>
      <c r="E47" s="95">
        <f>'DOE25'!H48</f>
        <v>0</v>
      </c>
      <c r="F47" s="95">
        <f>'DOE25'!I48</f>
        <v>0</v>
      </c>
      <c r="G47" s="95">
        <f>'DOE25'!J48</f>
        <v>1081850</v>
      </c>
      <c r="H47" s="124">
        <f t="shared" si="2"/>
        <v>1247890.07</v>
      </c>
      <c r="I47" s="124"/>
    </row>
    <row r="48" spans="1:9" x14ac:dyDescent="0.2">
      <c r="A48" s="1" t="s">
        <v>882</v>
      </c>
      <c r="B48" s="6">
        <v>753</v>
      </c>
      <c r="C48" s="95">
        <f>'DOE25'!F49</f>
        <v>13345.93</v>
      </c>
      <c r="D48" s="95">
        <f>'DOE25'!G49</f>
        <v>0</v>
      </c>
      <c r="E48" s="95">
        <f>'DOE25'!H49</f>
        <v>0</v>
      </c>
      <c r="F48" s="95">
        <f>'DOE25'!I49</f>
        <v>0</v>
      </c>
      <c r="G48" s="95">
        <f>'DOE25'!J49</f>
        <v>0</v>
      </c>
      <c r="H48" s="124">
        <f t="shared" si="2"/>
        <v>13345.93</v>
      </c>
      <c r="I48" s="124"/>
    </row>
    <row r="49" spans="1:9" ht="12" thickBot="1" x14ac:dyDescent="0.25">
      <c r="A49" s="29" t="s">
        <v>883</v>
      </c>
      <c r="B49" s="71">
        <v>770</v>
      </c>
      <c r="C49" s="95">
        <f>'DOE25'!F50</f>
        <v>582292.03</v>
      </c>
      <c r="D49" s="24" t="s">
        <v>288</v>
      </c>
      <c r="E49" s="24" t="s">
        <v>288</v>
      </c>
      <c r="F49" s="24" t="s">
        <v>288</v>
      </c>
      <c r="G49" s="24" t="s">
        <v>288</v>
      </c>
      <c r="H49" s="124">
        <f t="shared" si="2"/>
        <v>582292.03</v>
      </c>
      <c r="I49" s="124"/>
    </row>
    <row r="50" spans="1:9" ht="12.75" thickTop="1" thickBot="1" x14ac:dyDescent="0.25">
      <c r="A50" s="38" t="s">
        <v>884</v>
      </c>
      <c r="B50" s="48"/>
      <c r="C50" s="41">
        <f>SUM(C34:C49)</f>
        <v>1245637.96</v>
      </c>
      <c r="D50" s="41">
        <f>SUM(D34:D49)</f>
        <v>166040.07</v>
      </c>
      <c r="E50" s="41">
        <f>SUM(E34:E49)</f>
        <v>0</v>
      </c>
      <c r="F50" s="41">
        <f>SUM(F34:F49)</f>
        <v>0</v>
      </c>
      <c r="G50" s="41">
        <f>SUM(G34:G49)</f>
        <v>1081850</v>
      </c>
      <c r="H50" s="41">
        <f t="shared" si="2"/>
        <v>2493528.0300000003</v>
      </c>
      <c r="I50" s="124"/>
    </row>
    <row r="51" spans="1:9" ht="12" thickTop="1" x14ac:dyDescent="0.2">
      <c r="A51" s="38" t="s">
        <v>885</v>
      </c>
      <c r="B51" s="2"/>
      <c r="C51" s="41">
        <f>C50+C31</f>
        <v>1703074.71</v>
      </c>
      <c r="D51" s="41">
        <f>D50+D31</f>
        <v>247525.90000000002</v>
      </c>
      <c r="E51" s="41">
        <f>E50+E31</f>
        <v>300943.75</v>
      </c>
      <c r="F51" s="41">
        <f>F50+F31</f>
        <v>0</v>
      </c>
      <c r="G51" s="41">
        <f>G50+G31</f>
        <v>1209963.32</v>
      </c>
      <c r="H51" s="41">
        <f t="shared" si="2"/>
        <v>3461507.6799999997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21058969</v>
      </c>
      <c r="D56" s="95">
        <f>'DOE25'!G60</f>
        <v>0</v>
      </c>
      <c r="E56" s="95">
        <f>'DOE25'!H60</f>
        <v>0</v>
      </c>
      <c r="F56" s="95">
        <f>'DOE25'!I60</f>
        <v>0</v>
      </c>
      <c r="G56" s="95">
        <f>'DOE25'!J60</f>
        <v>0</v>
      </c>
      <c r="H56" s="124">
        <f t="shared" ref="H56:H63" si="3">SUM(C56:G56)</f>
        <v>21058969</v>
      </c>
      <c r="I56"/>
    </row>
    <row r="57" spans="1:9" x14ac:dyDescent="0.2">
      <c r="A57" s="1" t="s">
        <v>164</v>
      </c>
      <c r="B57" s="6" t="s">
        <v>165</v>
      </c>
      <c r="C57" s="95">
        <f>'DOE25'!F79</f>
        <v>1278251.1399999999</v>
      </c>
      <c r="D57" s="24" t="s">
        <v>288</v>
      </c>
      <c r="E57" s="95">
        <f>'DOE25'!H79</f>
        <v>0</v>
      </c>
      <c r="F57" s="24" t="s">
        <v>288</v>
      </c>
      <c r="G57" s="24" t="s">
        <v>288</v>
      </c>
      <c r="H57" s="124">
        <f t="shared" si="3"/>
        <v>1278251.1399999999</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3240.54</v>
      </c>
      <c r="D59" s="95">
        <f>'DOE25'!G96</f>
        <v>0</v>
      </c>
      <c r="E59" s="95">
        <f>'DOE25'!H96</f>
        <v>0</v>
      </c>
      <c r="F59" s="95">
        <f>'DOE25'!I96</f>
        <v>0</v>
      </c>
      <c r="G59" s="95">
        <f>'DOE25'!J96</f>
        <v>-15828.39</v>
      </c>
      <c r="H59" s="124">
        <f t="shared" si="3"/>
        <v>-12587.849999999999</v>
      </c>
      <c r="I59"/>
    </row>
    <row r="60" spans="1:9" x14ac:dyDescent="0.2">
      <c r="A60" s="1" t="s">
        <v>170</v>
      </c>
      <c r="B60" s="118" t="s">
        <v>171</v>
      </c>
      <c r="C60" s="24" t="s">
        <v>288</v>
      </c>
      <c r="D60" s="95">
        <f>'DOE25'!G97</f>
        <v>130342.41</v>
      </c>
      <c r="E60" s="24" t="s">
        <v>288</v>
      </c>
      <c r="F60" s="24" t="s">
        <v>288</v>
      </c>
      <c r="G60" s="24" t="s">
        <v>288</v>
      </c>
      <c r="H60" s="124">
        <f t="shared" si="3"/>
        <v>130342.41</v>
      </c>
      <c r="I60"/>
    </row>
    <row r="61" spans="1:9" ht="12" thickBot="1" x14ac:dyDescent="0.25">
      <c r="A61" s="1" t="s">
        <v>172</v>
      </c>
      <c r="B61" s="118" t="s">
        <v>173</v>
      </c>
      <c r="C61" s="95">
        <f>SUM('DOE25'!F98:F110)</f>
        <v>779710.02</v>
      </c>
      <c r="D61" s="95">
        <f>SUM('DOE25'!G98:G110)</f>
        <v>2169.25</v>
      </c>
      <c r="E61" s="95">
        <f>SUM('DOE25'!H98:H110)</f>
        <v>25963.86</v>
      </c>
      <c r="F61" s="95">
        <f>SUM('DOE25'!I98:I110)</f>
        <v>0</v>
      </c>
      <c r="G61" s="95">
        <f>SUM('DOE25'!J98:J110)</f>
        <v>1183.26</v>
      </c>
      <c r="H61" s="124">
        <f t="shared" si="3"/>
        <v>809026.39</v>
      </c>
      <c r="I61"/>
    </row>
    <row r="62" spans="1:9" ht="12.75" thickTop="1" thickBot="1" x14ac:dyDescent="0.25">
      <c r="A62" s="29" t="s">
        <v>174</v>
      </c>
      <c r="B62" s="6"/>
      <c r="C62" s="130">
        <f>SUM(C57:C61)</f>
        <v>2061201.7</v>
      </c>
      <c r="D62" s="130">
        <f>SUM(D57:D61)</f>
        <v>132511.66</v>
      </c>
      <c r="E62" s="130">
        <f>SUM(E57:E61)</f>
        <v>25963.86</v>
      </c>
      <c r="F62" s="130">
        <f>SUM(F57:F61)</f>
        <v>0</v>
      </c>
      <c r="G62" s="130">
        <f>SUM(G57:G61)</f>
        <v>-14645.13</v>
      </c>
      <c r="H62" s="124">
        <f t="shared" si="3"/>
        <v>2205032.09</v>
      </c>
      <c r="I62"/>
    </row>
    <row r="63" spans="1:9" ht="12" thickTop="1" x14ac:dyDescent="0.2">
      <c r="A63" s="29" t="s">
        <v>175</v>
      </c>
      <c r="B63" s="6"/>
      <c r="C63" s="22">
        <f>C56+C62</f>
        <v>23120170.699999999</v>
      </c>
      <c r="D63" s="22">
        <f>D56+D62</f>
        <v>132511.66</v>
      </c>
      <c r="E63" s="22">
        <f>E56+E62</f>
        <v>25963.86</v>
      </c>
      <c r="F63" s="22">
        <f>F56+F62</f>
        <v>0</v>
      </c>
      <c r="G63" s="22">
        <f>G56+G62</f>
        <v>-14645.13</v>
      </c>
      <c r="H63" s="124">
        <f t="shared" si="3"/>
        <v>23264001.09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2723455.38</v>
      </c>
      <c r="D66" s="24" t="s">
        <v>288</v>
      </c>
      <c r="E66" s="24" t="s">
        <v>288</v>
      </c>
      <c r="F66" s="24" t="s">
        <v>288</v>
      </c>
      <c r="G66" s="24" t="s">
        <v>288</v>
      </c>
      <c r="H66" s="124">
        <f t="shared" ref="H66:H81" si="4">SUM(C66:G66)</f>
        <v>2723455.38</v>
      </c>
      <c r="I66"/>
    </row>
    <row r="67" spans="1:9" x14ac:dyDescent="0.2">
      <c r="A67" s="1" t="s">
        <v>770</v>
      </c>
      <c r="B67" s="6">
        <v>3112</v>
      </c>
      <c r="C67" s="95">
        <f>'DOE25'!F118</f>
        <v>2477298</v>
      </c>
      <c r="D67" s="24"/>
      <c r="E67" s="24"/>
      <c r="F67" s="24"/>
      <c r="G67" s="24"/>
      <c r="H67" s="124">
        <f t="shared" si="4"/>
        <v>2477298</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3990.42</v>
      </c>
      <c r="D69" s="95">
        <f>'DOE25'!G120</f>
        <v>0</v>
      </c>
      <c r="E69" s="95">
        <f>'DOE25'!H120</f>
        <v>0</v>
      </c>
      <c r="F69" s="95">
        <f>'DOE25'!I120</f>
        <v>0</v>
      </c>
      <c r="G69" s="95">
        <f>'DOE25'!J120</f>
        <v>0</v>
      </c>
      <c r="H69" s="124">
        <f t="shared" si="4"/>
        <v>3990.42</v>
      </c>
      <c r="I69"/>
    </row>
    <row r="70" spans="1:9" ht="12" thickTop="1" x14ac:dyDescent="0.2">
      <c r="A70" s="29" t="s">
        <v>252</v>
      </c>
      <c r="B70" s="2"/>
      <c r="C70" s="139">
        <f>SUM(C66:C69)</f>
        <v>5204743.8</v>
      </c>
      <c r="D70" s="139">
        <f>D69</f>
        <v>0</v>
      </c>
      <c r="E70" s="139">
        <f>E69</f>
        <v>0</v>
      </c>
      <c r="F70" s="139">
        <f>F69</f>
        <v>0</v>
      </c>
      <c r="G70" s="139">
        <f>G69</f>
        <v>0</v>
      </c>
      <c r="H70" s="124">
        <f t="shared" si="4"/>
        <v>5204743.8</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137915.70000000001</v>
      </c>
      <c r="D72" s="24" t="s">
        <v>288</v>
      </c>
      <c r="E72" s="24" t="s">
        <v>288</v>
      </c>
      <c r="F72" s="95">
        <f>'DOE25'!I123</f>
        <v>0</v>
      </c>
      <c r="G72" s="24" t="s">
        <v>288</v>
      </c>
      <c r="H72" s="124">
        <f t="shared" si="4"/>
        <v>137915.70000000001</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248714.52</v>
      </c>
      <c r="D75" s="24" t="s">
        <v>288</v>
      </c>
      <c r="E75" s="24" t="s">
        <v>288</v>
      </c>
      <c r="F75" s="24" t="s">
        <v>288</v>
      </c>
      <c r="G75" s="24" t="s">
        <v>288</v>
      </c>
      <c r="H75" s="124">
        <f t="shared" si="4"/>
        <v>248714.52</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8670.8700000000008</v>
      </c>
      <c r="E77" s="95">
        <f>SUM('DOE25'!H131:H135)</f>
        <v>0</v>
      </c>
      <c r="F77" s="95">
        <f>SUM('DOE25'!I131:I135)</f>
        <v>0</v>
      </c>
      <c r="G77" s="95">
        <f>SUM('DOE25'!J131:J135)</f>
        <v>0</v>
      </c>
      <c r="H77" s="124">
        <f t="shared" si="4"/>
        <v>8670.8700000000008</v>
      </c>
      <c r="I77"/>
    </row>
    <row r="78" spans="1:9" ht="12.75" thickTop="1" thickBot="1" x14ac:dyDescent="0.25">
      <c r="A78" s="29" t="s">
        <v>259</v>
      </c>
      <c r="B78" s="6"/>
      <c r="C78" s="130">
        <f>SUM(C72:C77)</f>
        <v>386630.22</v>
      </c>
      <c r="D78" s="130">
        <f>SUM(D72:D77)</f>
        <v>8670.8700000000008</v>
      </c>
      <c r="E78" s="130">
        <f>SUM(E72:E77)</f>
        <v>0</v>
      </c>
      <c r="F78" s="130">
        <f>SUM(F72:F77)</f>
        <v>0</v>
      </c>
      <c r="G78" s="130">
        <f>SUM(G72:G77)</f>
        <v>0</v>
      </c>
      <c r="H78" s="124">
        <f t="shared" si="4"/>
        <v>395301.08999999997</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5591374.0199999996</v>
      </c>
      <c r="D81" s="130">
        <f>SUM(D79:D80)+D78+D70</f>
        <v>8670.8700000000008</v>
      </c>
      <c r="E81" s="130">
        <f>SUM(E79:E80)+E78+E70</f>
        <v>0</v>
      </c>
      <c r="F81" s="130">
        <f>SUM(F79:F80)+F78+F70</f>
        <v>0</v>
      </c>
      <c r="G81" s="130">
        <f>SUM(G79:G80)+G78+G70</f>
        <v>0</v>
      </c>
      <c r="H81" s="130">
        <f t="shared" si="4"/>
        <v>5600044.8899999997</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227888.12</v>
      </c>
      <c r="D88" s="326">
        <f>SUM('DOE25'!G153:G162)</f>
        <v>791102.99</v>
      </c>
      <c r="E88" s="326">
        <f>SUM('DOE25'!H153:H162)</f>
        <v>671306.98</v>
      </c>
      <c r="F88" s="326">
        <f>SUM('DOE25'!I153:I162)</f>
        <v>0</v>
      </c>
      <c r="G88" s="24" t="s">
        <v>288</v>
      </c>
      <c r="H88" s="124">
        <f t="shared" si="5"/>
        <v>1690298.0899999999</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227888.12</v>
      </c>
      <c r="D91" s="131">
        <f>SUM(D85:D90)</f>
        <v>791102.99</v>
      </c>
      <c r="E91" s="131">
        <f>SUM(E85:E90)</f>
        <v>671306.98</v>
      </c>
      <c r="F91" s="131">
        <f>SUM(F85:F90)</f>
        <v>0</v>
      </c>
      <c r="G91" s="24" t="s">
        <v>288</v>
      </c>
      <c r="H91" s="124">
        <f t="shared" si="5"/>
        <v>1690298.0899999999</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500000</v>
      </c>
      <c r="H96" s="124">
        <f t="shared" si="5"/>
        <v>500000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500000</v>
      </c>
      <c r="H103" s="86">
        <f t="shared" si="5"/>
        <v>500000</v>
      </c>
    </row>
    <row r="104" spans="1:8" ht="12.75" thickTop="1" thickBot="1" x14ac:dyDescent="0.25">
      <c r="A104" s="33" t="s">
        <v>761</v>
      </c>
      <c r="C104" s="86">
        <f>C63+C81+C91+C103</f>
        <v>28939432.84</v>
      </c>
      <c r="D104" s="86">
        <f>D63+D81+D91+D103</f>
        <v>932285.52</v>
      </c>
      <c r="E104" s="86">
        <f>E63+E81+E91+E103</f>
        <v>697270.84</v>
      </c>
      <c r="F104" s="86">
        <f>F63+F81+F91+F103</f>
        <v>0</v>
      </c>
      <c r="G104" s="86">
        <f>G63+G81+G103</f>
        <v>485354.87</v>
      </c>
      <c r="H104" s="86">
        <f t="shared" si="5"/>
        <v>31054344.07</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12332586.690000001</v>
      </c>
      <c r="D109" s="24" t="s">
        <v>288</v>
      </c>
      <c r="E109" s="95">
        <f>('DOE25'!L277)+('DOE25'!L296)+('DOE25'!L315)</f>
        <v>238105.7</v>
      </c>
      <c r="F109" s="24" t="s">
        <v>288</v>
      </c>
      <c r="G109" s="24" t="s">
        <v>288</v>
      </c>
      <c r="H109" s="124">
        <f t="shared" ref="H109:H115" si="6">SUM(C109:G109)</f>
        <v>12570692.390000001</v>
      </c>
    </row>
    <row r="110" spans="1:8" x14ac:dyDescent="0.2">
      <c r="A110" t="s">
        <v>198</v>
      </c>
      <c r="B110" s="32" t="s">
        <v>199</v>
      </c>
      <c r="C110" s="95">
        <f>('DOE25'!L199)+('DOE25'!L217)+('DOE25'!L235)</f>
        <v>5890714.8099999987</v>
      </c>
      <c r="D110" s="24" t="s">
        <v>288</v>
      </c>
      <c r="E110" s="95">
        <f>('DOE25'!L278)+('DOE25'!L297)+('DOE25'!L316)</f>
        <v>90556.36</v>
      </c>
      <c r="F110" s="24" t="s">
        <v>288</v>
      </c>
      <c r="G110" s="24" t="s">
        <v>288</v>
      </c>
      <c r="H110" s="124">
        <f t="shared" si="6"/>
        <v>5981271.169999999</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231571.31</v>
      </c>
      <c r="D112" s="24" t="s">
        <v>288</v>
      </c>
      <c r="E112" s="95">
        <f>+('DOE25'!L280)+('DOE25'!L299)+('DOE25'!L318)</f>
        <v>61619.11</v>
      </c>
      <c r="F112" s="24" t="s">
        <v>288</v>
      </c>
      <c r="G112" s="24" t="s">
        <v>288</v>
      </c>
      <c r="H112" s="124">
        <f t="shared" si="6"/>
        <v>293190.42</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18454872.809999999</v>
      </c>
      <c r="D115" s="86">
        <f>SUM(D109:D114)</f>
        <v>0</v>
      </c>
      <c r="E115" s="86">
        <f>SUM(E109:E114)</f>
        <v>390281.17</v>
      </c>
      <c r="F115" s="86">
        <f>SUM(F109:F114)</f>
        <v>0</v>
      </c>
      <c r="G115" s="86">
        <f>SUM(G109:G114)</f>
        <v>0</v>
      </c>
      <c r="H115" s="86">
        <f t="shared" si="6"/>
        <v>18845153.98</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3590890.08</v>
      </c>
      <c r="D118" s="24" t="s">
        <v>288</v>
      </c>
      <c r="E118" s="95">
        <f>+('DOE25'!L282)+('DOE25'!L301)+('DOE25'!L320)</f>
        <v>211662.7</v>
      </c>
      <c r="F118" s="24" t="s">
        <v>288</v>
      </c>
      <c r="G118" s="24" t="s">
        <v>288</v>
      </c>
      <c r="H118" s="124">
        <f t="shared" ref="H118:H145" si="7">SUM(C118:G118)</f>
        <v>3802552.7800000003</v>
      </c>
    </row>
    <row r="119" spans="1:8" x14ac:dyDescent="0.2">
      <c r="A119" t="s">
        <v>208</v>
      </c>
      <c r="B119" s="32" t="s">
        <v>209</v>
      </c>
      <c r="C119" s="95">
        <f>('DOE25'!L204)+('DOE25'!L222)+('DOE25'!L240)</f>
        <v>518074.35</v>
      </c>
      <c r="D119" s="24" t="s">
        <v>288</v>
      </c>
      <c r="E119" s="95">
        <f>+('DOE25'!L283)+('DOE25'!L302)+('DOE25'!L321)</f>
        <v>76059.149999999994</v>
      </c>
      <c r="F119" s="24" t="s">
        <v>288</v>
      </c>
      <c r="G119" s="24" t="s">
        <v>288</v>
      </c>
      <c r="H119" s="124">
        <f t="shared" si="7"/>
        <v>594133.5</v>
      </c>
    </row>
    <row r="120" spans="1:8" x14ac:dyDescent="0.2">
      <c r="A120" t="s">
        <v>210</v>
      </c>
      <c r="B120" s="32" t="s">
        <v>211</v>
      </c>
      <c r="C120" s="95">
        <f>('DOE25'!L205)+('DOE25'!L223)+('DOE25'!L241)</f>
        <v>1799215.11</v>
      </c>
      <c r="D120" s="24" t="s">
        <v>288</v>
      </c>
      <c r="E120" s="95">
        <f>+('DOE25'!L284)+('DOE25'!L303)+('DOE25'!L322)</f>
        <v>0</v>
      </c>
      <c r="F120" s="24" t="s">
        <v>288</v>
      </c>
      <c r="G120" s="24" t="s">
        <v>288</v>
      </c>
      <c r="H120" s="124">
        <f t="shared" si="7"/>
        <v>1799215.11</v>
      </c>
    </row>
    <row r="121" spans="1:8" x14ac:dyDescent="0.2">
      <c r="A121" t="s">
        <v>212</v>
      </c>
      <c r="B121" s="32" t="s">
        <v>213</v>
      </c>
      <c r="C121" s="95">
        <f>('DOE25'!L206)+('DOE25'!L224)+('DOE25'!L242)</f>
        <v>1536582.24</v>
      </c>
      <c r="D121" s="24" t="s">
        <v>288</v>
      </c>
      <c r="E121" s="95">
        <f>+('DOE25'!L285)+('DOE25'!L304)+('DOE25'!L323)</f>
        <v>4040.28</v>
      </c>
      <c r="F121" s="24" t="s">
        <v>288</v>
      </c>
      <c r="G121" s="24" t="s">
        <v>288</v>
      </c>
      <c r="H121" s="124">
        <f t="shared" si="7"/>
        <v>1540622.52</v>
      </c>
    </row>
    <row r="122" spans="1:8" x14ac:dyDescent="0.2">
      <c r="A122" t="s">
        <v>214</v>
      </c>
      <c r="B122" s="32" t="s">
        <v>215</v>
      </c>
      <c r="C122" s="95">
        <f>('DOE25'!L207)+('DOE25'!L225)+('DOE25'!L243)</f>
        <v>321.96000000000004</v>
      </c>
      <c r="D122" s="24" t="s">
        <v>288</v>
      </c>
      <c r="E122" s="95">
        <f>+('DOE25'!L286)+('DOE25'!L305)+('DOE25'!L324)</f>
        <v>0</v>
      </c>
      <c r="F122" s="24" t="s">
        <v>288</v>
      </c>
      <c r="G122" s="24" t="s">
        <v>288</v>
      </c>
      <c r="H122" s="124">
        <f t="shared" si="7"/>
        <v>321.96000000000004</v>
      </c>
    </row>
    <row r="123" spans="1:8" x14ac:dyDescent="0.2">
      <c r="A123" t="s">
        <v>216</v>
      </c>
      <c r="B123" s="32" t="s">
        <v>217</v>
      </c>
      <c r="C123" s="95">
        <f>('DOE25'!L208)+('DOE25'!L226)+('DOE25'!L244)</f>
        <v>1945809.9199999999</v>
      </c>
      <c r="D123" s="24" t="s">
        <v>288</v>
      </c>
      <c r="E123" s="95">
        <f>+('DOE25'!L287)+('DOE25'!L306)+('DOE25'!L325)</f>
        <v>12854.65</v>
      </c>
      <c r="F123" s="24" t="s">
        <v>288</v>
      </c>
      <c r="G123" s="24" t="s">
        <v>288</v>
      </c>
      <c r="H123" s="124">
        <f t="shared" si="7"/>
        <v>1958664.5699999998</v>
      </c>
    </row>
    <row r="124" spans="1:8" x14ac:dyDescent="0.2">
      <c r="A124" t="s">
        <v>218</v>
      </c>
      <c r="B124" s="32" t="s">
        <v>219</v>
      </c>
      <c r="C124" s="95">
        <f>('DOE25'!L209)+('DOE25'!L227)+('DOE25'!L245+'DOE25'!L255)</f>
        <v>939733.9</v>
      </c>
      <c r="D124" s="24" t="s">
        <v>288</v>
      </c>
      <c r="E124" s="95">
        <f>+('DOE25'!L288)+('DOE25'!L307)+('DOE25'!L326)</f>
        <v>0</v>
      </c>
      <c r="F124" s="24" t="s">
        <v>288</v>
      </c>
      <c r="G124" s="24" t="s">
        <v>288</v>
      </c>
      <c r="H124" s="124">
        <f t="shared" si="7"/>
        <v>939733.9</v>
      </c>
    </row>
    <row r="125" spans="1:8" x14ac:dyDescent="0.2">
      <c r="A125" t="s">
        <v>220</v>
      </c>
      <c r="B125" s="32" t="s">
        <v>221</v>
      </c>
      <c r="C125" s="95">
        <f>('DOE25'!L210)+('DOE25'!L228)+('DOE25'!L246)</f>
        <v>404378.85</v>
      </c>
      <c r="D125" s="24" t="s">
        <v>288</v>
      </c>
      <c r="E125" s="95">
        <f>+('DOE25'!L289)+('DOE25'!L308)+('DOE25'!L327)</f>
        <v>0</v>
      </c>
      <c r="F125" s="24" t="s">
        <v>288</v>
      </c>
      <c r="G125" s="24" t="s">
        <v>288</v>
      </c>
      <c r="H125" s="124">
        <f t="shared" si="7"/>
        <v>404378.85</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766245.45</v>
      </c>
      <c r="E127" s="24" t="s">
        <v>288</v>
      </c>
      <c r="F127" s="24" t="s">
        <v>288</v>
      </c>
      <c r="G127" s="24" t="s">
        <v>288</v>
      </c>
      <c r="H127" s="124">
        <f t="shared" si="7"/>
        <v>766245.45</v>
      </c>
    </row>
    <row r="128" spans="1:8" ht="12.75" thickTop="1" thickBot="1" x14ac:dyDescent="0.25">
      <c r="A128" s="33" t="s">
        <v>226</v>
      </c>
      <c r="C128" s="86">
        <f>SUM(C118:C127)</f>
        <v>10735006.41</v>
      </c>
      <c r="D128" s="86">
        <f>SUM(D118:D127)</f>
        <v>766245.45</v>
      </c>
      <c r="E128" s="86">
        <f>SUM(E118:E127)</f>
        <v>304616.78000000003</v>
      </c>
      <c r="F128" s="86">
        <f>SUM(F118:F127)</f>
        <v>0</v>
      </c>
      <c r="G128" s="86">
        <f>SUM(G118:G127)</f>
        <v>0</v>
      </c>
      <c r="H128" s="86">
        <f t="shared" si="7"/>
        <v>11805868.639999999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25000</v>
      </c>
      <c r="D130" s="24" t="s">
        <v>288</v>
      </c>
      <c r="E130" s="129">
        <f>'DOE25'!L337</f>
        <v>2372.89</v>
      </c>
      <c r="F130" s="129">
        <f>SUM('DOE25'!L375:'DOE25'!L381)</f>
        <v>0</v>
      </c>
      <c r="G130" s="24" t="s">
        <v>288</v>
      </c>
      <c r="H130" s="124">
        <f t="shared" si="7"/>
        <v>27372.89</v>
      </c>
    </row>
    <row r="131" spans="1:8" x14ac:dyDescent="0.2">
      <c r="A131" t="s">
        <v>229</v>
      </c>
      <c r="B131" s="32">
        <v>5110</v>
      </c>
      <c r="C131" s="95">
        <f>'DOE25'!L261</f>
        <v>370000</v>
      </c>
      <c r="D131" s="24" t="s">
        <v>288</v>
      </c>
      <c r="E131" s="129">
        <f>'DOE25'!L342</f>
        <v>0</v>
      </c>
      <c r="F131" s="24" t="s">
        <v>288</v>
      </c>
      <c r="G131" s="24" t="s">
        <v>288</v>
      </c>
      <c r="H131" s="124">
        <f t="shared" si="7"/>
        <v>370000</v>
      </c>
    </row>
    <row r="132" spans="1:8" x14ac:dyDescent="0.2">
      <c r="A132" t="s">
        <v>230</v>
      </c>
      <c r="B132" s="32">
        <v>5120</v>
      </c>
      <c r="C132" s="95">
        <f>'DOE25'!L262</f>
        <v>51275.13</v>
      </c>
      <c r="D132" s="24" t="s">
        <v>288</v>
      </c>
      <c r="E132" s="129">
        <f>'DOE25'!L343</f>
        <v>0</v>
      </c>
      <c r="F132" s="24" t="s">
        <v>288</v>
      </c>
      <c r="G132" s="24" t="s">
        <v>288</v>
      </c>
      <c r="H132" s="124">
        <f t="shared" si="7"/>
        <v>51275.13</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484171.61000000004</v>
      </c>
      <c r="D139" s="24" t="s">
        <v>288</v>
      </c>
      <c r="E139" s="24" t="s">
        <v>288</v>
      </c>
      <c r="F139" s="24" t="s">
        <v>288</v>
      </c>
      <c r="G139" s="24" t="s">
        <v>288</v>
      </c>
      <c r="H139" s="124">
        <f t="shared" si="7"/>
        <v>484171.61000000004</v>
      </c>
    </row>
    <row r="140" spans="1:8" x14ac:dyDescent="0.2">
      <c r="A140" t="s">
        <v>240</v>
      </c>
      <c r="B140" s="32">
        <v>5253</v>
      </c>
      <c r="C140" s="95">
        <f>'DOE25'!L408</f>
        <v>1183.26</v>
      </c>
      <c r="D140" s="24" t="s">
        <v>288</v>
      </c>
      <c r="E140" s="24" t="s">
        <v>288</v>
      </c>
      <c r="F140" s="24" t="s">
        <v>288</v>
      </c>
      <c r="G140" s="24" t="s">
        <v>288</v>
      </c>
      <c r="H140" s="124">
        <f t="shared" si="7"/>
        <v>1183.26</v>
      </c>
    </row>
    <row r="141" spans="1:8" x14ac:dyDescent="0.2">
      <c r="A141" t="s">
        <v>762</v>
      </c>
      <c r="B141" s="32">
        <v>5254</v>
      </c>
      <c r="C141" s="95">
        <f>('DOE25'!L267+'DOE25'!K348) - (C138+C139+C140)</f>
        <v>14645.129999999946</v>
      </c>
      <c r="D141" s="24" t="s">
        <v>288</v>
      </c>
      <c r="E141" s="24" t="s">
        <v>288</v>
      </c>
      <c r="F141" s="24" t="s">
        <v>288</v>
      </c>
      <c r="G141" s="24" t="s">
        <v>288</v>
      </c>
      <c r="H141" s="124">
        <f t="shared" si="7"/>
        <v>14645.129999999946</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946275.12999999989</v>
      </c>
      <c r="D144" s="141">
        <f>SUM(D130:D143)</f>
        <v>0</v>
      </c>
      <c r="E144" s="141">
        <f>SUM(E130:E143)</f>
        <v>2372.89</v>
      </c>
      <c r="F144" s="141">
        <f>SUM(F130:F143)</f>
        <v>0</v>
      </c>
      <c r="G144" s="141">
        <f>SUM(G130:G143)</f>
        <v>0</v>
      </c>
      <c r="H144" s="141">
        <f t="shared" si="7"/>
        <v>948648.0199999999</v>
      </c>
    </row>
    <row r="145" spans="1:9" ht="12.75" thickTop="1" thickBot="1" x14ac:dyDescent="0.25">
      <c r="A145" s="33" t="s">
        <v>244</v>
      </c>
      <c r="C145" s="86">
        <f>(C115+C128+C144)</f>
        <v>30136154.349999998</v>
      </c>
      <c r="D145" s="86">
        <f>(D115+D128+D144)</f>
        <v>766245.45</v>
      </c>
      <c r="E145" s="86">
        <f>(E115+E128+E144)</f>
        <v>697270.84</v>
      </c>
      <c r="F145" s="86">
        <f>(F115+F128+F144)</f>
        <v>0</v>
      </c>
      <c r="G145" s="86">
        <f>(G115+G128+G144)</f>
        <v>0</v>
      </c>
      <c r="H145" s="86">
        <f t="shared" si="7"/>
        <v>31599670.639999997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20</v>
      </c>
      <c r="D151" s="153">
        <f>'DOE25'!H491</f>
        <v>0</v>
      </c>
      <c r="E151" s="153">
        <f>'DOE25'!I491</f>
        <v>0</v>
      </c>
      <c r="F151" s="153">
        <f>'DOE25'!J491</f>
        <v>0</v>
      </c>
      <c r="G151" s="24" t="s">
        <v>288</v>
      </c>
    </row>
    <row r="152" spans="1:9" x14ac:dyDescent="0.2">
      <c r="A152" s="136" t="s">
        <v>28</v>
      </c>
      <c r="B152" s="152" t="str">
        <f>'DOE25'!F492</f>
        <v>12/11</v>
      </c>
      <c r="C152" s="152" t="str">
        <f>'DOE25'!G492</f>
        <v>07/08</v>
      </c>
      <c r="D152" s="152">
        <f>'DOE25'!H492</f>
        <v>0</v>
      </c>
      <c r="E152" s="152">
        <f>'DOE25'!I492</f>
        <v>0</v>
      </c>
      <c r="F152" s="152">
        <f>'DOE25'!J492</f>
        <v>0</v>
      </c>
      <c r="G152" s="24" t="s">
        <v>288</v>
      </c>
    </row>
    <row r="153" spans="1:9" x14ac:dyDescent="0.2">
      <c r="A153" s="136" t="s">
        <v>29</v>
      </c>
      <c r="B153" s="152" t="str">
        <f>'DOE25'!F493</f>
        <v>7/21</v>
      </c>
      <c r="C153" s="152" t="str">
        <f>'DOE25'!G493</f>
        <v>8/28</v>
      </c>
      <c r="D153" s="152">
        <f>'DOE25'!H493</f>
        <v>0</v>
      </c>
      <c r="E153" s="152">
        <f>'DOE25'!I493</f>
        <v>0</v>
      </c>
      <c r="F153" s="152">
        <f>'DOE25'!J493</f>
        <v>0</v>
      </c>
      <c r="G153" s="24" t="s">
        <v>288</v>
      </c>
    </row>
    <row r="154" spans="1:9" x14ac:dyDescent="0.2">
      <c r="A154" s="136" t="s">
        <v>30</v>
      </c>
      <c r="B154" s="137">
        <f>'DOE25'!F494</f>
        <v>1717000</v>
      </c>
      <c r="C154" s="137">
        <f>'DOE25'!G494</f>
        <v>3883620</v>
      </c>
      <c r="D154" s="137">
        <f>'DOE25'!H494</f>
        <v>0</v>
      </c>
      <c r="E154" s="137">
        <f>'DOE25'!I494</f>
        <v>0</v>
      </c>
      <c r="F154" s="137">
        <f>'DOE25'!J494</f>
        <v>0</v>
      </c>
      <c r="G154" s="24" t="s">
        <v>288</v>
      </c>
    </row>
    <row r="155" spans="1:9" x14ac:dyDescent="0.2">
      <c r="A155" s="136" t="s">
        <v>31</v>
      </c>
      <c r="B155" s="137">
        <f>'DOE25'!F495</f>
        <v>1.62</v>
      </c>
      <c r="C155" s="137">
        <f>'DOE25'!G495</f>
        <v>4.24</v>
      </c>
      <c r="D155" s="137">
        <f>'DOE25'!H495</f>
        <v>0</v>
      </c>
      <c r="E155" s="137">
        <f>'DOE25'!I495</f>
        <v>0</v>
      </c>
      <c r="F155" s="137">
        <f>'DOE25'!J495</f>
        <v>0</v>
      </c>
      <c r="G155" s="24" t="s">
        <v>288</v>
      </c>
    </row>
    <row r="156" spans="1:9" x14ac:dyDescent="0.2">
      <c r="A156" s="22" t="s">
        <v>32</v>
      </c>
      <c r="B156" s="137">
        <f>'DOE25'!F496</f>
        <v>175000</v>
      </c>
      <c r="C156" s="137">
        <f>'DOE25'!G496</f>
        <v>1545000</v>
      </c>
      <c r="D156" s="137">
        <f>'DOE25'!H496</f>
        <v>0</v>
      </c>
      <c r="E156" s="137">
        <f>'DOE25'!I496</f>
        <v>0</v>
      </c>
      <c r="F156" s="137">
        <f>'DOE25'!J496</f>
        <v>0</v>
      </c>
      <c r="G156" s="138">
        <f>SUM(B156:F156)</f>
        <v>1720000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175000</v>
      </c>
      <c r="C158" s="137">
        <f>'DOE25'!G498</f>
        <v>195000</v>
      </c>
      <c r="D158" s="137">
        <f>'DOE25'!H498</f>
        <v>0</v>
      </c>
      <c r="E158" s="137">
        <f>'DOE25'!I498</f>
        <v>0</v>
      </c>
      <c r="F158" s="137">
        <f>'DOE25'!J498</f>
        <v>0</v>
      </c>
      <c r="G158" s="138">
        <f t="shared" si="8"/>
        <v>370000</v>
      </c>
    </row>
    <row r="159" spans="1:9" x14ac:dyDescent="0.2">
      <c r="A159" s="22" t="s">
        <v>35</v>
      </c>
      <c r="B159" s="137">
        <f>'DOE25'!F499</f>
        <v>0</v>
      </c>
      <c r="C159" s="137">
        <f>'DOE25'!G499</f>
        <v>1350000</v>
      </c>
      <c r="D159" s="137">
        <f>'DOE25'!H499</f>
        <v>0</v>
      </c>
      <c r="E159" s="137">
        <f>'DOE25'!I499</f>
        <v>0</v>
      </c>
      <c r="F159" s="137">
        <f>'DOE25'!J499</f>
        <v>0</v>
      </c>
      <c r="G159" s="138">
        <f t="shared" si="8"/>
        <v>1350000</v>
      </c>
    </row>
    <row r="160" spans="1:9" x14ac:dyDescent="0.2">
      <c r="A160" s="22" t="s">
        <v>36</v>
      </c>
      <c r="B160" s="137">
        <f>'DOE25'!F500</f>
        <v>0</v>
      </c>
      <c r="C160" s="137">
        <f>'DOE25'!G500</f>
        <v>122815.41</v>
      </c>
      <c r="D160" s="137">
        <f>'DOE25'!H500</f>
        <v>0</v>
      </c>
      <c r="E160" s="137">
        <f>'DOE25'!I500</f>
        <v>0</v>
      </c>
      <c r="F160" s="137">
        <f>'DOE25'!J500</f>
        <v>0</v>
      </c>
      <c r="G160" s="138">
        <f t="shared" si="8"/>
        <v>122815.41</v>
      </c>
    </row>
    <row r="161" spans="1:7" x14ac:dyDescent="0.2">
      <c r="A161" s="22" t="s">
        <v>37</v>
      </c>
      <c r="B161" s="137">
        <f>'DOE25'!F501</f>
        <v>0</v>
      </c>
      <c r="C161" s="137">
        <f>'DOE25'!G501</f>
        <v>1472815.41</v>
      </c>
      <c r="D161" s="137">
        <f>'DOE25'!H501</f>
        <v>0</v>
      </c>
      <c r="E161" s="137">
        <f>'DOE25'!I501</f>
        <v>0</v>
      </c>
      <c r="F161" s="137">
        <f>'DOE25'!J501</f>
        <v>0</v>
      </c>
      <c r="G161" s="138">
        <f t="shared" si="8"/>
        <v>1472815.41</v>
      </c>
    </row>
    <row r="162" spans="1:7" x14ac:dyDescent="0.2">
      <c r="A162" s="22" t="s">
        <v>38</v>
      </c>
      <c r="B162" s="137">
        <f>'DOE25'!F502</f>
        <v>0</v>
      </c>
      <c r="C162" s="137">
        <f>'DOE25'!G502</f>
        <v>195000</v>
      </c>
      <c r="D162" s="137">
        <f>'DOE25'!H502</f>
        <v>0</v>
      </c>
      <c r="E162" s="137">
        <f>'DOE25'!I502</f>
        <v>0</v>
      </c>
      <c r="F162" s="137">
        <f>'DOE25'!J502</f>
        <v>0</v>
      </c>
      <c r="G162" s="138">
        <f t="shared" si="8"/>
        <v>195000</v>
      </c>
    </row>
    <row r="163" spans="1:7" x14ac:dyDescent="0.2">
      <c r="A163" s="22" t="s">
        <v>39</v>
      </c>
      <c r="B163" s="137">
        <f>'DOE25'!F503</f>
        <v>0</v>
      </c>
      <c r="C163" s="137">
        <f>'DOE25'!G503</f>
        <v>40484.51</v>
      </c>
      <c r="D163" s="137">
        <f>'DOE25'!H503</f>
        <v>0</v>
      </c>
      <c r="E163" s="137">
        <f>'DOE25'!I503</f>
        <v>0</v>
      </c>
      <c r="F163" s="137">
        <f>'DOE25'!J503</f>
        <v>0</v>
      </c>
      <c r="G163" s="138">
        <f t="shared" si="8"/>
        <v>40484.51</v>
      </c>
    </row>
    <row r="164" spans="1:7" x14ac:dyDescent="0.2">
      <c r="A164" s="22" t="s">
        <v>246</v>
      </c>
      <c r="B164" s="137">
        <f>'DOE25'!F504</f>
        <v>0</v>
      </c>
      <c r="C164" s="137">
        <f>'DOE25'!G504</f>
        <v>235484.51</v>
      </c>
      <c r="D164" s="137">
        <f>'DOE25'!H504</f>
        <v>0</v>
      </c>
      <c r="E164" s="137">
        <f>'DOE25'!I504</f>
        <v>0</v>
      </c>
      <c r="F164" s="137">
        <f>'DOE25'!J504</f>
        <v>0</v>
      </c>
      <c r="G164" s="138">
        <f t="shared" si="8"/>
        <v>235484.51</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&amp;A</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Amherst</v>
      </c>
    </row>
    <row r="3" spans="1:4" x14ac:dyDescent="0.2">
      <c r="B3" s="187" t="s">
        <v>1799</v>
      </c>
    </row>
    <row r="4" spans="1:4" x14ac:dyDescent="0.2">
      <c r="B4" t="s">
        <v>61</v>
      </c>
      <c r="C4" s="178">
        <f>IF('DOE25'!F666+'DOE25'!F671=0,0,ROUND('DOE25'!F673,0))</f>
        <v>22205</v>
      </c>
    </row>
    <row r="5" spans="1:4" x14ac:dyDescent="0.2">
      <c r="B5" t="s">
        <v>700</v>
      </c>
      <c r="C5" s="178">
        <f>IF('DOE25'!G666+'DOE25'!G671=0,0,ROUND('DOE25'!G673,0))</f>
        <v>22383</v>
      </c>
    </row>
    <row r="6" spans="1:4" x14ac:dyDescent="0.2">
      <c r="B6" t="s">
        <v>62</v>
      </c>
      <c r="C6" s="178">
        <f>IF('DOE25'!H666+'DOE25'!H671=0,0,ROUND('DOE25'!H673,0))</f>
        <v>0</v>
      </c>
    </row>
    <row r="7" spans="1:4" x14ac:dyDescent="0.2">
      <c r="B7" t="s">
        <v>701</v>
      </c>
      <c r="C7" s="178">
        <f>IF('DOE25'!I666+'DOE25'!I671=0,0,ROUND('DOE25'!I673,0))</f>
        <v>22293</v>
      </c>
    </row>
    <row r="9" spans="1:4" x14ac:dyDescent="0.2">
      <c r="A9" s="186" t="s">
        <v>94</v>
      </c>
      <c r="B9" s="187" t="s">
        <v>1800</v>
      </c>
      <c r="C9" s="180" t="s">
        <v>720</v>
      </c>
      <c r="D9" s="180" t="s">
        <v>721</v>
      </c>
    </row>
    <row r="10" spans="1:4" x14ac:dyDescent="0.2">
      <c r="A10">
        <v>1100</v>
      </c>
      <c r="B10" t="s">
        <v>702</v>
      </c>
      <c r="C10" s="178">
        <f>ROUND('DOE25'!L198+'DOE25'!L216+'DOE25'!L234+'DOE25'!L277+'DOE25'!L296+'DOE25'!L315,0)</f>
        <v>12570692</v>
      </c>
      <c r="D10" s="181">
        <f>ROUND((C10/$C$28)*100,1)</f>
        <v>41.1</v>
      </c>
    </row>
    <row r="11" spans="1:4" x14ac:dyDescent="0.2">
      <c r="A11">
        <v>1200</v>
      </c>
      <c r="B11" t="s">
        <v>703</v>
      </c>
      <c r="C11" s="178">
        <f>ROUND('DOE25'!L199+'DOE25'!L217+'DOE25'!L235+'DOE25'!L278+'DOE25'!L297+'DOE25'!L316,0)</f>
        <v>5981271</v>
      </c>
      <c r="D11" s="181">
        <f>ROUND((C11/$C$28)*100,1)</f>
        <v>19.600000000000001</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293190</v>
      </c>
      <c r="D13" s="181">
        <f>ROUND((C13/$C$28)*100,1)</f>
        <v>1</v>
      </c>
    </row>
    <row r="14" spans="1:4" x14ac:dyDescent="0.2">
      <c r="D14" s="181"/>
    </row>
    <row r="15" spans="1:4" x14ac:dyDescent="0.2">
      <c r="A15">
        <v>2100</v>
      </c>
      <c r="B15" t="s">
        <v>706</v>
      </c>
      <c r="C15" s="178">
        <f>ROUND('DOE25'!L203+'DOE25'!L221+'DOE25'!L239+'DOE25'!L282+'DOE25'!L301+'DOE25'!L320,0)</f>
        <v>3802553</v>
      </c>
      <c r="D15" s="181">
        <f t="shared" ref="D15:D27" si="0">ROUND((C15/$C$28)*100,1)</f>
        <v>12.4</v>
      </c>
    </row>
    <row r="16" spans="1:4" x14ac:dyDescent="0.2">
      <c r="A16">
        <v>2200</v>
      </c>
      <c r="B16" t="s">
        <v>707</v>
      </c>
      <c r="C16" s="178">
        <f>ROUND('DOE25'!L204+'DOE25'!L222+'DOE25'!L240+'DOE25'!L283+'DOE25'!L302+'DOE25'!L321,0)</f>
        <v>594134</v>
      </c>
      <c r="D16" s="181">
        <f t="shared" si="0"/>
        <v>1.9</v>
      </c>
    </row>
    <row r="17" spans="1:4" x14ac:dyDescent="0.2">
      <c r="A17" s="182" t="s">
        <v>723</v>
      </c>
      <c r="B17" t="s">
        <v>738</v>
      </c>
      <c r="C17" s="178">
        <f>ROUND('DOE25'!L205+'DOE25'!L210+'DOE25'!L223+'DOE25'!L228+'DOE25'!L241+'DOE25'!L246+'DOE25'!L284+'DOE25'!L289+'DOE25'!L303+'DOE25'!L308+'DOE25'!L322+'DOE25'!L327,0)</f>
        <v>2203594</v>
      </c>
      <c r="D17" s="181">
        <f t="shared" si="0"/>
        <v>7.2</v>
      </c>
    </row>
    <row r="18" spans="1:4" x14ac:dyDescent="0.2">
      <c r="A18">
        <v>2400</v>
      </c>
      <c r="B18" t="s">
        <v>711</v>
      </c>
      <c r="C18" s="178">
        <f>ROUND('DOE25'!L206+'DOE25'!L224+'DOE25'!L242+'DOE25'!L285+'DOE25'!L304+'DOE25'!L323,0)</f>
        <v>1540623</v>
      </c>
      <c r="D18" s="181">
        <f t="shared" si="0"/>
        <v>5</v>
      </c>
    </row>
    <row r="19" spans="1:4" x14ac:dyDescent="0.2">
      <c r="A19">
        <v>2500</v>
      </c>
      <c r="B19" t="s">
        <v>708</v>
      </c>
      <c r="C19" s="178">
        <f>ROUND('DOE25'!L207+'DOE25'!L225+'DOE25'!L243+'DOE25'!L286+'DOE25'!L305+'DOE25'!L324,0)</f>
        <v>322</v>
      </c>
      <c r="D19" s="181">
        <f t="shared" si="0"/>
        <v>0</v>
      </c>
    </row>
    <row r="20" spans="1:4" x14ac:dyDescent="0.2">
      <c r="A20">
        <v>2600</v>
      </c>
      <c r="B20" t="s">
        <v>709</v>
      </c>
      <c r="C20" s="178">
        <f>ROUND('DOE25'!L208+'DOE25'!L226+'DOE25'!L244+'DOE25'!L287+'DOE25'!L306+'DOE25'!L325,0)</f>
        <v>1958665</v>
      </c>
      <c r="D20" s="181">
        <f t="shared" si="0"/>
        <v>6.4</v>
      </c>
    </row>
    <row r="21" spans="1:4" x14ac:dyDescent="0.2">
      <c r="A21">
        <v>2700</v>
      </c>
      <c r="B21" t="s">
        <v>710</v>
      </c>
      <c r="C21" s="178">
        <f>ROUND('DOE25'!L209+'DOE25'!L227+'DOE25'!L245+'DOE25'!L288+'DOE25'!L307+'DOE25'!L326,0)</f>
        <v>939734</v>
      </c>
      <c r="D21" s="181">
        <f t="shared" si="0"/>
        <v>3.1</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51275</v>
      </c>
      <c r="D25" s="181">
        <f t="shared" si="0"/>
        <v>0.2</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633733.34</v>
      </c>
      <c r="D27" s="181">
        <f t="shared" si="0"/>
        <v>2.1</v>
      </c>
    </row>
    <row r="28" spans="1:4" x14ac:dyDescent="0.2">
      <c r="B28" s="186" t="s">
        <v>719</v>
      </c>
      <c r="C28" s="179">
        <f>SUM(C10:C27)</f>
        <v>30569786.34</v>
      </c>
      <c r="D28" s="183">
        <f>ROUND(SUM(D10:D27),0)</f>
        <v>100</v>
      </c>
    </row>
    <row r="29" spans="1:4" x14ac:dyDescent="0.2">
      <c r="A29">
        <v>4000</v>
      </c>
      <c r="B29" t="s">
        <v>724</v>
      </c>
      <c r="C29" s="178">
        <f>ROUND('DOE25'!L256+'DOE25'!L337+'DOE25'!L375+'DOE25'!L376+'DOE25'!L377+'DOE25'!L378+'DOE25'!L379+'DOE25'!L380+'DOE25'!L381,0)</f>
        <v>27373</v>
      </c>
    </row>
    <row r="30" spans="1:4" x14ac:dyDescent="0.2">
      <c r="B30" s="186" t="s">
        <v>725</v>
      </c>
      <c r="C30" s="179">
        <f>SUM(C28:C29)</f>
        <v>30597159.34</v>
      </c>
    </row>
    <row r="31" spans="1:4" x14ac:dyDescent="0.2">
      <c r="B31" s="33"/>
      <c r="C31" s="179"/>
    </row>
    <row r="32" spans="1:4" x14ac:dyDescent="0.2">
      <c r="A32">
        <v>5100</v>
      </c>
      <c r="B32" s="33" t="s">
        <v>726</v>
      </c>
      <c r="C32" s="179">
        <f>ROUND('DOE25'!L261+'DOE25'!L342,0)</f>
        <v>370000</v>
      </c>
    </row>
    <row r="34" spans="1:4" x14ac:dyDescent="0.2">
      <c r="A34" s="186" t="s">
        <v>94</v>
      </c>
      <c r="B34" s="187" t="s">
        <v>1801</v>
      </c>
      <c r="C34" s="180" t="s">
        <v>720</v>
      </c>
      <c r="D34" s="180" t="s">
        <v>721</v>
      </c>
    </row>
    <row r="35" spans="1:4" x14ac:dyDescent="0.2">
      <c r="A35">
        <v>1100</v>
      </c>
      <c r="B35" s="184" t="s">
        <v>727</v>
      </c>
      <c r="C35" s="178">
        <f>ROUND('DOE25'!F60+'DOE25'!G60+'DOE25'!H60+'DOE25'!I60+'DOE25'!J60,0)</f>
        <v>21058969</v>
      </c>
      <c r="D35" s="181">
        <f t="shared" ref="D35:D40" si="1">ROUND((C35/$C$41)*100,1)</f>
        <v>69.2</v>
      </c>
    </row>
    <row r="36" spans="1:4" x14ac:dyDescent="0.2">
      <c r="B36" s="184" t="s">
        <v>739</v>
      </c>
      <c r="C36" s="178">
        <f>SUM('DOE25'!F112:J112)-SUM('DOE25'!G97:G110)+('DOE25'!F175+'DOE25'!F176+'DOE25'!I175+'DOE25'!I176)-C35</f>
        <v>2072520.4299999997</v>
      </c>
      <c r="D36" s="181">
        <f t="shared" si="1"/>
        <v>6.8</v>
      </c>
    </row>
    <row r="37" spans="1:4" x14ac:dyDescent="0.2">
      <c r="A37" s="182" t="s">
        <v>835</v>
      </c>
      <c r="B37" s="184" t="s">
        <v>728</v>
      </c>
      <c r="C37" s="178">
        <f>ROUND('DOE25'!F117+'DOE25'!F118,0)</f>
        <v>5200753</v>
      </c>
      <c r="D37" s="181">
        <f t="shared" si="1"/>
        <v>17.100000000000001</v>
      </c>
    </row>
    <row r="38" spans="1:4" x14ac:dyDescent="0.2">
      <c r="A38" s="182" t="s">
        <v>734</v>
      </c>
      <c r="B38" s="184" t="s">
        <v>729</v>
      </c>
      <c r="C38" s="178">
        <f>ROUND(SUM('DOE25'!F140:J140)-SUM('DOE25'!F117:F119),0)</f>
        <v>399292</v>
      </c>
      <c r="D38" s="181">
        <f t="shared" si="1"/>
        <v>1.3</v>
      </c>
    </row>
    <row r="39" spans="1:4" x14ac:dyDescent="0.2">
      <c r="A39">
        <v>4000</v>
      </c>
      <c r="B39" s="184" t="s">
        <v>730</v>
      </c>
      <c r="C39" s="178">
        <f>ROUND('DOE25'!F170+'DOE25'!G170+'DOE25'!H170+'DOE25'!I170,0)</f>
        <v>1690298</v>
      </c>
      <c r="D39" s="181">
        <f t="shared" si="1"/>
        <v>5.6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30421832.43</v>
      </c>
      <c r="D41" s="183">
        <f>SUM(D35:D40)</f>
        <v>99.999999999999986</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&amp;A</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1" t="s">
        <v>766</v>
      </c>
      <c r="B1" s="392"/>
      <c r="C1" s="392"/>
      <c r="D1" s="392"/>
      <c r="E1" s="392"/>
      <c r="F1" s="392"/>
      <c r="G1" s="392"/>
      <c r="H1" s="392"/>
      <c r="I1" s="392"/>
      <c r="J1" s="212"/>
      <c r="K1" s="212"/>
      <c r="L1" s="212"/>
      <c r="M1" s="213"/>
    </row>
    <row r="2" spans="1:26" ht="12.75" x14ac:dyDescent="0.2">
      <c r="A2" s="397" t="s">
        <v>763</v>
      </c>
      <c r="B2" s="398"/>
      <c r="C2" s="398"/>
      <c r="D2" s="398"/>
      <c r="E2" s="398"/>
      <c r="F2" s="395" t="str">
        <f>'DOE25'!A2</f>
        <v>Amherst</v>
      </c>
      <c r="G2" s="396"/>
      <c r="H2" s="396"/>
      <c r="I2" s="396"/>
      <c r="J2" s="52"/>
      <c r="K2" s="52"/>
      <c r="L2" s="52"/>
      <c r="M2" s="214"/>
    </row>
    <row r="3" spans="1:26" x14ac:dyDescent="0.2">
      <c r="A3" s="215" t="s">
        <v>764</v>
      </c>
      <c r="B3" s="216" t="s">
        <v>765</v>
      </c>
      <c r="C3" s="393" t="s">
        <v>767</v>
      </c>
      <c r="D3" s="393"/>
      <c r="E3" s="393"/>
      <c r="F3" s="393"/>
      <c r="G3" s="393"/>
      <c r="H3" s="393"/>
      <c r="I3" s="393"/>
      <c r="J3" s="393"/>
      <c r="K3" s="393"/>
      <c r="L3" s="393"/>
      <c r="M3" s="394"/>
    </row>
    <row r="4" spans="1:26" x14ac:dyDescent="0.2">
      <c r="A4" s="217"/>
      <c r="B4" s="218"/>
      <c r="C4" s="389"/>
      <c r="D4" s="389"/>
      <c r="E4" s="389"/>
      <c r="F4" s="389"/>
      <c r="G4" s="389"/>
      <c r="H4" s="389"/>
      <c r="I4" s="389"/>
      <c r="J4" s="389"/>
      <c r="K4" s="389"/>
      <c r="L4" s="389"/>
      <c r="M4" s="390"/>
      <c r="N4" s="126"/>
      <c r="O4" s="126"/>
      <c r="P4" s="126"/>
      <c r="Q4" s="126"/>
      <c r="R4" s="126"/>
      <c r="S4" s="126"/>
      <c r="T4" s="126"/>
      <c r="U4" s="126"/>
      <c r="V4" s="126"/>
      <c r="W4" s="126"/>
      <c r="X4" s="126"/>
      <c r="Y4" s="126"/>
      <c r="Z4" s="126"/>
    </row>
    <row r="5" spans="1:26" x14ac:dyDescent="0.2">
      <c r="A5" s="217"/>
      <c r="B5" s="218"/>
      <c r="C5" s="389"/>
      <c r="D5" s="389"/>
      <c r="E5" s="389"/>
      <c r="F5" s="389"/>
      <c r="G5" s="389"/>
      <c r="H5" s="389"/>
      <c r="I5" s="389"/>
      <c r="J5" s="389"/>
      <c r="K5" s="389"/>
      <c r="L5" s="389"/>
      <c r="M5" s="390"/>
      <c r="N5" s="126"/>
      <c r="O5" s="126"/>
      <c r="P5" s="126"/>
      <c r="Q5" s="126"/>
      <c r="R5" s="126"/>
      <c r="S5" s="126"/>
      <c r="T5" s="126"/>
      <c r="U5" s="126"/>
      <c r="V5" s="126"/>
      <c r="W5" s="126"/>
      <c r="X5" s="126"/>
      <c r="Y5" s="126"/>
      <c r="Z5" s="126"/>
    </row>
    <row r="6" spans="1:26" x14ac:dyDescent="0.2">
      <c r="A6" s="217"/>
      <c r="B6" s="218"/>
      <c r="C6" s="389"/>
      <c r="D6" s="389"/>
      <c r="E6" s="389"/>
      <c r="F6" s="389"/>
      <c r="G6" s="389"/>
      <c r="H6" s="389"/>
      <c r="I6" s="389"/>
      <c r="J6" s="389"/>
      <c r="K6" s="389"/>
      <c r="L6" s="389"/>
      <c r="M6" s="390"/>
      <c r="N6" s="126"/>
      <c r="O6" s="126"/>
      <c r="P6" s="126"/>
      <c r="Q6" s="126"/>
      <c r="R6" s="126"/>
      <c r="S6" s="126"/>
      <c r="T6" s="126"/>
      <c r="U6" s="126"/>
      <c r="V6" s="126"/>
      <c r="W6" s="126"/>
      <c r="X6" s="126"/>
      <c r="Y6" s="126"/>
      <c r="Z6" s="126"/>
    </row>
    <row r="7" spans="1:26" x14ac:dyDescent="0.2">
      <c r="A7" s="217"/>
      <c r="B7" s="218"/>
      <c r="C7" s="389"/>
      <c r="D7" s="389"/>
      <c r="E7" s="389"/>
      <c r="F7" s="389"/>
      <c r="G7" s="389"/>
      <c r="H7" s="389"/>
      <c r="I7" s="389"/>
      <c r="J7" s="389"/>
      <c r="K7" s="389"/>
      <c r="L7" s="389"/>
      <c r="M7" s="390"/>
      <c r="N7" s="126"/>
      <c r="O7" s="126"/>
      <c r="P7" s="126"/>
      <c r="Q7" s="126"/>
      <c r="R7" s="126"/>
      <c r="S7" s="126"/>
      <c r="T7" s="126"/>
      <c r="U7" s="126"/>
      <c r="V7" s="126"/>
      <c r="W7" s="126"/>
      <c r="X7" s="126"/>
      <c r="Y7" s="126"/>
      <c r="Z7" s="126"/>
    </row>
    <row r="8" spans="1:26" x14ac:dyDescent="0.2">
      <c r="A8" s="217"/>
      <c r="B8" s="218"/>
      <c r="C8" s="389"/>
      <c r="D8" s="389"/>
      <c r="E8" s="389"/>
      <c r="F8" s="389"/>
      <c r="G8" s="389"/>
      <c r="H8" s="389"/>
      <c r="I8" s="389"/>
      <c r="J8" s="389"/>
      <c r="K8" s="389"/>
      <c r="L8" s="389"/>
      <c r="M8" s="390"/>
      <c r="N8" s="126"/>
      <c r="O8" s="126"/>
      <c r="P8" s="126"/>
      <c r="Q8" s="126"/>
      <c r="R8" s="126"/>
      <c r="S8" s="126"/>
      <c r="T8" s="126"/>
      <c r="U8" s="126"/>
      <c r="V8" s="126"/>
      <c r="W8" s="126"/>
      <c r="X8" s="126"/>
      <c r="Y8" s="126"/>
      <c r="Z8" s="126"/>
    </row>
    <row r="9" spans="1:26" x14ac:dyDescent="0.2">
      <c r="A9" s="217"/>
      <c r="B9" s="218"/>
      <c r="C9" s="389"/>
      <c r="D9" s="389"/>
      <c r="E9" s="389"/>
      <c r="F9" s="389"/>
      <c r="G9" s="389"/>
      <c r="H9" s="389"/>
      <c r="I9" s="389"/>
      <c r="J9" s="389"/>
      <c r="K9" s="389"/>
      <c r="L9" s="389"/>
      <c r="M9" s="390"/>
      <c r="N9" s="126"/>
      <c r="O9" s="126"/>
      <c r="P9" s="126"/>
      <c r="Q9" s="126"/>
      <c r="R9" s="126"/>
      <c r="S9" s="126"/>
      <c r="T9" s="126"/>
      <c r="U9" s="126"/>
      <c r="V9" s="126"/>
      <c r="W9" s="126"/>
      <c r="X9" s="126"/>
      <c r="Y9" s="126"/>
      <c r="Z9" s="126"/>
    </row>
    <row r="10" spans="1:26" x14ac:dyDescent="0.2">
      <c r="A10" s="217"/>
      <c r="B10" s="218"/>
      <c r="C10" s="389"/>
      <c r="D10" s="389"/>
      <c r="E10" s="389"/>
      <c r="F10" s="389"/>
      <c r="G10" s="389"/>
      <c r="H10" s="389"/>
      <c r="I10" s="389"/>
      <c r="J10" s="389"/>
      <c r="K10" s="389"/>
      <c r="L10" s="389"/>
      <c r="M10" s="390"/>
      <c r="N10" s="126"/>
      <c r="O10" s="126"/>
      <c r="P10" s="126"/>
      <c r="Q10" s="126"/>
      <c r="R10" s="126"/>
      <c r="S10" s="126"/>
      <c r="T10" s="126"/>
      <c r="U10" s="126"/>
      <c r="V10" s="126"/>
      <c r="W10" s="126"/>
      <c r="X10" s="126"/>
      <c r="Y10" s="126"/>
      <c r="Z10" s="126"/>
    </row>
    <row r="11" spans="1:26" x14ac:dyDescent="0.2">
      <c r="A11" s="217"/>
      <c r="B11" s="218"/>
      <c r="C11" s="389"/>
      <c r="D11" s="389"/>
      <c r="E11" s="389"/>
      <c r="F11" s="389"/>
      <c r="G11" s="389"/>
      <c r="H11" s="389"/>
      <c r="I11" s="389"/>
      <c r="J11" s="389"/>
      <c r="K11" s="389"/>
      <c r="L11" s="389"/>
      <c r="M11" s="390"/>
      <c r="N11" s="126"/>
      <c r="O11" s="126"/>
      <c r="P11" s="126"/>
      <c r="Q11" s="126"/>
      <c r="R11" s="126"/>
      <c r="S11" s="126"/>
      <c r="T11" s="126"/>
      <c r="U11" s="126"/>
      <c r="V11" s="126"/>
      <c r="W11" s="126"/>
      <c r="X11" s="126"/>
      <c r="Y11" s="126"/>
      <c r="Z11" s="126"/>
    </row>
    <row r="12" spans="1:26" x14ac:dyDescent="0.2">
      <c r="A12" s="217"/>
      <c r="B12" s="218"/>
      <c r="C12" s="389"/>
      <c r="D12" s="389"/>
      <c r="E12" s="389"/>
      <c r="F12" s="389"/>
      <c r="G12" s="389"/>
      <c r="H12" s="389"/>
      <c r="I12" s="389"/>
      <c r="J12" s="389"/>
      <c r="K12" s="389"/>
      <c r="L12" s="389"/>
      <c r="M12" s="390"/>
      <c r="N12" s="126"/>
      <c r="O12" s="126"/>
      <c r="P12" s="126"/>
      <c r="Q12" s="126"/>
      <c r="R12" s="126"/>
      <c r="S12" s="126"/>
      <c r="T12" s="126"/>
      <c r="U12" s="126"/>
      <c r="V12" s="126"/>
      <c r="W12" s="126"/>
      <c r="X12" s="126"/>
      <c r="Y12" s="126"/>
      <c r="Z12" s="126"/>
    </row>
    <row r="13" spans="1:26" x14ac:dyDescent="0.2">
      <c r="A13" s="217"/>
      <c r="B13" s="218"/>
      <c r="C13" s="389"/>
      <c r="D13" s="389"/>
      <c r="E13" s="389"/>
      <c r="F13" s="389"/>
      <c r="G13" s="389"/>
      <c r="H13" s="389"/>
      <c r="I13" s="389"/>
      <c r="J13" s="389"/>
      <c r="K13" s="389"/>
      <c r="L13" s="389"/>
      <c r="M13" s="390"/>
      <c r="N13" s="126"/>
      <c r="O13" s="126"/>
      <c r="P13" s="126"/>
      <c r="Q13" s="126"/>
      <c r="R13" s="126"/>
      <c r="S13" s="126"/>
      <c r="T13" s="126"/>
      <c r="U13" s="126"/>
      <c r="V13" s="126"/>
      <c r="W13" s="126"/>
      <c r="X13" s="126"/>
      <c r="Y13" s="126"/>
      <c r="Z13" s="126"/>
    </row>
    <row r="14" spans="1:26" x14ac:dyDescent="0.2">
      <c r="A14" s="217"/>
      <c r="B14" s="218"/>
      <c r="C14" s="389"/>
      <c r="D14" s="389"/>
      <c r="E14" s="389"/>
      <c r="F14" s="389"/>
      <c r="G14" s="389"/>
      <c r="H14" s="389"/>
      <c r="I14" s="389"/>
      <c r="J14" s="389"/>
      <c r="K14" s="389"/>
      <c r="L14" s="389"/>
      <c r="M14" s="390"/>
      <c r="N14" s="126"/>
      <c r="O14" s="126"/>
      <c r="P14" s="126"/>
      <c r="Q14" s="126"/>
      <c r="R14" s="126"/>
      <c r="S14" s="126"/>
      <c r="T14" s="126"/>
      <c r="U14" s="126"/>
      <c r="V14" s="126"/>
      <c r="W14" s="126"/>
      <c r="X14" s="126"/>
      <c r="Y14" s="126"/>
      <c r="Z14" s="126"/>
    </row>
    <row r="15" spans="1:26" x14ac:dyDescent="0.2">
      <c r="A15" s="217"/>
      <c r="B15" s="218"/>
      <c r="C15" s="389"/>
      <c r="D15" s="389"/>
      <c r="E15" s="389"/>
      <c r="F15" s="389"/>
      <c r="G15" s="389"/>
      <c r="H15" s="389"/>
      <c r="I15" s="389"/>
      <c r="J15" s="389"/>
      <c r="K15" s="389"/>
      <c r="L15" s="389"/>
      <c r="M15" s="390"/>
      <c r="N15" s="126"/>
      <c r="O15" s="126"/>
      <c r="P15" s="126"/>
      <c r="Q15" s="126"/>
      <c r="R15" s="126"/>
      <c r="S15" s="126"/>
      <c r="T15" s="126"/>
      <c r="U15" s="126"/>
      <c r="V15" s="126"/>
      <c r="W15" s="126"/>
      <c r="X15" s="126"/>
      <c r="Y15" s="126"/>
      <c r="Z15" s="126"/>
    </row>
    <row r="16" spans="1:26" x14ac:dyDescent="0.2">
      <c r="A16" s="217"/>
      <c r="B16" s="218"/>
      <c r="C16" s="389"/>
      <c r="D16" s="389"/>
      <c r="E16" s="389"/>
      <c r="F16" s="389"/>
      <c r="G16" s="389"/>
      <c r="H16" s="389"/>
      <c r="I16" s="389"/>
      <c r="J16" s="389"/>
      <c r="K16" s="389"/>
      <c r="L16" s="389"/>
      <c r="M16" s="390"/>
      <c r="N16" s="126"/>
      <c r="O16" s="126"/>
      <c r="P16" s="126"/>
      <c r="Q16" s="126"/>
      <c r="R16" s="126"/>
      <c r="S16" s="126"/>
      <c r="T16" s="126"/>
      <c r="U16" s="126"/>
      <c r="V16" s="126"/>
      <c r="W16" s="126"/>
      <c r="X16" s="126"/>
      <c r="Y16" s="126"/>
      <c r="Z16" s="126"/>
    </row>
    <row r="17" spans="1:256" x14ac:dyDescent="0.2">
      <c r="A17" s="217"/>
      <c r="B17" s="218"/>
      <c r="C17" s="389"/>
      <c r="D17" s="389"/>
      <c r="E17" s="389"/>
      <c r="F17" s="389"/>
      <c r="G17" s="389"/>
      <c r="H17" s="389"/>
      <c r="I17" s="389"/>
      <c r="J17" s="389"/>
      <c r="K17" s="389"/>
      <c r="L17" s="389"/>
      <c r="M17" s="390"/>
      <c r="N17" s="126"/>
      <c r="O17" s="126"/>
      <c r="P17" s="126"/>
      <c r="Q17" s="126"/>
      <c r="R17" s="126"/>
      <c r="S17" s="126"/>
      <c r="T17" s="126"/>
      <c r="U17" s="126"/>
      <c r="V17" s="126"/>
      <c r="W17" s="126"/>
      <c r="X17" s="126"/>
      <c r="Y17" s="126"/>
      <c r="Z17" s="126"/>
    </row>
    <row r="18" spans="1:256" x14ac:dyDescent="0.2">
      <c r="A18" s="217"/>
      <c r="B18" s="218"/>
      <c r="C18" s="389"/>
      <c r="D18" s="389"/>
      <c r="E18" s="389"/>
      <c r="F18" s="389"/>
      <c r="G18" s="389"/>
      <c r="H18" s="389"/>
      <c r="I18" s="389"/>
      <c r="J18" s="389"/>
      <c r="K18" s="389"/>
      <c r="L18" s="389"/>
      <c r="M18" s="390"/>
      <c r="N18" s="126"/>
      <c r="O18" s="126"/>
      <c r="P18" s="126"/>
      <c r="Q18" s="126"/>
      <c r="R18" s="126"/>
      <c r="S18" s="126"/>
      <c r="T18" s="126"/>
      <c r="U18" s="126"/>
      <c r="V18" s="126"/>
      <c r="W18" s="126"/>
      <c r="X18" s="126"/>
      <c r="Y18" s="126"/>
      <c r="Z18" s="126"/>
    </row>
    <row r="19" spans="1:256" x14ac:dyDescent="0.2">
      <c r="A19" s="217"/>
      <c r="B19" s="218"/>
      <c r="C19" s="389"/>
      <c r="D19" s="389"/>
      <c r="E19" s="389"/>
      <c r="F19" s="389"/>
      <c r="G19" s="389"/>
      <c r="H19" s="389"/>
      <c r="I19" s="389"/>
      <c r="J19" s="389"/>
      <c r="K19" s="389"/>
      <c r="L19" s="389"/>
      <c r="M19" s="390"/>
      <c r="N19" s="126"/>
      <c r="O19" s="126"/>
      <c r="P19" s="126"/>
      <c r="Q19" s="126"/>
      <c r="R19" s="126"/>
      <c r="S19" s="126"/>
      <c r="T19" s="126"/>
      <c r="U19" s="126"/>
      <c r="V19" s="126"/>
      <c r="W19" s="126"/>
      <c r="X19" s="126"/>
      <c r="Y19" s="126"/>
      <c r="Z19" s="126"/>
    </row>
    <row r="20" spans="1:256" x14ac:dyDescent="0.2">
      <c r="A20" s="217"/>
      <c r="B20" s="218"/>
      <c r="C20" s="389"/>
      <c r="D20" s="389"/>
      <c r="E20" s="389"/>
      <c r="F20" s="389"/>
      <c r="G20" s="389"/>
      <c r="H20" s="389"/>
      <c r="I20" s="389"/>
      <c r="J20" s="389"/>
      <c r="K20" s="389"/>
      <c r="L20" s="389"/>
      <c r="M20" s="390"/>
      <c r="N20" s="126"/>
      <c r="O20" s="126"/>
      <c r="P20" s="126"/>
      <c r="Q20" s="126"/>
      <c r="R20" s="126"/>
      <c r="S20" s="126"/>
      <c r="T20" s="126"/>
      <c r="U20" s="126"/>
      <c r="V20" s="126"/>
      <c r="W20" s="126"/>
      <c r="X20" s="126"/>
      <c r="Y20" s="126"/>
      <c r="Z20" s="126"/>
    </row>
    <row r="21" spans="1:256" x14ac:dyDescent="0.2">
      <c r="A21" s="217"/>
      <c r="B21" s="218"/>
      <c r="C21" s="389"/>
      <c r="D21" s="389"/>
      <c r="E21" s="389"/>
      <c r="F21" s="389"/>
      <c r="G21" s="389"/>
      <c r="H21" s="389"/>
      <c r="I21" s="389"/>
      <c r="J21" s="389"/>
      <c r="K21" s="389"/>
      <c r="L21" s="389"/>
      <c r="M21" s="390"/>
      <c r="N21" s="126"/>
      <c r="O21" s="126"/>
      <c r="P21" s="126"/>
      <c r="Q21" s="126"/>
      <c r="R21" s="126"/>
      <c r="S21" s="126"/>
      <c r="T21" s="126"/>
      <c r="U21" s="126"/>
      <c r="V21" s="126"/>
      <c r="W21" s="126"/>
      <c r="X21" s="126"/>
      <c r="Y21" s="126"/>
      <c r="Z21" s="126"/>
    </row>
    <row r="22" spans="1:256" x14ac:dyDescent="0.2">
      <c r="A22" s="217"/>
      <c r="B22" s="218"/>
      <c r="C22" s="389"/>
      <c r="D22" s="389"/>
      <c r="E22" s="389"/>
      <c r="F22" s="389"/>
      <c r="G22" s="389"/>
      <c r="H22" s="389"/>
      <c r="I22" s="389"/>
      <c r="J22" s="389"/>
      <c r="K22" s="389"/>
      <c r="L22" s="389"/>
      <c r="M22" s="390"/>
      <c r="N22" s="126"/>
      <c r="O22" s="126"/>
      <c r="P22" s="126"/>
      <c r="Q22" s="126"/>
      <c r="R22" s="126"/>
      <c r="S22" s="126"/>
      <c r="T22" s="126"/>
      <c r="U22" s="126"/>
      <c r="V22" s="126"/>
      <c r="W22" s="126"/>
      <c r="X22" s="126"/>
      <c r="Y22" s="126"/>
      <c r="Z22" s="126"/>
    </row>
    <row r="23" spans="1:256" x14ac:dyDescent="0.2">
      <c r="A23" s="217"/>
      <c r="B23" s="218"/>
      <c r="C23" s="389"/>
      <c r="D23" s="389"/>
      <c r="E23" s="389"/>
      <c r="F23" s="389"/>
      <c r="G23" s="389"/>
      <c r="H23" s="389"/>
      <c r="I23" s="389"/>
      <c r="J23" s="389"/>
      <c r="K23" s="389"/>
      <c r="L23" s="389"/>
      <c r="M23" s="390"/>
      <c r="N23" s="126"/>
      <c r="O23" s="126"/>
      <c r="P23" s="126"/>
      <c r="Q23" s="126"/>
      <c r="R23" s="126"/>
      <c r="S23" s="126"/>
      <c r="T23" s="126"/>
      <c r="U23" s="126"/>
      <c r="V23" s="126"/>
      <c r="W23" s="126"/>
      <c r="X23" s="126"/>
      <c r="Y23" s="126"/>
      <c r="Z23" s="126"/>
    </row>
    <row r="24" spans="1:256" x14ac:dyDescent="0.2">
      <c r="A24" s="217"/>
      <c r="B24" s="218"/>
      <c r="C24" s="389"/>
      <c r="D24" s="389"/>
      <c r="E24" s="389"/>
      <c r="F24" s="389"/>
      <c r="G24" s="389"/>
      <c r="H24" s="389"/>
      <c r="I24" s="389"/>
      <c r="J24" s="389"/>
      <c r="K24" s="389"/>
      <c r="L24" s="389"/>
      <c r="M24" s="390"/>
      <c r="N24" s="126"/>
      <c r="O24" s="126"/>
      <c r="P24" s="126"/>
      <c r="Q24" s="126"/>
      <c r="R24" s="126"/>
      <c r="S24" s="126"/>
      <c r="T24" s="126"/>
      <c r="U24" s="126"/>
      <c r="V24" s="126"/>
      <c r="W24" s="126"/>
      <c r="X24" s="126"/>
      <c r="Y24" s="126"/>
      <c r="Z24" s="126"/>
    </row>
    <row r="25" spans="1:256" x14ac:dyDescent="0.2">
      <c r="A25" s="217"/>
      <c r="B25" s="218"/>
      <c r="C25" s="389"/>
      <c r="D25" s="389"/>
      <c r="E25" s="389"/>
      <c r="F25" s="389"/>
      <c r="G25" s="389"/>
      <c r="H25" s="389"/>
      <c r="I25" s="389"/>
      <c r="J25" s="389"/>
      <c r="K25" s="389"/>
      <c r="L25" s="389"/>
      <c r="M25" s="390"/>
      <c r="N25" s="126"/>
      <c r="O25" s="126"/>
      <c r="P25" s="126"/>
      <c r="Q25" s="126"/>
      <c r="R25" s="126"/>
      <c r="S25" s="126"/>
      <c r="T25" s="126"/>
      <c r="U25" s="126"/>
      <c r="V25" s="126"/>
      <c r="W25" s="126"/>
      <c r="X25" s="126"/>
      <c r="Y25" s="126"/>
      <c r="Z25" s="126"/>
    </row>
    <row r="26" spans="1:256" x14ac:dyDescent="0.2">
      <c r="A26" s="217"/>
      <c r="B26" s="218"/>
      <c r="C26" s="389"/>
      <c r="D26" s="389"/>
      <c r="E26" s="389"/>
      <c r="F26" s="389"/>
      <c r="G26" s="389"/>
      <c r="H26" s="389"/>
      <c r="I26" s="389"/>
      <c r="J26" s="389"/>
      <c r="K26" s="389"/>
      <c r="L26" s="389"/>
      <c r="M26" s="390"/>
      <c r="N26" s="126"/>
      <c r="O26" s="126"/>
      <c r="P26" s="126"/>
      <c r="Q26" s="126"/>
      <c r="R26" s="126"/>
      <c r="S26" s="126"/>
      <c r="T26" s="126"/>
      <c r="U26" s="126"/>
      <c r="V26" s="126"/>
      <c r="W26" s="126"/>
      <c r="X26" s="126"/>
      <c r="Y26" s="126"/>
      <c r="Z26" s="126"/>
    </row>
    <row r="27" spans="1:256" x14ac:dyDescent="0.2">
      <c r="A27" s="217"/>
      <c r="B27" s="218"/>
      <c r="C27" s="389"/>
      <c r="D27" s="389"/>
      <c r="E27" s="389"/>
      <c r="F27" s="389"/>
      <c r="G27" s="389"/>
      <c r="H27" s="389"/>
      <c r="I27" s="389"/>
      <c r="J27" s="389"/>
      <c r="K27" s="389"/>
      <c r="L27" s="389"/>
      <c r="M27" s="390"/>
      <c r="N27" s="126"/>
      <c r="O27" s="126"/>
      <c r="P27" s="126"/>
      <c r="Q27" s="126"/>
      <c r="R27" s="126"/>
      <c r="S27" s="126"/>
      <c r="T27" s="126"/>
      <c r="U27" s="126"/>
      <c r="V27" s="126"/>
      <c r="W27" s="126"/>
      <c r="X27" s="126"/>
      <c r="Y27" s="126"/>
      <c r="Z27" s="126"/>
    </row>
    <row r="28" spans="1:256" x14ac:dyDescent="0.2">
      <c r="A28" s="217"/>
      <c r="B28" s="218"/>
      <c r="C28" s="389"/>
      <c r="D28" s="389"/>
      <c r="E28" s="389"/>
      <c r="F28" s="389"/>
      <c r="G28" s="389"/>
      <c r="H28" s="389"/>
      <c r="I28" s="389"/>
      <c r="J28" s="389"/>
      <c r="K28" s="389"/>
      <c r="L28" s="389"/>
      <c r="M28" s="390"/>
      <c r="N28" s="126"/>
      <c r="O28" s="126"/>
      <c r="P28" s="126"/>
      <c r="Q28" s="126"/>
      <c r="R28" s="126"/>
      <c r="S28" s="126"/>
      <c r="T28" s="126"/>
      <c r="U28" s="126"/>
      <c r="V28" s="126"/>
      <c r="W28" s="126"/>
      <c r="X28" s="126"/>
      <c r="Y28" s="126"/>
      <c r="Z28" s="126"/>
    </row>
    <row r="29" spans="1:256" x14ac:dyDescent="0.2">
      <c r="A29" s="217"/>
      <c r="B29" s="218"/>
      <c r="C29" s="389"/>
      <c r="D29" s="389"/>
      <c r="E29" s="389"/>
      <c r="F29" s="389"/>
      <c r="G29" s="389"/>
      <c r="H29" s="389"/>
      <c r="I29" s="389"/>
      <c r="J29" s="389"/>
      <c r="K29" s="389"/>
      <c r="L29" s="389"/>
      <c r="M29" s="390"/>
      <c r="N29" s="210"/>
      <c r="O29" s="210"/>
      <c r="P29" s="388"/>
      <c r="Q29" s="388"/>
      <c r="R29" s="388"/>
      <c r="S29" s="388"/>
      <c r="T29" s="388"/>
      <c r="U29" s="388"/>
      <c r="V29" s="388"/>
      <c r="W29" s="388"/>
      <c r="X29" s="388"/>
      <c r="Y29" s="388"/>
      <c r="Z29" s="388"/>
      <c r="AA29" s="206"/>
      <c r="AB29" s="206"/>
      <c r="AC29" s="387"/>
      <c r="AD29" s="387"/>
      <c r="AE29" s="387"/>
      <c r="AF29" s="387"/>
      <c r="AG29" s="387"/>
      <c r="AH29" s="387"/>
      <c r="AI29" s="387"/>
      <c r="AJ29" s="387"/>
      <c r="AK29" s="387"/>
      <c r="AL29" s="387"/>
      <c r="AM29" s="387"/>
      <c r="AN29" s="206"/>
      <c r="AO29" s="206"/>
      <c r="AP29" s="387"/>
      <c r="AQ29" s="387"/>
      <c r="AR29" s="387"/>
      <c r="AS29" s="387"/>
      <c r="AT29" s="387"/>
      <c r="AU29" s="387"/>
      <c r="AV29" s="387"/>
      <c r="AW29" s="387"/>
      <c r="AX29" s="387"/>
      <c r="AY29" s="387"/>
      <c r="AZ29" s="387"/>
      <c r="BA29" s="206"/>
      <c r="BB29" s="206"/>
      <c r="BC29" s="387"/>
      <c r="BD29" s="387"/>
      <c r="BE29" s="387"/>
      <c r="BF29" s="387"/>
      <c r="BG29" s="387"/>
      <c r="BH29" s="387"/>
      <c r="BI29" s="387"/>
      <c r="BJ29" s="387"/>
      <c r="BK29" s="387"/>
      <c r="BL29" s="387"/>
      <c r="BM29" s="387"/>
      <c r="BN29" s="206"/>
      <c r="BO29" s="206"/>
      <c r="BP29" s="387"/>
      <c r="BQ29" s="387"/>
      <c r="BR29" s="387"/>
      <c r="BS29" s="387"/>
      <c r="BT29" s="387"/>
      <c r="BU29" s="387"/>
      <c r="BV29" s="387"/>
      <c r="BW29" s="387"/>
      <c r="BX29" s="387"/>
      <c r="BY29" s="387"/>
      <c r="BZ29" s="387"/>
      <c r="CA29" s="206"/>
      <c r="CB29" s="206"/>
      <c r="CC29" s="387"/>
      <c r="CD29" s="387"/>
      <c r="CE29" s="387"/>
      <c r="CF29" s="387"/>
      <c r="CG29" s="387"/>
      <c r="CH29" s="387"/>
      <c r="CI29" s="387"/>
      <c r="CJ29" s="387"/>
      <c r="CK29" s="387"/>
      <c r="CL29" s="387"/>
      <c r="CM29" s="387"/>
      <c r="CN29" s="206"/>
      <c r="CO29" s="206"/>
      <c r="CP29" s="387"/>
      <c r="CQ29" s="387"/>
      <c r="CR29" s="387"/>
      <c r="CS29" s="387"/>
      <c r="CT29" s="387"/>
      <c r="CU29" s="387"/>
      <c r="CV29" s="387"/>
      <c r="CW29" s="387"/>
      <c r="CX29" s="387"/>
      <c r="CY29" s="387"/>
      <c r="CZ29" s="387"/>
      <c r="DA29" s="206"/>
      <c r="DB29" s="206"/>
      <c r="DC29" s="387"/>
      <c r="DD29" s="387"/>
      <c r="DE29" s="387"/>
      <c r="DF29" s="387"/>
      <c r="DG29" s="387"/>
      <c r="DH29" s="387"/>
      <c r="DI29" s="387"/>
      <c r="DJ29" s="387"/>
      <c r="DK29" s="387"/>
      <c r="DL29" s="387"/>
      <c r="DM29" s="387"/>
      <c r="DN29" s="206"/>
      <c r="DO29" s="206"/>
      <c r="DP29" s="387"/>
      <c r="DQ29" s="387"/>
      <c r="DR29" s="387"/>
      <c r="DS29" s="387"/>
      <c r="DT29" s="387"/>
      <c r="DU29" s="387"/>
      <c r="DV29" s="387"/>
      <c r="DW29" s="387"/>
      <c r="DX29" s="387"/>
      <c r="DY29" s="387"/>
      <c r="DZ29" s="387"/>
      <c r="EA29" s="206"/>
      <c r="EB29" s="206"/>
      <c r="EC29" s="387"/>
      <c r="ED29" s="387"/>
      <c r="EE29" s="387"/>
      <c r="EF29" s="387"/>
      <c r="EG29" s="387"/>
      <c r="EH29" s="387"/>
      <c r="EI29" s="387"/>
      <c r="EJ29" s="387"/>
      <c r="EK29" s="387"/>
      <c r="EL29" s="387"/>
      <c r="EM29" s="387"/>
      <c r="EN29" s="206"/>
      <c r="EO29" s="206"/>
      <c r="EP29" s="387"/>
      <c r="EQ29" s="387"/>
      <c r="ER29" s="387"/>
      <c r="ES29" s="387"/>
      <c r="ET29" s="387"/>
      <c r="EU29" s="387"/>
      <c r="EV29" s="387"/>
      <c r="EW29" s="387"/>
      <c r="EX29" s="387"/>
      <c r="EY29" s="387"/>
      <c r="EZ29" s="387"/>
      <c r="FA29" s="206"/>
      <c r="FB29" s="206"/>
      <c r="FC29" s="387"/>
      <c r="FD29" s="387"/>
      <c r="FE29" s="387"/>
      <c r="FF29" s="387"/>
      <c r="FG29" s="387"/>
      <c r="FH29" s="387"/>
      <c r="FI29" s="387"/>
      <c r="FJ29" s="387"/>
      <c r="FK29" s="387"/>
      <c r="FL29" s="387"/>
      <c r="FM29" s="387"/>
      <c r="FN29" s="206"/>
      <c r="FO29" s="206"/>
      <c r="FP29" s="387"/>
      <c r="FQ29" s="387"/>
      <c r="FR29" s="387"/>
      <c r="FS29" s="387"/>
      <c r="FT29" s="387"/>
      <c r="FU29" s="387"/>
      <c r="FV29" s="387"/>
      <c r="FW29" s="387"/>
      <c r="FX29" s="387"/>
      <c r="FY29" s="387"/>
      <c r="FZ29" s="387"/>
      <c r="GA29" s="206"/>
      <c r="GB29" s="206"/>
      <c r="GC29" s="387"/>
      <c r="GD29" s="387"/>
      <c r="GE29" s="387"/>
      <c r="GF29" s="387"/>
      <c r="GG29" s="387"/>
      <c r="GH29" s="387"/>
      <c r="GI29" s="387"/>
      <c r="GJ29" s="387"/>
      <c r="GK29" s="387"/>
      <c r="GL29" s="387"/>
      <c r="GM29" s="387"/>
      <c r="GN29" s="206"/>
      <c r="GO29" s="206"/>
      <c r="GP29" s="387"/>
      <c r="GQ29" s="387"/>
      <c r="GR29" s="387"/>
      <c r="GS29" s="387"/>
      <c r="GT29" s="387"/>
      <c r="GU29" s="387"/>
      <c r="GV29" s="387"/>
      <c r="GW29" s="387"/>
      <c r="GX29" s="387"/>
      <c r="GY29" s="387"/>
      <c r="GZ29" s="387"/>
      <c r="HA29" s="206"/>
      <c r="HB29" s="206"/>
      <c r="HC29" s="387"/>
      <c r="HD29" s="387"/>
      <c r="HE29" s="387"/>
      <c r="HF29" s="387"/>
      <c r="HG29" s="387"/>
      <c r="HH29" s="387"/>
      <c r="HI29" s="387"/>
      <c r="HJ29" s="387"/>
      <c r="HK29" s="387"/>
      <c r="HL29" s="387"/>
      <c r="HM29" s="387"/>
      <c r="HN29" s="206"/>
      <c r="HO29" s="206"/>
      <c r="HP29" s="387"/>
      <c r="HQ29" s="387"/>
      <c r="HR29" s="387"/>
      <c r="HS29" s="387"/>
      <c r="HT29" s="387"/>
      <c r="HU29" s="387"/>
      <c r="HV29" s="387"/>
      <c r="HW29" s="387"/>
      <c r="HX29" s="387"/>
      <c r="HY29" s="387"/>
      <c r="HZ29" s="387"/>
      <c r="IA29" s="206"/>
      <c r="IB29" s="206"/>
      <c r="IC29" s="387"/>
      <c r="ID29" s="387"/>
      <c r="IE29" s="387"/>
      <c r="IF29" s="387"/>
      <c r="IG29" s="387"/>
      <c r="IH29" s="387"/>
      <c r="II29" s="387"/>
      <c r="IJ29" s="387"/>
      <c r="IK29" s="387"/>
      <c r="IL29" s="387"/>
      <c r="IM29" s="387"/>
      <c r="IN29" s="206"/>
      <c r="IO29" s="206"/>
      <c r="IP29" s="387"/>
      <c r="IQ29" s="387"/>
      <c r="IR29" s="387"/>
      <c r="IS29" s="387"/>
      <c r="IT29" s="387"/>
      <c r="IU29" s="387"/>
      <c r="IV29" s="387"/>
    </row>
    <row r="30" spans="1:256" x14ac:dyDescent="0.2">
      <c r="A30" s="217"/>
      <c r="B30" s="218"/>
      <c r="C30" s="389"/>
      <c r="D30" s="389"/>
      <c r="E30" s="389"/>
      <c r="F30" s="389"/>
      <c r="G30" s="389"/>
      <c r="H30" s="389"/>
      <c r="I30" s="389"/>
      <c r="J30" s="389"/>
      <c r="K30" s="389"/>
      <c r="L30" s="389"/>
      <c r="M30" s="390"/>
      <c r="N30" s="210"/>
      <c r="O30" s="210"/>
      <c r="P30" s="388"/>
      <c r="Q30" s="388"/>
      <c r="R30" s="388"/>
      <c r="S30" s="388"/>
      <c r="T30" s="388"/>
      <c r="U30" s="388"/>
      <c r="V30" s="388"/>
      <c r="W30" s="388"/>
      <c r="X30" s="388"/>
      <c r="Y30" s="388"/>
      <c r="Z30" s="388"/>
      <c r="AA30" s="206"/>
      <c r="AB30" s="206"/>
      <c r="AC30" s="387"/>
      <c r="AD30" s="387"/>
      <c r="AE30" s="387"/>
      <c r="AF30" s="387"/>
      <c r="AG30" s="387"/>
      <c r="AH30" s="387"/>
      <c r="AI30" s="387"/>
      <c r="AJ30" s="387"/>
      <c r="AK30" s="387"/>
      <c r="AL30" s="387"/>
      <c r="AM30" s="387"/>
      <c r="AN30" s="206"/>
      <c r="AO30" s="206"/>
      <c r="AP30" s="387"/>
      <c r="AQ30" s="387"/>
      <c r="AR30" s="387"/>
      <c r="AS30" s="387"/>
      <c r="AT30" s="387"/>
      <c r="AU30" s="387"/>
      <c r="AV30" s="387"/>
      <c r="AW30" s="387"/>
      <c r="AX30" s="387"/>
      <c r="AY30" s="387"/>
      <c r="AZ30" s="387"/>
      <c r="BA30" s="206"/>
      <c r="BB30" s="206"/>
      <c r="BC30" s="387"/>
      <c r="BD30" s="387"/>
      <c r="BE30" s="387"/>
      <c r="BF30" s="387"/>
      <c r="BG30" s="387"/>
      <c r="BH30" s="387"/>
      <c r="BI30" s="387"/>
      <c r="BJ30" s="387"/>
      <c r="BK30" s="387"/>
      <c r="BL30" s="387"/>
      <c r="BM30" s="387"/>
      <c r="BN30" s="206"/>
      <c r="BO30" s="206"/>
      <c r="BP30" s="387"/>
      <c r="BQ30" s="387"/>
      <c r="BR30" s="387"/>
      <c r="BS30" s="387"/>
      <c r="BT30" s="387"/>
      <c r="BU30" s="387"/>
      <c r="BV30" s="387"/>
      <c r="BW30" s="387"/>
      <c r="BX30" s="387"/>
      <c r="BY30" s="387"/>
      <c r="BZ30" s="387"/>
      <c r="CA30" s="206"/>
      <c r="CB30" s="206"/>
      <c r="CC30" s="387"/>
      <c r="CD30" s="387"/>
      <c r="CE30" s="387"/>
      <c r="CF30" s="387"/>
      <c r="CG30" s="387"/>
      <c r="CH30" s="387"/>
      <c r="CI30" s="387"/>
      <c r="CJ30" s="387"/>
      <c r="CK30" s="387"/>
      <c r="CL30" s="387"/>
      <c r="CM30" s="387"/>
      <c r="CN30" s="206"/>
      <c r="CO30" s="206"/>
      <c r="CP30" s="387"/>
      <c r="CQ30" s="387"/>
      <c r="CR30" s="387"/>
      <c r="CS30" s="387"/>
      <c r="CT30" s="387"/>
      <c r="CU30" s="387"/>
      <c r="CV30" s="387"/>
      <c r="CW30" s="387"/>
      <c r="CX30" s="387"/>
      <c r="CY30" s="387"/>
      <c r="CZ30" s="387"/>
      <c r="DA30" s="206"/>
      <c r="DB30" s="206"/>
      <c r="DC30" s="387"/>
      <c r="DD30" s="387"/>
      <c r="DE30" s="387"/>
      <c r="DF30" s="387"/>
      <c r="DG30" s="387"/>
      <c r="DH30" s="387"/>
      <c r="DI30" s="387"/>
      <c r="DJ30" s="387"/>
      <c r="DK30" s="387"/>
      <c r="DL30" s="387"/>
      <c r="DM30" s="387"/>
      <c r="DN30" s="206"/>
      <c r="DO30" s="206"/>
      <c r="DP30" s="387"/>
      <c r="DQ30" s="387"/>
      <c r="DR30" s="387"/>
      <c r="DS30" s="387"/>
      <c r="DT30" s="387"/>
      <c r="DU30" s="387"/>
      <c r="DV30" s="387"/>
      <c r="DW30" s="387"/>
      <c r="DX30" s="387"/>
      <c r="DY30" s="387"/>
      <c r="DZ30" s="387"/>
      <c r="EA30" s="206"/>
      <c r="EB30" s="206"/>
      <c r="EC30" s="387"/>
      <c r="ED30" s="387"/>
      <c r="EE30" s="387"/>
      <c r="EF30" s="387"/>
      <c r="EG30" s="387"/>
      <c r="EH30" s="387"/>
      <c r="EI30" s="387"/>
      <c r="EJ30" s="387"/>
      <c r="EK30" s="387"/>
      <c r="EL30" s="387"/>
      <c r="EM30" s="387"/>
      <c r="EN30" s="206"/>
      <c r="EO30" s="206"/>
      <c r="EP30" s="387"/>
      <c r="EQ30" s="387"/>
      <c r="ER30" s="387"/>
      <c r="ES30" s="387"/>
      <c r="ET30" s="387"/>
      <c r="EU30" s="387"/>
      <c r="EV30" s="387"/>
      <c r="EW30" s="387"/>
      <c r="EX30" s="387"/>
      <c r="EY30" s="387"/>
      <c r="EZ30" s="387"/>
      <c r="FA30" s="206"/>
      <c r="FB30" s="206"/>
      <c r="FC30" s="387"/>
      <c r="FD30" s="387"/>
      <c r="FE30" s="387"/>
      <c r="FF30" s="387"/>
      <c r="FG30" s="387"/>
      <c r="FH30" s="387"/>
      <c r="FI30" s="387"/>
      <c r="FJ30" s="387"/>
      <c r="FK30" s="387"/>
      <c r="FL30" s="387"/>
      <c r="FM30" s="387"/>
      <c r="FN30" s="206"/>
      <c r="FO30" s="206"/>
      <c r="FP30" s="387"/>
      <c r="FQ30" s="387"/>
      <c r="FR30" s="387"/>
      <c r="FS30" s="387"/>
      <c r="FT30" s="387"/>
      <c r="FU30" s="387"/>
      <c r="FV30" s="387"/>
      <c r="FW30" s="387"/>
      <c r="FX30" s="387"/>
      <c r="FY30" s="387"/>
      <c r="FZ30" s="387"/>
      <c r="GA30" s="206"/>
      <c r="GB30" s="206"/>
      <c r="GC30" s="387"/>
      <c r="GD30" s="387"/>
      <c r="GE30" s="387"/>
      <c r="GF30" s="387"/>
      <c r="GG30" s="387"/>
      <c r="GH30" s="387"/>
      <c r="GI30" s="387"/>
      <c r="GJ30" s="387"/>
      <c r="GK30" s="387"/>
      <c r="GL30" s="387"/>
      <c r="GM30" s="387"/>
      <c r="GN30" s="206"/>
      <c r="GO30" s="206"/>
      <c r="GP30" s="387"/>
      <c r="GQ30" s="387"/>
      <c r="GR30" s="387"/>
      <c r="GS30" s="387"/>
      <c r="GT30" s="387"/>
      <c r="GU30" s="387"/>
      <c r="GV30" s="387"/>
      <c r="GW30" s="387"/>
      <c r="GX30" s="387"/>
      <c r="GY30" s="387"/>
      <c r="GZ30" s="387"/>
      <c r="HA30" s="206"/>
      <c r="HB30" s="206"/>
      <c r="HC30" s="387"/>
      <c r="HD30" s="387"/>
      <c r="HE30" s="387"/>
      <c r="HF30" s="387"/>
      <c r="HG30" s="387"/>
      <c r="HH30" s="387"/>
      <c r="HI30" s="387"/>
      <c r="HJ30" s="387"/>
      <c r="HK30" s="387"/>
      <c r="HL30" s="387"/>
      <c r="HM30" s="387"/>
      <c r="HN30" s="206"/>
      <c r="HO30" s="206"/>
      <c r="HP30" s="387"/>
      <c r="HQ30" s="387"/>
      <c r="HR30" s="387"/>
      <c r="HS30" s="387"/>
      <c r="HT30" s="387"/>
      <c r="HU30" s="387"/>
      <c r="HV30" s="387"/>
      <c r="HW30" s="387"/>
      <c r="HX30" s="387"/>
      <c r="HY30" s="387"/>
      <c r="HZ30" s="387"/>
      <c r="IA30" s="206"/>
      <c r="IB30" s="206"/>
      <c r="IC30" s="387"/>
      <c r="ID30" s="387"/>
      <c r="IE30" s="387"/>
      <c r="IF30" s="387"/>
      <c r="IG30" s="387"/>
      <c r="IH30" s="387"/>
      <c r="II30" s="387"/>
      <c r="IJ30" s="387"/>
      <c r="IK30" s="387"/>
      <c r="IL30" s="387"/>
      <c r="IM30" s="387"/>
      <c r="IN30" s="206"/>
      <c r="IO30" s="206"/>
      <c r="IP30" s="387"/>
      <c r="IQ30" s="387"/>
      <c r="IR30" s="387"/>
      <c r="IS30" s="387"/>
      <c r="IT30" s="387"/>
      <c r="IU30" s="387"/>
      <c r="IV30" s="387"/>
    </row>
    <row r="31" spans="1:256" x14ac:dyDescent="0.2">
      <c r="A31" s="217"/>
      <c r="B31" s="218"/>
      <c r="C31" s="389"/>
      <c r="D31" s="389"/>
      <c r="E31" s="389"/>
      <c r="F31" s="389"/>
      <c r="G31" s="389"/>
      <c r="H31" s="389"/>
      <c r="I31" s="389"/>
      <c r="J31" s="389"/>
      <c r="K31" s="389"/>
      <c r="L31" s="389"/>
      <c r="M31" s="390"/>
      <c r="N31" s="210"/>
      <c r="O31" s="210"/>
      <c r="P31" s="388"/>
      <c r="Q31" s="388"/>
      <c r="R31" s="388"/>
      <c r="S31" s="388"/>
      <c r="T31" s="388"/>
      <c r="U31" s="388"/>
      <c r="V31" s="388"/>
      <c r="W31" s="388"/>
      <c r="X31" s="388"/>
      <c r="Y31" s="388"/>
      <c r="Z31" s="388"/>
      <c r="AA31" s="206"/>
      <c r="AB31" s="206"/>
      <c r="AC31" s="387"/>
      <c r="AD31" s="387"/>
      <c r="AE31" s="387"/>
      <c r="AF31" s="387"/>
      <c r="AG31" s="387"/>
      <c r="AH31" s="387"/>
      <c r="AI31" s="387"/>
      <c r="AJ31" s="387"/>
      <c r="AK31" s="387"/>
      <c r="AL31" s="387"/>
      <c r="AM31" s="387"/>
      <c r="AN31" s="206"/>
      <c r="AO31" s="206"/>
      <c r="AP31" s="387"/>
      <c r="AQ31" s="387"/>
      <c r="AR31" s="387"/>
      <c r="AS31" s="387"/>
      <c r="AT31" s="387"/>
      <c r="AU31" s="387"/>
      <c r="AV31" s="387"/>
      <c r="AW31" s="387"/>
      <c r="AX31" s="387"/>
      <c r="AY31" s="387"/>
      <c r="AZ31" s="387"/>
      <c r="BA31" s="206"/>
      <c r="BB31" s="206"/>
      <c r="BC31" s="387"/>
      <c r="BD31" s="387"/>
      <c r="BE31" s="387"/>
      <c r="BF31" s="387"/>
      <c r="BG31" s="387"/>
      <c r="BH31" s="387"/>
      <c r="BI31" s="387"/>
      <c r="BJ31" s="387"/>
      <c r="BK31" s="387"/>
      <c r="BL31" s="387"/>
      <c r="BM31" s="387"/>
      <c r="BN31" s="206"/>
      <c r="BO31" s="206"/>
      <c r="BP31" s="387"/>
      <c r="BQ31" s="387"/>
      <c r="BR31" s="387"/>
      <c r="BS31" s="387"/>
      <c r="BT31" s="387"/>
      <c r="BU31" s="387"/>
      <c r="BV31" s="387"/>
      <c r="BW31" s="387"/>
      <c r="BX31" s="387"/>
      <c r="BY31" s="387"/>
      <c r="BZ31" s="387"/>
      <c r="CA31" s="206"/>
      <c r="CB31" s="206"/>
      <c r="CC31" s="387"/>
      <c r="CD31" s="387"/>
      <c r="CE31" s="387"/>
      <c r="CF31" s="387"/>
      <c r="CG31" s="387"/>
      <c r="CH31" s="387"/>
      <c r="CI31" s="387"/>
      <c r="CJ31" s="387"/>
      <c r="CK31" s="387"/>
      <c r="CL31" s="387"/>
      <c r="CM31" s="387"/>
      <c r="CN31" s="206"/>
      <c r="CO31" s="206"/>
      <c r="CP31" s="387"/>
      <c r="CQ31" s="387"/>
      <c r="CR31" s="387"/>
      <c r="CS31" s="387"/>
      <c r="CT31" s="387"/>
      <c r="CU31" s="387"/>
      <c r="CV31" s="387"/>
      <c r="CW31" s="387"/>
      <c r="CX31" s="387"/>
      <c r="CY31" s="387"/>
      <c r="CZ31" s="387"/>
      <c r="DA31" s="206"/>
      <c r="DB31" s="206"/>
      <c r="DC31" s="387"/>
      <c r="DD31" s="387"/>
      <c r="DE31" s="387"/>
      <c r="DF31" s="387"/>
      <c r="DG31" s="387"/>
      <c r="DH31" s="387"/>
      <c r="DI31" s="387"/>
      <c r="DJ31" s="387"/>
      <c r="DK31" s="387"/>
      <c r="DL31" s="387"/>
      <c r="DM31" s="387"/>
      <c r="DN31" s="206"/>
      <c r="DO31" s="206"/>
      <c r="DP31" s="387"/>
      <c r="DQ31" s="387"/>
      <c r="DR31" s="387"/>
      <c r="DS31" s="387"/>
      <c r="DT31" s="387"/>
      <c r="DU31" s="387"/>
      <c r="DV31" s="387"/>
      <c r="DW31" s="387"/>
      <c r="DX31" s="387"/>
      <c r="DY31" s="387"/>
      <c r="DZ31" s="387"/>
      <c r="EA31" s="206"/>
      <c r="EB31" s="206"/>
      <c r="EC31" s="387"/>
      <c r="ED31" s="387"/>
      <c r="EE31" s="387"/>
      <c r="EF31" s="387"/>
      <c r="EG31" s="387"/>
      <c r="EH31" s="387"/>
      <c r="EI31" s="387"/>
      <c r="EJ31" s="387"/>
      <c r="EK31" s="387"/>
      <c r="EL31" s="387"/>
      <c r="EM31" s="387"/>
      <c r="EN31" s="206"/>
      <c r="EO31" s="206"/>
      <c r="EP31" s="387"/>
      <c r="EQ31" s="387"/>
      <c r="ER31" s="387"/>
      <c r="ES31" s="387"/>
      <c r="ET31" s="387"/>
      <c r="EU31" s="387"/>
      <c r="EV31" s="387"/>
      <c r="EW31" s="387"/>
      <c r="EX31" s="387"/>
      <c r="EY31" s="387"/>
      <c r="EZ31" s="387"/>
      <c r="FA31" s="206"/>
      <c r="FB31" s="206"/>
      <c r="FC31" s="387"/>
      <c r="FD31" s="387"/>
      <c r="FE31" s="387"/>
      <c r="FF31" s="387"/>
      <c r="FG31" s="387"/>
      <c r="FH31" s="387"/>
      <c r="FI31" s="387"/>
      <c r="FJ31" s="387"/>
      <c r="FK31" s="387"/>
      <c r="FL31" s="387"/>
      <c r="FM31" s="387"/>
      <c r="FN31" s="206"/>
      <c r="FO31" s="206"/>
      <c r="FP31" s="387"/>
      <c r="FQ31" s="387"/>
      <c r="FR31" s="387"/>
      <c r="FS31" s="387"/>
      <c r="FT31" s="387"/>
      <c r="FU31" s="387"/>
      <c r="FV31" s="387"/>
      <c r="FW31" s="387"/>
      <c r="FX31" s="387"/>
      <c r="FY31" s="387"/>
      <c r="FZ31" s="387"/>
      <c r="GA31" s="206"/>
      <c r="GB31" s="206"/>
      <c r="GC31" s="387"/>
      <c r="GD31" s="387"/>
      <c r="GE31" s="387"/>
      <c r="GF31" s="387"/>
      <c r="GG31" s="387"/>
      <c r="GH31" s="387"/>
      <c r="GI31" s="387"/>
      <c r="GJ31" s="387"/>
      <c r="GK31" s="387"/>
      <c r="GL31" s="387"/>
      <c r="GM31" s="387"/>
      <c r="GN31" s="206"/>
      <c r="GO31" s="206"/>
      <c r="GP31" s="387"/>
      <c r="GQ31" s="387"/>
      <c r="GR31" s="387"/>
      <c r="GS31" s="387"/>
      <c r="GT31" s="387"/>
      <c r="GU31" s="387"/>
      <c r="GV31" s="387"/>
      <c r="GW31" s="387"/>
      <c r="GX31" s="387"/>
      <c r="GY31" s="387"/>
      <c r="GZ31" s="387"/>
      <c r="HA31" s="206"/>
      <c r="HB31" s="206"/>
      <c r="HC31" s="387"/>
      <c r="HD31" s="387"/>
      <c r="HE31" s="387"/>
      <c r="HF31" s="387"/>
      <c r="HG31" s="387"/>
      <c r="HH31" s="387"/>
      <c r="HI31" s="387"/>
      <c r="HJ31" s="387"/>
      <c r="HK31" s="387"/>
      <c r="HL31" s="387"/>
      <c r="HM31" s="387"/>
      <c r="HN31" s="206"/>
      <c r="HO31" s="206"/>
      <c r="HP31" s="387"/>
      <c r="HQ31" s="387"/>
      <c r="HR31" s="387"/>
      <c r="HS31" s="387"/>
      <c r="HT31" s="387"/>
      <c r="HU31" s="387"/>
      <c r="HV31" s="387"/>
      <c r="HW31" s="387"/>
      <c r="HX31" s="387"/>
      <c r="HY31" s="387"/>
      <c r="HZ31" s="387"/>
      <c r="IA31" s="206"/>
      <c r="IB31" s="206"/>
      <c r="IC31" s="387"/>
      <c r="ID31" s="387"/>
      <c r="IE31" s="387"/>
      <c r="IF31" s="387"/>
      <c r="IG31" s="387"/>
      <c r="IH31" s="387"/>
      <c r="II31" s="387"/>
      <c r="IJ31" s="387"/>
      <c r="IK31" s="387"/>
      <c r="IL31" s="387"/>
      <c r="IM31" s="387"/>
      <c r="IN31" s="206"/>
      <c r="IO31" s="206"/>
      <c r="IP31" s="387"/>
      <c r="IQ31" s="387"/>
      <c r="IR31" s="387"/>
      <c r="IS31" s="387"/>
      <c r="IT31" s="387"/>
      <c r="IU31" s="387"/>
      <c r="IV31" s="387"/>
    </row>
    <row r="32" spans="1:256" x14ac:dyDescent="0.2">
      <c r="A32" s="217"/>
      <c r="B32" s="218"/>
      <c r="C32" s="389"/>
      <c r="D32" s="389"/>
      <c r="E32" s="389"/>
      <c r="F32" s="389"/>
      <c r="G32" s="389"/>
      <c r="H32" s="389"/>
      <c r="I32" s="389"/>
      <c r="J32" s="389"/>
      <c r="K32" s="389"/>
      <c r="L32" s="389"/>
      <c r="M32" s="390"/>
      <c r="N32" s="222"/>
      <c r="O32" s="222"/>
      <c r="P32" s="399"/>
      <c r="Q32" s="399"/>
      <c r="R32" s="399"/>
      <c r="S32" s="399"/>
      <c r="T32" s="399"/>
      <c r="U32" s="399"/>
      <c r="V32" s="399"/>
      <c r="W32" s="399"/>
      <c r="X32" s="399"/>
      <c r="Y32" s="399"/>
      <c r="Z32" s="400"/>
      <c r="AA32" s="217"/>
      <c r="AB32" s="218"/>
      <c r="AC32" s="389"/>
      <c r="AD32" s="389"/>
      <c r="AE32" s="389"/>
      <c r="AF32" s="389"/>
      <c r="AG32" s="389"/>
      <c r="AH32" s="389"/>
      <c r="AI32" s="389"/>
      <c r="AJ32" s="389"/>
      <c r="AK32" s="389"/>
      <c r="AL32" s="389"/>
      <c r="AM32" s="390"/>
      <c r="AN32" s="217"/>
      <c r="AO32" s="218"/>
      <c r="AP32" s="389"/>
      <c r="AQ32" s="389"/>
      <c r="AR32" s="389"/>
      <c r="AS32" s="389"/>
      <c r="AT32" s="389"/>
      <c r="AU32" s="389"/>
      <c r="AV32" s="389"/>
      <c r="AW32" s="389"/>
      <c r="AX32" s="389"/>
      <c r="AY32" s="389"/>
      <c r="AZ32" s="390"/>
      <c r="BA32" s="217"/>
      <c r="BB32" s="218"/>
      <c r="BC32" s="389"/>
      <c r="BD32" s="389"/>
      <c r="BE32" s="389"/>
      <c r="BF32" s="389"/>
      <c r="BG32" s="389"/>
      <c r="BH32" s="389"/>
      <c r="BI32" s="389"/>
      <c r="BJ32" s="389"/>
      <c r="BK32" s="389"/>
      <c r="BL32" s="389"/>
      <c r="BM32" s="390"/>
      <c r="BN32" s="217"/>
      <c r="BO32" s="218"/>
      <c r="BP32" s="389"/>
      <c r="BQ32" s="389"/>
      <c r="BR32" s="389"/>
      <c r="BS32" s="389"/>
      <c r="BT32" s="389"/>
      <c r="BU32" s="389"/>
      <c r="BV32" s="389"/>
      <c r="BW32" s="389"/>
      <c r="BX32" s="389"/>
      <c r="BY32" s="389"/>
      <c r="BZ32" s="390"/>
      <c r="CA32" s="217"/>
      <c r="CB32" s="218"/>
      <c r="CC32" s="389"/>
      <c r="CD32" s="389"/>
      <c r="CE32" s="389"/>
      <c r="CF32" s="389"/>
      <c r="CG32" s="389"/>
      <c r="CH32" s="389"/>
      <c r="CI32" s="389"/>
      <c r="CJ32" s="389"/>
      <c r="CK32" s="389"/>
      <c r="CL32" s="389"/>
      <c r="CM32" s="390"/>
      <c r="CN32" s="217"/>
      <c r="CO32" s="218"/>
      <c r="CP32" s="389"/>
      <c r="CQ32" s="389"/>
      <c r="CR32" s="389"/>
      <c r="CS32" s="389"/>
      <c r="CT32" s="389"/>
      <c r="CU32" s="389"/>
      <c r="CV32" s="389"/>
      <c r="CW32" s="389"/>
      <c r="CX32" s="389"/>
      <c r="CY32" s="389"/>
      <c r="CZ32" s="390"/>
      <c r="DA32" s="217"/>
      <c r="DB32" s="218"/>
      <c r="DC32" s="389"/>
      <c r="DD32" s="389"/>
      <c r="DE32" s="389"/>
      <c r="DF32" s="389"/>
      <c r="DG32" s="389"/>
      <c r="DH32" s="389"/>
      <c r="DI32" s="389"/>
      <c r="DJ32" s="389"/>
      <c r="DK32" s="389"/>
      <c r="DL32" s="389"/>
      <c r="DM32" s="390"/>
      <c r="DN32" s="217"/>
      <c r="DO32" s="218"/>
      <c r="DP32" s="389"/>
      <c r="DQ32" s="389"/>
      <c r="DR32" s="389"/>
      <c r="DS32" s="389"/>
      <c r="DT32" s="389"/>
      <c r="DU32" s="389"/>
      <c r="DV32" s="389"/>
      <c r="DW32" s="389"/>
      <c r="DX32" s="389"/>
      <c r="DY32" s="389"/>
      <c r="DZ32" s="390"/>
      <c r="EA32" s="217"/>
      <c r="EB32" s="218"/>
      <c r="EC32" s="389"/>
      <c r="ED32" s="389"/>
      <c r="EE32" s="389"/>
      <c r="EF32" s="389"/>
      <c r="EG32" s="389"/>
      <c r="EH32" s="389"/>
      <c r="EI32" s="389"/>
      <c r="EJ32" s="389"/>
      <c r="EK32" s="389"/>
      <c r="EL32" s="389"/>
      <c r="EM32" s="390"/>
      <c r="EN32" s="217"/>
      <c r="EO32" s="218"/>
      <c r="EP32" s="389"/>
      <c r="EQ32" s="389"/>
      <c r="ER32" s="389"/>
      <c r="ES32" s="389"/>
      <c r="ET32" s="389"/>
      <c r="EU32" s="389"/>
      <c r="EV32" s="389"/>
      <c r="EW32" s="389"/>
      <c r="EX32" s="389"/>
      <c r="EY32" s="389"/>
      <c r="EZ32" s="390"/>
      <c r="FA32" s="217"/>
      <c r="FB32" s="218"/>
      <c r="FC32" s="389"/>
      <c r="FD32" s="389"/>
      <c r="FE32" s="389"/>
      <c r="FF32" s="389"/>
      <c r="FG32" s="389"/>
      <c r="FH32" s="389"/>
      <c r="FI32" s="389"/>
      <c r="FJ32" s="389"/>
      <c r="FK32" s="389"/>
      <c r="FL32" s="389"/>
      <c r="FM32" s="390"/>
      <c r="FN32" s="217"/>
      <c r="FO32" s="218"/>
      <c r="FP32" s="389"/>
      <c r="FQ32" s="389"/>
      <c r="FR32" s="389"/>
      <c r="FS32" s="389"/>
      <c r="FT32" s="389"/>
      <c r="FU32" s="389"/>
      <c r="FV32" s="389"/>
      <c r="FW32" s="389"/>
      <c r="FX32" s="389"/>
      <c r="FY32" s="389"/>
      <c r="FZ32" s="390"/>
      <c r="GA32" s="217"/>
      <c r="GB32" s="218"/>
      <c r="GC32" s="389"/>
      <c r="GD32" s="389"/>
      <c r="GE32" s="389"/>
      <c r="GF32" s="389"/>
      <c r="GG32" s="389"/>
      <c r="GH32" s="389"/>
      <c r="GI32" s="389"/>
      <c r="GJ32" s="389"/>
      <c r="GK32" s="389"/>
      <c r="GL32" s="389"/>
      <c r="GM32" s="390"/>
      <c r="GN32" s="217"/>
      <c r="GO32" s="218"/>
      <c r="GP32" s="389"/>
      <c r="GQ32" s="389"/>
      <c r="GR32" s="389"/>
      <c r="GS32" s="389"/>
      <c r="GT32" s="389"/>
      <c r="GU32" s="389"/>
      <c r="GV32" s="389"/>
      <c r="GW32" s="389"/>
      <c r="GX32" s="389"/>
      <c r="GY32" s="389"/>
      <c r="GZ32" s="390"/>
      <c r="HA32" s="217"/>
      <c r="HB32" s="218"/>
      <c r="HC32" s="389"/>
      <c r="HD32" s="389"/>
      <c r="HE32" s="389"/>
      <c r="HF32" s="389"/>
      <c r="HG32" s="389"/>
      <c r="HH32" s="389"/>
      <c r="HI32" s="389"/>
      <c r="HJ32" s="389"/>
      <c r="HK32" s="389"/>
      <c r="HL32" s="389"/>
      <c r="HM32" s="390"/>
      <c r="HN32" s="217"/>
      <c r="HO32" s="218"/>
      <c r="HP32" s="389"/>
      <c r="HQ32" s="389"/>
      <c r="HR32" s="389"/>
      <c r="HS32" s="389"/>
      <c r="HT32" s="389"/>
      <c r="HU32" s="389"/>
      <c r="HV32" s="389"/>
      <c r="HW32" s="389"/>
      <c r="HX32" s="389"/>
      <c r="HY32" s="389"/>
      <c r="HZ32" s="390"/>
      <c r="IA32" s="217"/>
      <c r="IB32" s="218"/>
      <c r="IC32" s="389"/>
      <c r="ID32" s="389"/>
      <c r="IE32" s="389"/>
      <c r="IF32" s="389"/>
      <c r="IG32" s="389"/>
      <c r="IH32" s="389"/>
      <c r="II32" s="389"/>
      <c r="IJ32" s="389"/>
      <c r="IK32" s="389"/>
      <c r="IL32" s="389"/>
      <c r="IM32" s="390"/>
      <c r="IN32" s="217"/>
      <c r="IO32" s="218"/>
      <c r="IP32" s="389"/>
      <c r="IQ32" s="389"/>
      <c r="IR32" s="389"/>
      <c r="IS32" s="389"/>
      <c r="IT32" s="389"/>
      <c r="IU32" s="389"/>
      <c r="IV32" s="389"/>
    </row>
    <row r="33" spans="1:256" x14ac:dyDescent="0.2">
      <c r="A33" s="217"/>
      <c r="B33" s="218"/>
      <c r="C33" s="389"/>
      <c r="D33" s="389"/>
      <c r="E33" s="389"/>
      <c r="F33" s="389"/>
      <c r="G33" s="389"/>
      <c r="H33" s="389"/>
      <c r="I33" s="389"/>
      <c r="J33" s="389"/>
      <c r="K33" s="389"/>
      <c r="L33" s="389"/>
      <c r="M33" s="390"/>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9"/>
      <c r="D34" s="389"/>
      <c r="E34" s="389"/>
      <c r="F34" s="389"/>
      <c r="G34" s="389"/>
      <c r="H34" s="389"/>
      <c r="I34" s="389"/>
      <c r="J34" s="389"/>
      <c r="K34" s="389"/>
      <c r="L34" s="389"/>
      <c r="M34" s="390"/>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9"/>
      <c r="D35" s="389"/>
      <c r="E35" s="389"/>
      <c r="F35" s="389"/>
      <c r="G35" s="389"/>
      <c r="H35" s="389"/>
      <c r="I35" s="389"/>
      <c r="J35" s="389"/>
      <c r="K35" s="389"/>
      <c r="L35" s="389"/>
      <c r="M35" s="390"/>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9"/>
      <c r="D36" s="389"/>
      <c r="E36" s="389"/>
      <c r="F36" s="389"/>
      <c r="G36" s="389"/>
      <c r="H36" s="389"/>
      <c r="I36" s="389"/>
      <c r="J36" s="389"/>
      <c r="K36" s="389"/>
      <c r="L36" s="389"/>
      <c r="M36" s="390"/>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9"/>
      <c r="D37" s="389"/>
      <c r="E37" s="389"/>
      <c r="F37" s="389"/>
      <c r="G37" s="389"/>
      <c r="H37" s="389"/>
      <c r="I37" s="389"/>
      <c r="J37" s="389"/>
      <c r="K37" s="389"/>
      <c r="L37" s="389"/>
      <c r="M37" s="390"/>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9"/>
      <c r="D38" s="389"/>
      <c r="E38" s="389"/>
      <c r="F38" s="389"/>
      <c r="G38" s="389"/>
      <c r="H38" s="389"/>
      <c r="I38" s="389"/>
      <c r="J38" s="389"/>
      <c r="K38" s="389"/>
      <c r="L38" s="389"/>
      <c r="M38" s="390"/>
      <c r="N38" s="210"/>
      <c r="O38" s="210"/>
      <c r="P38" s="388"/>
      <c r="Q38" s="388"/>
      <c r="R38" s="388"/>
      <c r="S38" s="388"/>
      <c r="T38" s="388"/>
      <c r="U38" s="388"/>
      <c r="V38" s="388"/>
      <c r="W38" s="388"/>
      <c r="X38" s="388"/>
      <c r="Y38" s="388"/>
      <c r="Z38" s="388"/>
      <c r="AA38" s="206"/>
      <c r="AB38" s="206"/>
      <c r="AC38" s="387"/>
      <c r="AD38" s="387"/>
      <c r="AE38" s="387"/>
      <c r="AF38" s="387"/>
      <c r="AG38" s="387"/>
      <c r="AH38" s="387"/>
      <c r="AI38" s="387"/>
      <c r="AJ38" s="387"/>
      <c r="AK38" s="387"/>
      <c r="AL38" s="387"/>
      <c r="AM38" s="387"/>
      <c r="AN38" s="206"/>
      <c r="AO38" s="206"/>
      <c r="AP38" s="387"/>
      <c r="AQ38" s="387"/>
      <c r="AR38" s="387"/>
      <c r="AS38" s="387"/>
      <c r="AT38" s="387"/>
      <c r="AU38" s="387"/>
      <c r="AV38" s="387"/>
      <c r="AW38" s="387"/>
      <c r="AX38" s="387"/>
      <c r="AY38" s="387"/>
      <c r="AZ38" s="387"/>
      <c r="BA38" s="206"/>
      <c r="BB38" s="206"/>
      <c r="BC38" s="387"/>
      <c r="BD38" s="387"/>
      <c r="BE38" s="387"/>
      <c r="BF38" s="387"/>
      <c r="BG38" s="387"/>
      <c r="BH38" s="387"/>
      <c r="BI38" s="387"/>
      <c r="BJ38" s="387"/>
      <c r="BK38" s="387"/>
      <c r="BL38" s="387"/>
      <c r="BM38" s="387"/>
      <c r="BN38" s="206"/>
      <c r="BO38" s="206"/>
      <c r="BP38" s="387"/>
      <c r="BQ38" s="387"/>
      <c r="BR38" s="387"/>
      <c r="BS38" s="387"/>
      <c r="BT38" s="387"/>
      <c r="BU38" s="387"/>
      <c r="BV38" s="387"/>
      <c r="BW38" s="387"/>
      <c r="BX38" s="387"/>
      <c r="BY38" s="387"/>
      <c r="BZ38" s="387"/>
      <c r="CA38" s="206"/>
      <c r="CB38" s="206"/>
      <c r="CC38" s="387"/>
      <c r="CD38" s="387"/>
      <c r="CE38" s="387"/>
      <c r="CF38" s="387"/>
      <c r="CG38" s="387"/>
      <c r="CH38" s="387"/>
      <c r="CI38" s="387"/>
      <c r="CJ38" s="387"/>
      <c r="CK38" s="387"/>
      <c r="CL38" s="387"/>
      <c r="CM38" s="387"/>
      <c r="CN38" s="206"/>
      <c r="CO38" s="206"/>
      <c r="CP38" s="387"/>
      <c r="CQ38" s="387"/>
      <c r="CR38" s="387"/>
      <c r="CS38" s="387"/>
      <c r="CT38" s="387"/>
      <c r="CU38" s="387"/>
      <c r="CV38" s="387"/>
      <c r="CW38" s="387"/>
      <c r="CX38" s="387"/>
      <c r="CY38" s="387"/>
      <c r="CZ38" s="387"/>
      <c r="DA38" s="206"/>
      <c r="DB38" s="206"/>
      <c r="DC38" s="387"/>
      <c r="DD38" s="387"/>
      <c r="DE38" s="387"/>
      <c r="DF38" s="387"/>
      <c r="DG38" s="387"/>
      <c r="DH38" s="387"/>
      <c r="DI38" s="387"/>
      <c r="DJ38" s="387"/>
      <c r="DK38" s="387"/>
      <c r="DL38" s="387"/>
      <c r="DM38" s="387"/>
      <c r="DN38" s="206"/>
      <c r="DO38" s="206"/>
      <c r="DP38" s="387"/>
      <c r="DQ38" s="387"/>
      <c r="DR38" s="387"/>
      <c r="DS38" s="387"/>
      <c r="DT38" s="387"/>
      <c r="DU38" s="387"/>
      <c r="DV38" s="387"/>
      <c r="DW38" s="387"/>
      <c r="DX38" s="387"/>
      <c r="DY38" s="387"/>
      <c r="DZ38" s="387"/>
      <c r="EA38" s="206"/>
      <c r="EB38" s="206"/>
      <c r="EC38" s="387"/>
      <c r="ED38" s="387"/>
      <c r="EE38" s="387"/>
      <c r="EF38" s="387"/>
      <c r="EG38" s="387"/>
      <c r="EH38" s="387"/>
      <c r="EI38" s="387"/>
      <c r="EJ38" s="387"/>
      <c r="EK38" s="387"/>
      <c r="EL38" s="387"/>
      <c r="EM38" s="387"/>
      <c r="EN38" s="206"/>
      <c r="EO38" s="206"/>
      <c r="EP38" s="387"/>
      <c r="EQ38" s="387"/>
      <c r="ER38" s="387"/>
      <c r="ES38" s="387"/>
      <c r="ET38" s="387"/>
      <c r="EU38" s="387"/>
      <c r="EV38" s="387"/>
      <c r="EW38" s="387"/>
      <c r="EX38" s="387"/>
      <c r="EY38" s="387"/>
      <c r="EZ38" s="387"/>
      <c r="FA38" s="206"/>
      <c r="FB38" s="206"/>
      <c r="FC38" s="387"/>
      <c r="FD38" s="387"/>
      <c r="FE38" s="387"/>
      <c r="FF38" s="387"/>
      <c r="FG38" s="387"/>
      <c r="FH38" s="387"/>
      <c r="FI38" s="387"/>
      <c r="FJ38" s="387"/>
      <c r="FK38" s="387"/>
      <c r="FL38" s="387"/>
      <c r="FM38" s="387"/>
      <c r="FN38" s="206"/>
      <c r="FO38" s="206"/>
      <c r="FP38" s="387"/>
      <c r="FQ38" s="387"/>
      <c r="FR38" s="387"/>
      <c r="FS38" s="387"/>
      <c r="FT38" s="387"/>
      <c r="FU38" s="387"/>
      <c r="FV38" s="387"/>
      <c r="FW38" s="387"/>
      <c r="FX38" s="387"/>
      <c r="FY38" s="387"/>
      <c r="FZ38" s="387"/>
      <c r="GA38" s="206"/>
      <c r="GB38" s="206"/>
      <c r="GC38" s="387"/>
      <c r="GD38" s="387"/>
      <c r="GE38" s="387"/>
      <c r="GF38" s="387"/>
      <c r="GG38" s="387"/>
      <c r="GH38" s="387"/>
      <c r="GI38" s="387"/>
      <c r="GJ38" s="387"/>
      <c r="GK38" s="387"/>
      <c r="GL38" s="387"/>
      <c r="GM38" s="387"/>
      <c r="GN38" s="206"/>
      <c r="GO38" s="206"/>
      <c r="GP38" s="387"/>
      <c r="GQ38" s="387"/>
      <c r="GR38" s="387"/>
      <c r="GS38" s="387"/>
      <c r="GT38" s="387"/>
      <c r="GU38" s="387"/>
      <c r="GV38" s="387"/>
      <c r="GW38" s="387"/>
      <c r="GX38" s="387"/>
      <c r="GY38" s="387"/>
      <c r="GZ38" s="387"/>
      <c r="HA38" s="206"/>
      <c r="HB38" s="206"/>
      <c r="HC38" s="387"/>
      <c r="HD38" s="387"/>
      <c r="HE38" s="387"/>
      <c r="HF38" s="387"/>
      <c r="HG38" s="387"/>
      <c r="HH38" s="387"/>
      <c r="HI38" s="387"/>
      <c r="HJ38" s="387"/>
      <c r="HK38" s="387"/>
      <c r="HL38" s="387"/>
      <c r="HM38" s="387"/>
      <c r="HN38" s="206"/>
      <c r="HO38" s="206"/>
      <c r="HP38" s="387"/>
      <c r="HQ38" s="387"/>
      <c r="HR38" s="387"/>
      <c r="HS38" s="387"/>
      <c r="HT38" s="387"/>
      <c r="HU38" s="387"/>
      <c r="HV38" s="387"/>
      <c r="HW38" s="387"/>
      <c r="HX38" s="387"/>
      <c r="HY38" s="387"/>
      <c r="HZ38" s="387"/>
      <c r="IA38" s="206"/>
      <c r="IB38" s="206"/>
      <c r="IC38" s="387"/>
      <c r="ID38" s="387"/>
      <c r="IE38" s="387"/>
      <c r="IF38" s="387"/>
      <c r="IG38" s="387"/>
      <c r="IH38" s="387"/>
      <c r="II38" s="387"/>
      <c r="IJ38" s="387"/>
      <c r="IK38" s="387"/>
      <c r="IL38" s="387"/>
      <c r="IM38" s="387"/>
      <c r="IN38" s="206"/>
      <c r="IO38" s="206"/>
      <c r="IP38" s="387"/>
      <c r="IQ38" s="387"/>
      <c r="IR38" s="387"/>
      <c r="IS38" s="387"/>
      <c r="IT38" s="387"/>
      <c r="IU38" s="387"/>
      <c r="IV38" s="387"/>
    </row>
    <row r="39" spans="1:256" x14ac:dyDescent="0.2">
      <c r="A39" s="217"/>
      <c r="B39" s="218"/>
      <c r="C39" s="389"/>
      <c r="D39" s="389"/>
      <c r="E39" s="389"/>
      <c r="F39" s="389"/>
      <c r="G39" s="389"/>
      <c r="H39" s="389"/>
      <c r="I39" s="389"/>
      <c r="J39" s="389"/>
      <c r="K39" s="389"/>
      <c r="L39" s="389"/>
      <c r="M39" s="390"/>
      <c r="N39" s="210"/>
      <c r="O39" s="210"/>
      <c r="P39" s="388"/>
      <c r="Q39" s="388"/>
      <c r="R39" s="388"/>
      <c r="S39" s="388"/>
      <c r="T39" s="388"/>
      <c r="U39" s="388"/>
      <c r="V39" s="388"/>
      <c r="W39" s="388"/>
      <c r="X39" s="388"/>
      <c r="Y39" s="388"/>
      <c r="Z39" s="388"/>
      <c r="AA39" s="206"/>
      <c r="AB39" s="206"/>
      <c r="AC39" s="387"/>
      <c r="AD39" s="387"/>
      <c r="AE39" s="387"/>
      <c r="AF39" s="387"/>
      <c r="AG39" s="387"/>
      <c r="AH39" s="387"/>
      <c r="AI39" s="387"/>
      <c r="AJ39" s="387"/>
      <c r="AK39" s="387"/>
      <c r="AL39" s="387"/>
      <c r="AM39" s="387"/>
      <c r="AN39" s="206"/>
      <c r="AO39" s="206"/>
      <c r="AP39" s="387"/>
      <c r="AQ39" s="387"/>
      <c r="AR39" s="387"/>
      <c r="AS39" s="387"/>
      <c r="AT39" s="387"/>
      <c r="AU39" s="387"/>
      <c r="AV39" s="387"/>
      <c r="AW39" s="387"/>
      <c r="AX39" s="387"/>
      <c r="AY39" s="387"/>
      <c r="AZ39" s="387"/>
      <c r="BA39" s="206"/>
      <c r="BB39" s="206"/>
      <c r="BC39" s="387"/>
      <c r="BD39" s="387"/>
      <c r="BE39" s="387"/>
      <c r="BF39" s="387"/>
      <c r="BG39" s="387"/>
      <c r="BH39" s="387"/>
      <c r="BI39" s="387"/>
      <c r="BJ39" s="387"/>
      <c r="BK39" s="387"/>
      <c r="BL39" s="387"/>
      <c r="BM39" s="387"/>
      <c r="BN39" s="206"/>
      <c r="BO39" s="206"/>
      <c r="BP39" s="387"/>
      <c r="BQ39" s="387"/>
      <c r="BR39" s="387"/>
      <c r="BS39" s="387"/>
      <c r="BT39" s="387"/>
      <c r="BU39" s="387"/>
      <c r="BV39" s="387"/>
      <c r="BW39" s="387"/>
      <c r="BX39" s="387"/>
      <c r="BY39" s="387"/>
      <c r="BZ39" s="387"/>
      <c r="CA39" s="206"/>
      <c r="CB39" s="206"/>
      <c r="CC39" s="387"/>
      <c r="CD39" s="387"/>
      <c r="CE39" s="387"/>
      <c r="CF39" s="387"/>
      <c r="CG39" s="387"/>
      <c r="CH39" s="387"/>
      <c r="CI39" s="387"/>
      <c r="CJ39" s="387"/>
      <c r="CK39" s="387"/>
      <c r="CL39" s="387"/>
      <c r="CM39" s="387"/>
      <c r="CN39" s="206"/>
      <c r="CO39" s="206"/>
      <c r="CP39" s="387"/>
      <c r="CQ39" s="387"/>
      <c r="CR39" s="387"/>
      <c r="CS39" s="387"/>
      <c r="CT39" s="387"/>
      <c r="CU39" s="387"/>
      <c r="CV39" s="387"/>
      <c r="CW39" s="387"/>
      <c r="CX39" s="387"/>
      <c r="CY39" s="387"/>
      <c r="CZ39" s="387"/>
      <c r="DA39" s="206"/>
      <c r="DB39" s="206"/>
      <c r="DC39" s="387"/>
      <c r="DD39" s="387"/>
      <c r="DE39" s="387"/>
      <c r="DF39" s="387"/>
      <c r="DG39" s="387"/>
      <c r="DH39" s="387"/>
      <c r="DI39" s="387"/>
      <c r="DJ39" s="387"/>
      <c r="DK39" s="387"/>
      <c r="DL39" s="387"/>
      <c r="DM39" s="387"/>
      <c r="DN39" s="206"/>
      <c r="DO39" s="206"/>
      <c r="DP39" s="387"/>
      <c r="DQ39" s="387"/>
      <c r="DR39" s="387"/>
      <c r="DS39" s="387"/>
      <c r="DT39" s="387"/>
      <c r="DU39" s="387"/>
      <c r="DV39" s="387"/>
      <c r="DW39" s="387"/>
      <c r="DX39" s="387"/>
      <c r="DY39" s="387"/>
      <c r="DZ39" s="387"/>
      <c r="EA39" s="206"/>
      <c r="EB39" s="206"/>
      <c r="EC39" s="387"/>
      <c r="ED39" s="387"/>
      <c r="EE39" s="387"/>
      <c r="EF39" s="387"/>
      <c r="EG39" s="387"/>
      <c r="EH39" s="387"/>
      <c r="EI39" s="387"/>
      <c r="EJ39" s="387"/>
      <c r="EK39" s="387"/>
      <c r="EL39" s="387"/>
      <c r="EM39" s="387"/>
      <c r="EN39" s="206"/>
      <c r="EO39" s="206"/>
      <c r="EP39" s="387"/>
      <c r="EQ39" s="387"/>
      <c r="ER39" s="387"/>
      <c r="ES39" s="387"/>
      <c r="ET39" s="387"/>
      <c r="EU39" s="387"/>
      <c r="EV39" s="387"/>
      <c r="EW39" s="387"/>
      <c r="EX39" s="387"/>
      <c r="EY39" s="387"/>
      <c r="EZ39" s="387"/>
      <c r="FA39" s="206"/>
      <c r="FB39" s="206"/>
      <c r="FC39" s="387"/>
      <c r="FD39" s="387"/>
      <c r="FE39" s="387"/>
      <c r="FF39" s="387"/>
      <c r="FG39" s="387"/>
      <c r="FH39" s="387"/>
      <c r="FI39" s="387"/>
      <c r="FJ39" s="387"/>
      <c r="FK39" s="387"/>
      <c r="FL39" s="387"/>
      <c r="FM39" s="387"/>
      <c r="FN39" s="206"/>
      <c r="FO39" s="206"/>
      <c r="FP39" s="387"/>
      <c r="FQ39" s="387"/>
      <c r="FR39" s="387"/>
      <c r="FS39" s="387"/>
      <c r="FT39" s="387"/>
      <c r="FU39" s="387"/>
      <c r="FV39" s="387"/>
      <c r="FW39" s="387"/>
      <c r="FX39" s="387"/>
      <c r="FY39" s="387"/>
      <c r="FZ39" s="387"/>
      <c r="GA39" s="206"/>
      <c r="GB39" s="206"/>
      <c r="GC39" s="387"/>
      <c r="GD39" s="387"/>
      <c r="GE39" s="387"/>
      <c r="GF39" s="387"/>
      <c r="GG39" s="387"/>
      <c r="GH39" s="387"/>
      <c r="GI39" s="387"/>
      <c r="GJ39" s="387"/>
      <c r="GK39" s="387"/>
      <c r="GL39" s="387"/>
      <c r="GM39" s="387"/>
      <c r="GN39" s="206"/>
      <c r="GO39" s="206"/>
      <c r="GP39" s="387"/>
      <c r="GQ39" s="387"/>
      <c r="GR39" s="387"/>
      <c r="GS39" s="387"/>
      <c r="GT39" s="387"/>
      <c r="GU39" s="387"/>
      <c r="GV39" s="387"/>
      <c r="GW39" s="387"/>
      <c r="GX39" s="387"/>
      <c r="GY39" s="387"/>
      <c r="GZ39" s="387"/>
      <c r="HA39" s="206"/>
      <c r="HB39" s="206"/>
      <c r="HC39" s="387"/>
      <c r="HD39" s="387"/>
      <c r="HE39" s="387"/>
      <c r="HF39" s="387"/>
      <c r="HG39" s="387"/>
      <c r="HH39" s="387"/>
      <c r="HI39" s="387"/>
      <c r="HJ39" s="387"/>
      <c r="HK39" s="387"/>
      <c r="HL39" s="387"/>
      <c r="HM39" s="387"/>
      <c r="HN39" s="206"/>
      <c r="HO39" s="206"/>
      <c r="HP39" s="387"/>
      <c r="HQ39" s="387"/>
      <c r="HR39" s="387"/>
      <c r="HS39" s="387"/>
      <c r="HT39" s="387"/>
      <c r="HU39" s="387"/>
      <c r="HV39" s="387"/>
      <c r="HW39" s="387"/>
      <c r="HX39" s="387"/>
      <c r="HY39" s="387"/>
      <c r="HZ39" s="387"/>
      <c r="IA39" s="206"/>
      <c r="IB39" s="206"/>
      <c r="IC39" s="387"/>
      <c r="ID39" s="387"/>
      <c r="IE39" s="387"/>
      <c r="IF39" s="387"/>
      <c r="IG39" s="387"/>
      <c r="IH39" s="387"/>
      <c r="II39" s="387"/>
      <c r="IJ39" s="387"/>
      <c r="IK39" s="387"/>
      <c r="IL39" s="387"/>
      <c r="IM39" s="387"/>
      <c r="IN39" s="206"/>
      <c r="IO39" s="206"/>
      <c r="IP39" s="387"/>
      <c r="IQ39" s="387"/>
      <c r="IR39" s="387"/>
      <c r="IS39" s="387"/>
      <c r="IT39" s="387"/>
      <c r="IU39" s="387"/>
      <c r="IV39" s="387"/>
    </row>
    <row r="40" spans="1:256" x14ac:dyDescent="0.2">
      <c r="A40" s="217"/>
      <c r="B40" s="218"/>
      <c r="C40" s="389"/>
      <c r="D40" s="389"/>
      <c r="E40" s="389"/>
      <c r="F40" s="389"/>
      <c r="G40" s="389"/>
      <c r="H40" s="389"/>
      <c r="I40" s="389"/>
      <c r="J40" s="389"/>
      <c r="K40" s="389"/>
      <c r="L40" s="389"/>
      <c r="M40" s="390"/>
      <c r="N40" s="210"/>
      <c r="O40" s="210"/>
      <c r="P40" s="388"/>
      <c r="Q40" s="388"/>
      <c r="R40" s="388"/>
      <c r="S40" s="388"/>
      <c r="T40" s="388"/>
      <c r="U40" s="388"/>
      <c r="V40" s="388"/>
      <c r="W40" s="388"/>
      <c r="X40" s="388"/>
      <c r="Y40" s="388"/>
      <c r="Z40" s="388"/>
      <c r="AA40" s="206"/>
      <c r="AB40" s="206"/>
      <c r="AC40" s="387"/>
      <c r="AD40" s="387"/>
      <c r="AE40" s="387"/>
      <c r="AF40" s="387"/>
      <c r="AG40" s="387"/>
      <c r="AH40" s="387"/>
      <c r="AI40" s="387"/>
      <c r="AJ40" s="387"/>
      <c r="AK40" s="387"/>
      <c r="AL40" s="387"/>
      <c r="AM40" s="387"/>
      <c r="AN40" s="206"/>
      <c r="AO40" s="206"/>
      <c r="AP40" s="387"/>
      <c r="AQ40" s="387"/>
      <c r="AR40" s="387"/>
      <c r="AS40" s="387"/>
      <c r="AT40" s="387"/>
      <c r="AU40" s="387"/>
      <c r="AV40" s="387"/>
      <c r="AW40" s="387"/>
      <c r="AX40" s="387"/>
      <c r="AY40" s="387"/>
      <c r="AZ40" s="387"/>
      <c r="BA40" s="206"/>
      <c r="BB40" s="206"/>
      <c r="BC40" s="387"/>
      <c r="BD40" s="387"/>
      <c r="BE40" s="387"/>
      <c r="BF40" s="387"/>
      <c r="BG40" s="387"/>
      <c r="BH40" s="387"/>
      <c r="BI40" s="387"/>
      <c r="BJ40" s="387"/>
      <c r="BK40" s="387"/>
      <c r="BL40" s="387"/>
      <c r="BM40" s="387"/>
      <c r="BN40" s="206"/>
      <c r="BO40" s="206"/>
      <c r="BP40" s="387"/>
      <c r="BQ40" s="387"/>
      <c r="BR40" s="387"/>
      <c r="BS40" s="387"/>
      <c r="BT40" s="387"/>
      <c r="BU40" s="387"/>
      <c r="BV40" s="387"/>
      <c r="BW40" s="387"/>
      <c r="BX40" s="387"/>
      <c r="BY40" s="387"/>
      <c r="BZ40" s="387"/>
      <c r="CA40" s="206"/>
      <c r="CB40" s="206"/>
      <c r="CC40" s="387"/>
      <c r="CD40" s="387"/>
      <c r="CE40" s="387"/>
      <c r="CF40" s="387"/>
      <c r="CG40" s="387"/>
      <c r="CH40" s="387"/>
      <c r="CI40" s="387"/>
      <c r="CJ40" s="387"/>
      <c r="CK40" s="387"/>
      <c r="CL40" s="387"/>
      <c r="CM40" s="387"/>
      <c r="CN40" s="206"/>
      <c r="CO40" s="206"/>
      <c r="CP40" s="387"/>
      <c r="CQ40" s="387"/>
      <c r="CR40" s="387"/>
      <c r="CS40" s="387"/>
      <c r="CT40" s="387"/>
      <c r="CU40" s="387"/>
      <c r="CV40" s="387"/>
      <c r="CW40" s="387"/>
      <c r="CX40" s="387"/>
      <c r="CY40" s="387"/>
      <c r="CZ40" s="387"/>
      <c r="DA40" s="206"/>
      <c r="DB40" s="206"/>
      <c r="DC40" s="387"/>
      <c r="DD40" s="387"/>
      <c r="DE40" s="387"/>
      <c r="DF40" s="387"/>
      <c r="DG40" s="387"/>
      <c r="DH40" s="387"/>
      <c r="DI40" s="387"/>
      <c r="DJ40" s="387"/>
      <c r="DK40" s="387"/>
      <c r="DL40" s="387"/>
      <c r="DM40" s="387"/>
      <c r="DN40" s="206"/>
      <c r="DO40" s="206"/>
      <c r="DP40" s="387"/>
      <c r="DQ40" s="387"/>
      <c r="DR40" s="387"/>
      <c r="DS40" s="387"/>
      <c r="DT40" s="387"/>
      <c r="DU40" s="387"/>
      <c r="DV40" s="387"/>
      <c r="DW40" s="387"/>
      <c r="DX40" s="387"/>
      <c r="DY40" s="387"/>
      <c r="DZ40" s="387"/>
      <c r="EA40" s="206"/>
      <c r="EB40" s="206"/>
      <c r="EC40" s="387"/>
      <c r="ED40" s="387"/>
      <c r="EE40" s="387"/>
      <c r="EF40" s="387"/>
      <c r="EG40" s="387"/>
      <c r="EH40" s="387"/>
      <c r="EI40" s="387"/>
      <c r="EJ40" s="387"/>
      <c r="EK40" s="387"/>
      <c r="EL40" s="387"/>
      <c r="EM40" s="387"/>
      <c r="EN40" s="206"/>
      <c r="EO40" s="206"/>
      <c r="EP40" s="387"/>
      <c r="EQ40" s="387"/>
      <c r="ER40" s="387"/>
      <c r="ES40" s="387"/>
      <c r="ET40" s="387"/>
      <c r="EU40" s="387"/>
      <c r="EV40" s="387"/>
      <c r="EW40" s="387"/>
      <c r="EX40" s="387"/>
      <c r="EY40" s="387"/>
      <c r="EZ40" s="387"/>
      <c r="FA40" s="206"/>
      <c r="FB40" s="206"/>
      <c r="FC40" s="387"/>
      <c r="FD40" s="387"/>
      <c r="FE40" s="387"/>
      <c r="FF40" s="387"/>
      <c r="FG40" s="387"/>
      <c r="FH40" s="387"/>
      <c r="FI40" s="387"/>
      <c r="FJ40" s="387"/>
      <c r="FK40" s="387"/>
      <c r="FL40" s="387"/>
      <c r="FM40" s="387"/>
      <c r="FN40" s="206"/>
      <c r="FO40" s="206"/>
      <c r="FP40" s="387"/>
      <c r="FQ40" s="387"/>
      <c r="FR40" s="387"/>
      <c r="FS40" s="387"/>
      <c r="FT40" s="387"/>
      <c r="FU40" s="387"/>
      <c r="FV40" s="387"/>
      <c r="FW40" s="387"/>
      <c r="FX40" s="387"/>
      <c r="FY40" s="387"/>
      <c r="FZ40" s="387"/>
      <c r="GA40" s="206"/>
      <c r="GB40" s="206"/>
      <c r="GC40" s="387"/>
      <c r="GD40" s="387"/>
      <c r="GE40" s="387"/>
      <c r="GF40" s="387"/>
      <c r="GG40" s="387"/>
      <c r="GH40" s="387"/>
      <c r="GI40" s="387"/>
      <c r="GJ40" s="387"/>
      <c r="GK40" s="387"/>
      <c r="GL40" s="387"/>
      <c r="GM40" s="387"/>
      <c r="GN40" s="206"/>
      <c r="GO40" s="206"/>
      <c r="GP40" s="387"/>
      <c r="GQ40" s="387"/>
      <c r="GR40" s="387"/>
      <c r="GS40" s="387"/>
      <c r="GT40" s="387"/>
      <c r="GU40" s="387"/>
      <c r="GV40" s="387"/>
      <c r="GW40" s="387"/>
      <c r="GX40" s="387"/>
      <c r="GY40" s="387"/>
      <c r="GZ40" s="387"/>
      <c r="HA40" s="206"/>
      <c r="HB40" s="206"/>
      <c r="HC40" s="387"/>
      <c r="HD40" s="387"/>
      <c r="HE40" s="387"/>
      <c r="HF40" s="387"/>
      <c r="HG40" s="387"/>
      <c r="HH40" s="387"/>
      <c r="HI40" s="387"/>
      <c r="HJ40" s="387"/>
      <c r="HK40" s="387"/>
      <c r="HL40" s="387"/>
      <c r="HM40" s="387"/>
      <c r="HN40" s="206"/>
      <c r="HO40" s="206"/>
      <c r="HP40" s="387"/>
      <c r="HQ40" s="387"/>
      <c r="HR40" s="387"/>
      <c r="HS40" s="387"/>
      <c r="HT40" s="387"/>
      <c r="HU40" s="387"/>
      <c r="HV40" s="387"/>
      <c r="HW40" s="387"/>
      <c r="HX40" s="387"/>
      <c r="HY40" s="387"/>
      <c r="HZ40" s="387"/>
      <c r="IA40" s="206"/>
      <c r="IB40" s="206"/>
      <c r="IC40" s="387"/>
      <c r="ID40" s="387"/>
      <c r="IE40" s="387"/>
      <c r="IF40" s="387"/>
      <c r="IG40" s="387"/>
      <c r="IH40" s="387"/>
      <c r="II40" s="387"/>
      <c r="IJ40" s="387"/>
      <c r="IK40" s="387"/>
      <c r="IL40" s="387"/>
      <c r="IM40" s="387"/>
      <c r="IN40" s="206"/>
      <c r="IO40" s="206"/>
      <c r="IP40" s="387"/>
      <c r="IQ40" s="387"/>
      <c r="IR40" s="387"/>
      <c r="IS40" s="387"/>
      <c r="IT40" s="387"/>
      <c r="IU40" s="387"/>
      <c r="IV40" s="387"/>
    </row>
    <row r="41" spans="1:256" x14ac:dyDescent="0.2">
      <c r="A41" s="217"/>
      <c r="B41" s="218"/>
      <c r="C41" s="389"/>
      <c r="D41" s="389"/>
      <c r="E41" s="389"/>
      <c r="F41" s="389"/>
      <c r="G41" s="389"/>
      <c r="H41" s="389"/>
      <c r="I41" s="389"/>
      <c r="J41" s="389"/>
      <c r="K41" s="389"/>
      <c r="L41" s="389"/>
      <c r="M41" s="390"/>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9"/>
      <c r="D42" s="389"/>
      <c r="E42" s="389"/>
      <c r="F42" s="389"/>
      <c r="G42" s="389"/>
      <c r="H42" s="389"/>
      <c r="I42" s="389"/>
      <c r="J42" s="389"/>
      <c r="K42" s="389"/>
      <c r="L42" s="389"/>
      <c r="M42" s="390"/>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9"/>
      <c r="D43" s="389"/>
      <c r="E43" s="389"/>
      <c r="F43" s="389"/>
      <c r="G43" s="389"/>
      <c r="H43" s="389"/>
      <c r="I43" s="389"/>
      <c r="J43" s="389"/>
      <c r="K43" s="389"/>
      <c r="L43" s="389"/>
      <c r="M43" s="390"/>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9"/>
      <c r="D44" s="389"/>
      <c r="E44" s="389"/>
      <c r="F44" s="389"/>
      <c r="G44" s="389"/>
      <c r="H44" s="389"/>
      <c r="I44" s="389"/>
      <c r="J44" s="389"/>
      <c r="K44" s="389"/>
      <c r="L44" s="389"/>
      <c r="M44" s="390"/>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9"/>
      <c r="D45" s="389"/>
      <c r="E45" s="389"/>
      <c r="F45" s="389"/>
      <c r="G45" s="389"/>
      <c r="H45" s="389"/>
      <c r="I45" s="389"/>
      <c r="J45" s="389"/>
      <c r="K45" s="389"/>
      <c r="L45" s="389"/>
      <c r="M45" s="390"/>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9"/>
      <c r="D46" s="389"/>
      <c r="E46" s="389"/>
      <c r="F46" s="389"/>
      <c r="G46" s="389"/>
      <c r="H46" s="389"/>
      <c r="I46" s="389"/>
      <c r="J46" s="389"/>
      <c r="K46" s="389"/>
      <c r="L46" s="389"/>
      <c r="M46" s="390"/>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9"/>
      <c r="D47" s="389"/>
      <c r="E47" s="389"/>
      <c r="F47" s="389"/>
      <c r="G47" s="389"/>
      <c r="H47" s="389"/>
      <c r="I47" s="389"/>
      <c r="J47" s="389"/>
      <c r="K47" s="389"/>
      <c r="L47" s="389"/>
      <c r="M47" s="390"/>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9"/>
      <c r="D48" s="389"/>
      <c r="E48" s="389"/>
      <c r="F48" s="389"/>
      <c r="G48" s="389"/>
      <c r="H48" s="389"/>
      <c r="I48" s="389"/>
      <c r="J48" s="389"/>
      <c r="K48" s="389"/>
      <c r="L48" s="389"/>
      <c r="M48" s="390"/>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9"/>
      <c r="D49" s="389"/>
      <c r="E49" s="389"/>
      <c r="F49" s="389"/>
      <c r="G49" s="389"/>
      <c r="H49" s="389"/>
      <c r="I49" s="389"/>
      <c r="J49" s="389"/>
      <c r="K49" s="389"/>
      <c r="L49" s="389"/>
      <c r="M49" s="390"/>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9"/>
      <c r="D50" s="389"/>
      <c r="E50" s="389"/>
      <c r="F50" s="389"/>
      <c r="G50" s="389"/>
      <c r="H50" s="389"/>
      <c r="I50" s="389"/>
      <c r="J50" s="389"/>
      <c r="K50" s="389"/>
      <c r="L50" s="389"/>
      <c r="M50" s="390"/>
      <c r="N50" s="126"/>
      <c r="O50" s="126"/>
      <c r="P50" s="126"/>
      <c r="Q50" s="126"/>
      <c r="R50" s="126"/>
      <c r="S50" s="126"/>
      <c r="T50" s="126"/>
      <c r="U50" s="126"/>
      <c r="V50" s="126"/>
      <c r="W50" s="126"/>
      <c r="X50" s="126"/>
      <c r="Y50" s="126"/>
      <c r="Z50" s="126"/>
    </row>
    <row r="51" spans="1:256" x14ac:dyDescent="0.2">
      <c r="A51" s="217"/>
      <c r="B51" s="218"/>
      <c r="C51" s="389"/>
      <c r="D51" s="389"/>
      <c r="E51" s="389"/>
      <c r="F51" s="389"/>
      <c r="G51" s="389"/>
      <c r="H51" s="389"/>
      <c r="I51" s="389"/>
      <c r="J51" s="389"/>
      <c r="K51" s="389"/>
      <c r="L51" s="389"/>
      <c r="M51" s="390"/>
      <c r="N51" s="126"/>
      <c r="O51" s="126"/>
      <c r="P51" s="126"/>
      <c r="Q51" s="126"/>
      <c r="R51" s="126"/>
      <c r="S51" s="126"/>
      <c r="T51" s="126"/>
      <c r="U51" s="126"/>
      <c r="V51" s="126"/>
      <c r="W51" s="126"/>
      <c r="X51" s="126"/>
      <c r="Y51" s="126"/>
      <c r="Z51" s="126"/>
    </row>
    <row r="52" spans="1:256" x14ac:dyDescent="0.2">
      <c r="A52" s="217"/>
      <c r="B52" s="218"/>
      <c r="C52" s="389"/>
      <c r="D52" s="389"/>
      <c r="E52" s="389"/>
      <c r="F52" s="389"/>
      <c r="G52" s="389"/>
      <c r="H52" s="389"/>
      <c r="I52" s="389"/>
      <c r="J52" s="389"/>
      <c r="K52" s="389"/>
      <c r="L52" s="389"/>
      <c r="M52" s="390"/>
      <c r="N52" s="126"/>
      <c r="O52" s="126"/>
      <c r="P52" s="126"/>
      <c r="Q52" s="126"/>
      <c r="R52" s="126"/>
      <c r="S52" s="126"/>
      <c r="T52" s="126"/>
      <c r="U52" s="126"/>
      <c r="V52" s="126"/>
      <c r="W52" s="126"/>
      <c r="X52" s="126"/>
      <c r="Y52" s="126"/>
      <c r="Z52" s="126"/>
    </row>
    <row r="53" spans="1:256" x14ac:dyDescent="0.2">
      <c r="A53" s="217"/>
      <c r="B53" s="218"/>
      <c r="C53" s="389"/>
      <c r="D53" s="389"/>
      <c r="E53" s="389"/>
      <c r="F53" s="389"/>
      <c r="G53" s="389"/>
      <c r="H53" s="389"/>
      <c r="I53" s="389"/>
      <c r="J53" s="389"/>
      <c r="K53" s="389"/>
      <c r="L53" s="389"/>
      <c r="M53" s="390"/>
      <c r="N53" s="126"/>
      <c r="O53" s="126"/>
      <c r="P53" s="126"/>
      <c r="Q53" s="126"/>
      <c r="R53" s="126"/>
      <c r="S53" s="126"/>
      <c r="T53" s="126"/>
      <c r="U53" s="126"/>
      <c r="V53" s="126"/>
      <c r="W53" s="126"/>
      <c r="X53" s="126"/>
      <c r="Y53" s="126"/>
      <c r="Z53" s="126"/>
    </row>
    <row r="54" spans="1:256" x14ac:dyDescent="0.2">
      <c r="A54" s="217"/>
      <c r="B54" s="218"/>
      <c r="C54" s="389"/>
      <c r="D54" s="389"/>
      <c r="E54" s="389"/>
      <c r="F54" s="389"/>
      <c r="G54" s="389"/>
      <c r="H54" s="389"/>
      <c r="I54" s="389"/>
      <c r="J54" s="389"/>
      <c r="K54" s="389"/>
      <c r="L54" s="389"/>
      <c r="M54" s="390"/>
      <c r="N54" s="126"/>
      <c r="O54" s="126"/>
      <c r="P54" s="126"/>
      <c r="Q54" s="126"/>
      <c r="R54" s="126"/>
      <c r="S54" s="126"/>
      <c r="T54" s="126"/>
      <c r="U54" s="126"/>
      <c r="V54" s="126"/>
      <c r="W54" s="126"/>
      <c r="X54" s="126"/>
      <c r="Y54" s="126"/>
      <c r="Z54" s="126"/>
    </row>
    <row r="55" spans="1:256" x14ac:dyDescent="0.2">
      <c r="A55" s="217"/>
      <c r="B55" s="218"/>
      <c r="C55" s="389"/>
      <c r="D55" s="389"/>
      <c r="E55" s="389"/>
      <c r="F55" s="389"/>
      <c r="G55" s="389"/>
      <c r="H55" s="389"/>
      <c r="I55" s="389"/>
      <c r="J55" s="389"/>
      <c r="K55" s="389"/>
      <c r="L55" s="389"/>
      <c r="M55" s="390"/>
      <c r="N55" s="126"/>
      <c r="O55" s="126"/>
      <c r="P55" s="126"/>
      <c r="Q55" s="126"/>
      <c r="R55" s="126"/>
      <c r="S55" s="126"/>
      <c r="T55" s="126"/>
      <c r="U55" s="126"/>
      <c r="V55" s="126"/>
      <c r="W55" s="126"/>
      <c r="X55" s="126"/>
      <c r="Y55" s="126"/>
      <c r="Z55" s="126"/>
    </row>
    <row r="56" spans="1:256" x14ac:dyDescent="0.2">
      <c r="A56" s="217"/>
      <c r="B56" s="218"/>
      <c r="C56" s="389"/>
      <c r="D56" s="389"/>
      <c r="E56" s="389"/>
      <c r="F56" s="389"/>
      <c r="G56" s="389"/>
      <c r="H56" s="389"/>
      <c r="I56" s="389"/>
      <c r="J56" s="389"/>
      <c r="K56" s="389"/>
      <c r="L56" s="389"/>
      <c r="M56" s="390"/>
      <c r="N56" s="126"/>
      <c r="O56" s="126"/>
      <c r="P56" s="126"/>
      <c r="Q56" s="126"/>
      <c r="R56" s="126"/>
      <c r="S56" s="126"/>
      <c r="T56" s="126"/>
      <c r="U56" s="126"/>
      <c r="V56" s="126"/>
      <c r="W56" s="126"/>
      <c r="X56" s="126"/>
      <c r="Y56" s="126"/>
      <c r="Z56" s="126"/>
    </row>
    <row r="57" spans="1:256" x14ac:dyDescent="0.2">
      <c r="A57" s="217"/>
      <c r="B57" s="218"/>
      <c r="C57" s="389"/>
      <c r="D57" s="389"/>
      <c r="E57" s="389"/>
      <c r="F57" s="389"/>
      <c r="G57" s="389"/>
      <c r="H57" s="389"/>
      <c r="I57" s="389"/>
      <c r="J57" s="389"/>
      <c r="K57" s="389"/>
      <c r="L57" s="389"/>
      <c r="M57" s="390"/>
      <c r="N57" s="126"/>
      <c r="O57" s="126"/>
      <c r="P57" s="126"/>
      <c r="Q57" s="126"/>
      <c r="R57" s="126"/>
      <c r="S57" s="126"/>
      <c r="T57" s="126"/>
      <c r="U57" s="126"/>
      <c r="V57" s="126"/>
      <c r="W57" s="126"/>
      <c r="X57" s="126"/>
      <c r="Y57" s="126"/>
      <c r="Z57" s="126"/>
    </row>
    <row r="58" spans="1:256" x14ac:dyDescent="0.2">
      <c r="A58" s="217"/>
      <c r="B58" s="218"/>
      <c r="C58" s="389"/>
      <c r="D58" s="389"/>
      <c r="E58" s="389"/>
      <c r="F58" s="389"/>
      <c r="G58" s="389"/>
      <c r="H58" s="389"/>
      <c r="I58" s="389"/>
      <c r="J58" s="389"/>
      <c r="K58" s="389"/>
      <c r="L58" s="389"/>
      <c r="M58" s="390"/>
      <c r="N58" s="126"/>
      <c r="O58" s="126"/>
      <c r="P58" s="126"/>
      <c r="Q58" s="126"/>
      <c r="R58" s="126"/>
      <c r="S58" s="126"/>
      <c r="T58" s="126"/>
      <c r="U58" s="126"/>
      <c r="V58" s="126"/>
      <c r="W58" s="126"/>
      <c r="X58" s="126"/>
      <c r="Y58" s="126"/>
      <c r="Z58" s="126"/>
    </row>
    <row r="59" spans="1:256" x14ac:dyDescent="0.2">
      <c r="A59" s="217"/>
      <c r="B59" s="218"/>
      <c r="C59" s="389"/>
      <c r="D59" s="389"/>
      <c r="E59" s="389"/>
      <c r="F59" s="389"/>
      <c r="G59" s="389"/>
      <c r="H59" s="389"/>
      <c r="I59" s="389"/>
      <c r="J59" s="389"/>
      <c r="K59" s="389"/>
      <c r="L59" s="389"/>
      <c r="M59" s="390"/>
    </row>
    <row r="60" spans="1:256" x14ac:dyDescent="0.2">
      <c r="A60" s="217"/>
      <c r="B60" s="218"/>
      <c r="C60" s="389"/>
      <c r="D60" s="389"/>
      <c r="E60" s="389"/>
      <c r="F60" s="389"/>
      <c r="G60" s="389"/>
      <c r="H60" s="389"/>
      <c r="I60" s="389"/>
      <c r="J60" s="389"/>
      <c r="K60" s="389"/>
      <c r="L60" s="389"/>
      <c r="M60" s="390"/>
    </row>
    <row r="61" spans="1:256" x14ac:dyDescent="0.2">
      <c r="A61" s="217"/>
      <c r="B61" s="218"/>
      <c r="C61" s="389"/>
      <c r="D61" s="389"/>
      <c r="E61" s="389"/>
      <c r="F61" s="389"/>
      <c r="G61" s="389"/>
      <c r="H61" s="389"/>
      <c r="I61" s="389"/>
      <c r="J61" s="389"/>
      <c r="K61" s="389"/>
      <c r="L61" s="389"/>
      <c r="M61" s="390"/>
    </row>
    <row r="62" spans="1:256" x14ac:dyDescent="0.2">
      <c r="A62" s="217"/>
      <c r="B62" s="218"/>
      <c r="C62" s="389"/>
      <c r="D62" s="389"/>
      <c r="E62" s="389"/>
      <c r="F62" s="389"/>
      <c r="G62" s="389"/>
      <c r="H62" s="389"/>
      <c r="I62" s="389"/>
      <c r="J62" s="389"/>
      <c r="K62" s="389"/>
      <c r="L62" s="389"/>
      <c r="M62" s="390"/>
    </row>
    <row r="63" spans="1:256" x14ac:dyDescent="0.2">
      <c r="A63" s="217"/>
      <c r="B63" s="218"/>
      <c r="C63" s="389"/>
      <c r="D63" s="389"/>
      <c r="E63" s="389"/>
      <c r="F63" s="389"/>
      <c r="G63" s="389"/>
      <c r="H63" s="389"/>
      <c r="I63" s="389"/>
      <c r="J63" s="389"/>
      <c r="K63" s="389"/>
      <c r="L63" s="389"/>
      <c r="M63" s="390"/>
    </row>
    <row r="64" spans="1:256" x14ac:dyDescent="0.2">
      <c r="A64" s="217"/>
      <c r="B64" s="218"/>
      <c r="C64" s="389"/>
      <c r="D64" s="389"/>
      <c r="E64" s="389"/>
      <c r="F64" s="389"/>
      <c r="G64" s="389"/>
      <c r="H64" s="389"/>
      <c r="I64" s="389"/>
      <c r="J64" s="389"/>
      <c r="K64" s="389"/>
      <c r="L64" s="389"/>
      <c r="M64" s="390"/>
    </row>
    <row r="65" spans="1:13" x14ac:dyDescent="0.2">
      <c r="A65" s="217"/>
      <c r="B65" s="218"/>
      <c r="C65" s="389"/>
      <c r="D65" s="389"/>
      <c r="E65" s="389"/>
      <c r="F65" s="389"/>
      <c r="G65" s="389"/>
      <c r="H65" s="389"/>
      <c r="I65" s="389"/>
      <c r="J65" s="389"/>
      <c r="K65" s="389"/>
      <c r="L65" s="389"/>
      <c r="M65" s="390"/>
    </row>
    <row r="66" spans="1:13" x14ac:dyDescent="0.2">
      <c r="A66" s="217"/>
      <c r="B66" s="218"/>
      <c r="C66" s="389"/>
      <c r="D66" s="389"/>
      <c r="E66" s="389"/>
      <c r="F66" s="389"/>
      <c r="G66" s="389"/>
      <c r="H66" s="389"/>
      <c r="I66" s="389"/>
      <c r="J66" s="389"/>
      <c r="K66" s="389"/>
      <c r="L66" s="389"/>
      <c r="M66" s="390"/>
    </row>
    <row r="67" spans="1:13" x14ac:dyDescent="0.2">
      <c r="A67" s="217"/>
      <c r="B67" s="218"/>
      <c r="C67" s="389"/>
      <c r="D67" s="389"/>
      <c r="E67" s="389"/>
      <c r="F67" s="389"/>
      <c r="G67" s="389"/>
      <c r="H67" s="389"/>
      <c r="I67" s="389"/>
      <c r="J67" s="389"/>
      <c r="K67" s="389"/>
      <c r="L67" s="389"/>
      <c r="M67" s="390"/>
    </row>
    <row r="68" spans="1:13" x14ac:dyDescent="0.2">
      <c r="A68" s="217"/>
      <c r="B68" s="218"/>
      <c r="C68" s="389"/>
      <c r="D68" s="389"/>
      <c r="E68" s="389"/>
      <c r="F68" s="389"/>
      <c r="G68" s="389"/>
      <c r="H68" s="389"/>
      <c r="I68" s="389"/>
      <c r="J68" s="389"/>
      <c r="K68" s="389"/>
      <c r="L68" s="389"/>
      <c r="M68" s="390"/>
    </row>
    <row r="69" spans="1:13" x14ac:dyDescent="0.2">
      <c r="A69" s="217"/>
      <c r="B69" s="218"/>
      <c r="C69" s="389"/>
      <c r="D69" s="389"/>
      <c r="E69" s="389"/>
      <c r="F69" s="389"/>
      <c r="G69" s="389"/>
      <c r="H69" s="389"/>
      <c r="I69" s="389"/>
      <c r="J69" s="389"/>
      <c r="K69" s="389"/>
      <c r="L69" s="389"/>
      <c r="M69" s="390"/>
    </row>
    <row r="70" spans="1:13" ht="12" thickBot="1" x14ac:dyDescent="0.25">
      <c r="A70" s="219"/>
      <c r="B70" s="220"/>
      <c r="C70" s="402"/>
      <c r="D70" s="402"/>
      <c r="E70" s="402"/>
      <c r="F70" s="402"/>
      <c r="G70" s="402"/>
      <c r="H70" s="402"/>
      <c r="I70" s="402"/>
      <c r="J70" s="402"/>
      <c r="K70" s="402"/>
      <c r="L70" s="402"/>
      <c r="M70" s="403"/>
    </row>
    <row r="71" spans="1:13" ht="12" thickTop="1" x14ac:dyDescent="0.2">
      <c r="A71" s="207"/>
      <c r="B71" s="207"/>
      <c r="C71" s="208"/>
      <c r="D71" s="208"/>
      <c r="E71" s="208"/>
      <c r="F71" s="208"/>
      <c r="G71" s="208"/>
      <c r="H71" s="208"/>
      <c r="I71" s="208"/>
      <c r="J71" s="208"/>
      <c r="K71" s="208"/>
      <c r="L71" s="208"/>
    </row>
    <row r="72" spans="1:13" ht="12.75" x14ac:dyDescent="0.2">
      <c r="A72" s="404" t="s">
        <v>832</v>
      </c>
      <c r="B72" s="404"/>
      <c r="C72" s="404"/>
      <c r="D72" s="404"/>
      <c r="E72" s="404"/>
      <c r="F72" s="126"/>
      <c r="G72" s="126"/>
      <c r="H72" s="126"/>
      <c r="I72" s="126"/>
      <c r="J72" s="126"/>
      <c r="K72" s="126"/>
      <c r="L72" s="126"/>
      <c r="M72" s="126"/>
    </row>
    <row r="73" spans="1:13" x14ac:dyDescent="0.2">
      <c r="A73" s="209" t="s">
        <v>764</v>
      </c>
      <c r="B73" s="209" t="s">
        <v>765</v>
      </c>
      <c r="C73" s="401"/>
      <c r="D73" s="401"/>
      <c r="E73" s="401"/>
      <c r="F73" s="401"/>
      <c r="G73" s="401"/>
      <c r="H73" s="401"/>
      <c r="I73" s="401"/>
      <c r="J73" s="401"/>
      <c r="K73" s="401"/>
      <c r="L73" s="401"/>
      <c r="M73" s="401"/>
    </row>
    <row r="74" spans="1:13" x14ac:dyDescent="0.2">
      <c r="A74" s="210"/>
      <c r="B74" s="210"/>
      <c r="C74" s="401"/>
      <c r="D74" s="401"/>
      <c r="E74" s="401"/>
      <c r="F74" s="401"/>
      <c r="G74" s="401"/>
      <c r="H74" s="401"/>
      <c r="I74" s="401"/>
      <c r="J74" s="401"/>
      <c r="K74" s="401"/>
      <c r="L74" s="401"/>
      <c r="M74" s="401"/>
    </row>
    <row r="75" spans="1:13" x14ac:dyDescent="0.2">
      <c r="A75" s="210"/>
      <c r="B75" s="210"/>
      <c r="C75" s="401"/>
      <c r="D75" s="401"/>
      <c r="E75" s="401"/>
      <c r="F75" s="401"/>
      <c r="G75" s="401"/>
      <c r="H75" s="401"/>
      <c r="I75" s="401"/>
      <c r="J75" s="401"/>
      <c r="K75" s="401"/>
      <c r="L75" s="401"/>
      <c r="M75" s="401"/>
    </row>
    <row r="76" spans="1:13" x14ac:dyDescent="0.2">
      <c r="A76" s="210"/>
      <c r="B76" s="210"/>
      <c r="C76" s="401"/>
      <c r="D76" s="401"/>
      <c r="E76" s="401"/>
      <c r="F76" s="401"/>
      <c r="G76" s="401"/>
      <c r="H76" s="401"/>
      <c r="I76" s="401"/>
      <c r="J76" s="401"/>
      <c r="K76" s="401"/>
      <c r="L76" s="401"/>
      <c r="M76" s="401"/>
    </row>
    <row r="77" spans="1:13" x14ac:dyDescent="0.2">
      <c r="A77" s="210"/>
      <c r="B77" s="210"/>
      <c r="C77" s="401"/>
      <c r="D77" s="401"/>
      <c r="E77" s="401"/>
      <c r="F77" s="401"/>
      <c r="G77" s="401"/>
      <c r="H77" s="401"/>
      <c r="I77" s="401"/>
      <c r="J77" s="401"/>
      <c r="K77" s="401"/>
      <c r="L77" s="401"/>
      <c r="M77" s="401"/>
    </row>
    <row r="78" spans="1:13" x14ac:dyDescent="0.2">
      <c r="A78" s="210"/>
      <c r="B78" s="210"/>
      <c r="C78" s="401"/>
      <c r="D78" s="401"/>
      <c r="E78" s="401"/>
      <c r="F78" s="401"/>
      <c r="G78" s="401"/>
      <c r="H78" s="401"/>
      <c r="I78" s="401"/>
      <c r="J78" s="401"/>
      <c r="K78" s="401"/>
      <c r="L78" s="401"/>
      <c r="M78" s="401"/>
    </row>
    <row r="79" spans="1:13" x14ac:dyDescent="0.2">
      <c r="A79" s="210"/>
      <c r="B79" s="210"/>
      <c r="C79" s="401"/>
      <c r="D79" s="401"/>
      <c r="E79" s="401"/>
      <c r="F79" s="401"/>
      <c r="G79" s="401"/>
      <c r="H79" s="401"/>
      <c r="I79" s="401"/>
      <c r="J79" s="401"/>
      <c r="K79" s="401"/>
      <c r="L79" s="401"/>
      <c r="M79" s="401"/>
    </row>
    <row r="80" spans="1:13" x14ac:dyDescent="0.2">
      <c r="A80" s="210"/>
      <c r="B80" s="210"/>
      <c r="C80" s="401"/>
      <c r="D80" s="401"/>
      <c r="E80" s="401"/>
      <c r="F80" s="401"/>
      <c r="G80" s="401"/>
      <c r="H80" s="401"/>
      <c r="I80" s="401"/>
      <c r="J80" s="401"/>
      <c r="K80" s="401"/>
      <c r="L80" s="401"/>
      <c r="M80" s="401"/>
    </row>
    <row r="81" spans="1:13" x14ac:dyDescent="0.2">
      <c r="A81" s="210"/>
      <c r="B81" s="210"/>
      <c r="C81" s="401"/>
      <c r="D81" s="401"/>
      <c r="E81" s="401"/>
      <c r="F81" s="401"/>
      <c r="G81" s="401"/>
      <c r="H81" s="401"/>
      <c r="I81" s="401"/>
      <c r="J81" s="401"/>
      <c r="K81" s="401"/>
      <c r="L81" s="401"/>
      <c r="M81" s="401"/>
    </row>
    <row r="82" spans="1:13" x14ac:dyDescent="0.2">
      <c r="A82" s="210"/>
      <c r="B82" s="210"/>
      <c r="C82" s="401"/>
      <c r="D82" s="401"/>
      <c r="E82" s="401"/>
      <c r="F82" s="401"/>
      <c r="G82" s="401"/>
      <c r="H82" s="401"/>
      <c r="I82" s="401"/>
      <c r="J82" s="401"/>
      <c r="K82" s="401"/>
      <c r="L82" s="401"/>
      <c r="M82" s="401"/>
    </row>
    <row r="83" spans="1:13" x14ac:dyDescent="0.2">
      <c r="A83" s="210"/>
      <c r="B83" s="210"/>
      <c r="C83" s="401"/>
      <c r="D83" s="401"/>
      <c r="E83" s="401"/>
      <c r="F83" s="401"/>
      <c r="G83" s="401"/>
      <c r="H83" s="401"/>
      <c r="I83" s="401"/>
      <c r="J83" s="401"/>
      <c r="K83" s="401"/>
      <c r="L83" s="401"/>
      <c r="M83" s="401"/>
    </row>
    <row r="84" spans="1:13" x14ac:dyDescent="0.2">
      <c r="A84" s="210"/>
      <c r="B84" s="210"/>
      <c r="C84" s="401"/>
      <c r="D84" s="401"/>
      <c r="E84" s="401"/>
      <c r="F84" s="401"/>
      <c r="G84" s="401"/>
      <c r="H84" s="401"/>
      <c r="I84" s="401"/>
      <c r="J84" s="401"/>
      <c r="K84" s="401"/>
      <c r="L84" s="401"/>
      <c r="M84" s="401"/>
    </row>
    <row r="85" spans="1:13" x14ac:dyDescent="0.2">
      <c r="A85" s="210"/>
      <c r="B85" s="210"/>
      <c r="C85" s="401"/>
      <c r="D85" s="401"/>
      <c r="E85" s="401"/>
      <c r="F85" s="401"/>
      <c r="G85" s="401"/>
      <c r="H85" s="401"/>
      <c r="I85" s="401"/>
      <c r="J85" s="401"/>
      <c r="K85" s="401"/>
      <c r="L85" s="401"/>
      <c r="M85" s="401"/>
    </row>
    <row r="86" spans="1:13" x14ac:dyDescent="0.2">
      <c r="A86" s="210"/>
      <c r="B86" s="210"/>
      <c r="C86" s="401"/>
      <c r="D86" s="401"/>
      <c r="E86" s="401"/>
      <c r="F86" s="401"/>
      <c r="G86" s="401"/>
      <c r="H86" s="401"/>
      <c r="I86" s="401"/>
      <c r="J86" s="401"/>
      <c r="K86" s="401"/>
      <c r="L86" s="401"/>
      <c r="M86" s="401"/>
    </row>
    <row r="87" spans="1:13" x14ac:dyDescent="0.2">
      <c r="A87" s="210"/>
      <c r="B87" s="210"/>
      <c r="C87" s="401"/>
      <c r="D87" s="401"/>
      <c r="E87" s="401"/>
      <c r="F87" s="401"/>
      <c r="G87" s="401"/>
      <c r="H87" s="401"/>
      <c r="I87" s="401"/>
      <c r="J87" s="401"/>
      <c r="K87" s="401"/>
      <c r="L87" s="401"/>
      <c r="M87" s="401"/>
    </row>
    <row r="88" spans="1:13" x14ac:dyDescent="0.2">
      <c r="A88" s="210"/>
      <c r="B88" s="210"/>
      <c r="C88" s="401"/>
      <c r="D88" s="401"/>
      <c r="E88" s="401"/>
      <c r="F88" s="401"/>
      <c r="G88" s="401"/>
      <c r="H88" s="401"/>
      <c r="I88" s="401"/>
      <c r="J88" s="401"/>
      <c r="K88" s="401"/>
      <c r="L88" s="401"/>
      <c r="M88" s="401"/>
    </row>
    <row r="89" spans="1:13" x14ac:dyDescent="0.2">
      <c r="A89" s="210"/>
      <c r="B89" s="210"/>
      <c r="C89" s="401"/>
      <c r="D89" s="401"/>
      <c r="E89" s="401"/>
      <c r="F89" s="401"/>
      <c r="G89" s="401"/>
      <c r="H89" s="401"/>
      <c r="I89" s="401"/>
      <c r="J89" s="401"/>
      <c r="K89" s="401"/>
      <c r="L89" s="401"/>
      <c r="M89" s="401"/>
    </row>
    <row r="90" spans="1:13" x14ac:dyDescent="0.2">
      <c r="A90" s="210"/>
      <c r="B90" s="210"/>
      <c r="C90" s="401"/>
      <c r="D90" s="401"/>
      <c r="E90" s="401"/>
      <c r="F90" s="401"/>
      <c r="G90" s="401"/>
      <c r="H90" s="401"/>
      <c r="I90" s="401"/>
      <c r="J90" s="401"/>
      <c r="K90" s="401"/>
      <c r="L90" s="401"/>
      <c r="M90" s="401"/>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49</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3</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f>IF('School Level Expenditures'!$B$2='School Tables'!L6,'School Tables'!S6,"")</f>
        <v>3</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f>IF('School Level Expenditures'!$B$2=A52,'School Tables'!H52,"")</f>
        <v>49</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2022-08-25T16:24:13Z</cp:lastPrinted>
  <dcterms:created xsi:type="dcterms:W3CDTF">1997-12-04T19:04:30Z</dcterms:created>
  <dcterms:modified xsi:type="dcterms:W3CDTF">2022-12-19T12:27:44Z</dcterms:modified>
</cp:coreProperties>
</file>