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A70BACEF-573B-4C66-806B-92C3E2B1F30E}"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38" i="14" l="1"/>
  <c r="D37" i="14"/>
  <c r="D26" i="14"/>
  <c r="E9" i="14"/>
  <c r="D9" i="14"/>
  <c r="E8" i="14"/>
  <c r="D8" i="14"/>
  <c r="E7" i="14"/>
  <c r="D7" i="14"/>
  <c r="E6" i="14"/>
  <c r="D6" i="14"/>
  <c r="C39" i="12"/>
  <c r="C37" i="12"/>
  <c r="B37" i="12"/>
  <c r="C21" i="12"/>
  <c r="C20" i="12"/>
  <c r="B20" i="12"/>
  <c r="C19" i="12"/>
  <c r="B19" i="12"/>
  <c r="B12" i="12"/>
  <c r="C11" i="12"/>
  <c r="B11" i="12"/>
  <c r="C10" i="12"/>
  <c r="B10" i="12"/>
  <c r="C2" i="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H88" i="2" s="1"/>
  <c r="I163" i="1"/>
  <c r="H163" i="1"/>
  <c r="G163" i="1"/>
  <c r="F163" i="1"/>
  <c r="B31" i="16" l="1"/>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E13" i="13" s="1"/>
  <c r="C13" i="13" s="1"/>
  <c r="L225" i="1"/>
  <c r="L243" i="1"/>
  <c r="G16" i="13"/>
  <c r="H16" i="13"/>
  <c r="L210" i="1"/>
  <c r="L228" i="1"/>
  <c r="L246" i="1"/>
  <c r="C125" i="2" s="1"/>
  <c r="H125" i="2" s="1"/>
  <c r="G5" i="13"/>
  <c r="H5" i="13"/>
  <c r="L198" i="1"/>
  <c r="L199" i="1"/>
  <c r="L200" i="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C121" i="2" s="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E58" i="2" s="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C13" i="10"/>
  <c r="L251" i="1"/>
  <c r="C113" i="2" s="1"/>
  <c r="L333" i="1"/>
  <c r="E113" i="2" s="1"/>
  <c r="L255" i="1"/>
  <c r="L269" i="1"/>
  <c r="L270" i="1"/>
  <c r="C143" i="2" s="1"/>
  <c r="H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H15" i="2" s="1"/>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H73" i="2" s="1"/>
  <c r="F73" i="2"/>
  <c r="C74" i="2"/>
  <c r="H74" i="2" s="1"/>
  <c r="C75" i="2"/>
  <c r="H75" i="2" s="1"/>
  <c r="C76" i="2"/>
  <c r="H76" i="2" s="1"/>
  <c r="E76" i="2"/>
  <c r="F76" i="2"/>
  <c r="C77" i="2"/>
  <c r="D77" i="2"/>
  <c r="D78" i="2" s="1"/>
  <c r="E77" i="2"/>
  <c r="F77" i="2"/>
  <c r="G77" i="2"/>
  <c r="G78" i="2" s="1"/>
  <c r="C79" i="2"/>
  <c r="H79" i="2" s="1"/>
  <c r="D79" i="2"/>
  <c r="E79" i="2"/>
  <c r="C80" i="2"/>
  <c r="E80" i="2"/>
  <c r="C85" i="2"/>
  <c r="F85" i="2"/>
  <c r="C87" i="2"/>
  <c r="E87" i="2"/>
  <c r="F87" i="2"/>
  <c r="C89" i="2"/>
  <c r="D89" i="2"/>
  <c r="E89" i="2"/>
  <c r="F89" i="2"/>
  <c r="C90" i="2"/>
  <c r="H90" i="2" s="1"/>
  <c r="C93" i="2"/>
  <c r="F93" i="2"/>
  <c r="C94" i="2"/>
  <c r="H94" i="2" s="1"/>
  <c r="F94" i="2"/>
  <c r="D96" i="2"/>
  <c r="E96" i="2"/>
  <c r="F96" i="2"/>
  <c r="G96" i="2"/>
  <c r="C97" i="2"/>
  <c r="D97" i="2"/>
  <c r="E97" i="2"/>
  <c r="F97" i="2"/>
  <c r="G97" i="2"/>
  <c r="C98" i="2"/>
  <c r="H98" i="2" s="1"/>
  <c r="D98" i="2"/>
  <c r="E98" i="2"/>
  <c r="G98" i="2"/>
  <c r="C99" i="2"/>
  <c r="H99" i="2" s="1"/>
  <c r="D99" i="2"/>
  <c r="E99" i="2"/>
  <c r="F99" i="2"/>
  <c r="C100" i="2"/>
  <c r="H100" i="2" s="1"/>
  <c r="D100" i="2"/>
  <c r="E100" i="2"/>
  <c r="F100" i="2"/>
  <c r="C101" i="2"/>
  <c r="H101" i="2" s="1"/>
  <c r="D101" i="2"/>
  <c r="E101" i="2"/>
  <c r="F101" i="2"/>
  <c r="C102" i="2"/>
  <c r="H102" i="2" s="1"/>
  <c r="D102" i="2"/>
  <c r="E102" i="2"/>
  <c r="F102" i="2"/>
  <c r="C110" i="2"/>
  <c r="E111" i="2"/>
  <c r="C112" i="2"/>
  <c r="E112" i="2"/>
  <c r="D115" i="2"/>
  <c r="F115" i="2"/>
  <c r="G115" i="2"/>
  <c r="C119" i="2"/>
  <c r="E120" i="2"/>
  <c r="E124" i="2"/>
  <c r="E12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28" i="1"/>
  <c r="H629" i="1"/>
  <c r="H630" i="1"/>
  <c r="H631" i="1"/>
  <c r="H632" i="1"/>
  <c r="H633" i="1"/>
  <c r="H634" i="1"/>
  <c r="H636" i="1"/>
  <c r="H637" i="1"/>
  <c r="H638" i="1"/>
  <c r="H639" i="1"/>
  <c r="G641" i="1"/>
  <c r="G644" i="1"/>
  <c r="G645" i="1"/>
  <c r="G646" i="1"/>
  <c r="G651" i="1"/>
  <c r="G652" i="1"/>
  <c r="J652" i="1" s="1"/>
  <c r="H653" i="1"/>
  <c r="G654" i="1"/>
  <c r="H654" i="1"/>
  <c r="H655" i="1"/>
  <c r="H656" i="1"/>
  <c r="I170" i="1"/>
  <c r="I409" i="1" l="1"/>
  <c r="H11" i="2"/>
  <c r="C12" i="10"/>
  <c r="H120" i="2"/>
  <c r="G477" i="1"/>
  <c r="D144" i="2"/>
  <c r="H97" i="2"/>
  <c r="H96" i="2"/>
  <c r="H93" i="2"/>
  <c r="H87" i="2"/>
  <c r="H80" i="2"/>
  <c r="H77" i="2"/>
  <c r="H61" i="2"/>
  <c r="H26" i="2"/>
  <c r="H22" i="2"/>
  <c r="H113" i="2"/>
  <c r="H132" i="2"/>
  <c r="H36" i="2"/>
  <c r="H38" i="2"/>
  <c r="H42" i="2"/>
  <c r="H43" i="2"/>
  <c r="H44" i="2"/>
  <c r="H47" i="2"/>
  <c r="H48" i="2"/>
  <c r="H112" i="2"/>
  <c r="H89" i="2"/>
  <c r="H72" i="2"/>
  <c r="H59" i="2"/>
  <c r="H35" i="2"/>
  <c r="H34" i="2"/>
  <c r="H21" i="2"/>
  <c r="H13" i="2"/>
  <c r="H9" i="2"/>
  <c r="H131" i="2"/>
  <c r="H57" i="2"/>
  <c r="E121" i="2"/>
  <c r="H121" i="2" s="1"/>
  <c r="H58" i="2"/>
  <c r="H23" i="2"/>
  <c r="H477" i="1"/>
  <c r="H625" i="1" s="1"/>
  <c r="J625" i="1" s="1"/>
  <c r="H69" i="2"/>
  <c r="H30" i="2"/>
  <c r="H29" i="2"/>
  <c r="H28" i="2"/>
  <c r="H27" i="2"/>
  <c r="H24" i="2"/>
  <c r="H17" i="2"/>
  <c r="H12" i="2"/>
  <c r="H8" i="2"/>
  <c r="E119" i="2"/>
  <c r="H119" i="2" s="1"/>
  <c r="H409" i="1"/>
  <c r="H645" i="1" s="1"/>
  <c r="G339" i="1"/>
  <c r="G353" i="1" s="1"/>
  <c r="J258" i="1"/>
  <c r="J272" i="1" s="1"/>
  <c r="E123" i="2"/>
  <c r="E110" i="2"/>
  <c r="H110" i="2" s="1"/>
  <c r="K339" i="1"/>
  <c r="K353" i="1" s="1"/>
  <c r="J656" i="1"/>
  <c r="J572" i="1"/>
  <c r="D50" i="2"/>
  <c r="E131" i="2"/>
  <c r="G553" i="1"/>
  <c r="H663" i="1"/>
  <c r="F258" i="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H18" i="2" s="1"/>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E128" i="2" s="1"/>
  <c r="L248" i="1"/>
  <c r="L212" i="1"/>
  <c r="F661" i="1" s="1"/>
  <c r="H648" i="1"/>
  <c r="J645"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F272" i="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H50" i="2" s="1"/>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D128" i="2" l="1"/>
  <c r="D145" i="2" s="1"/>
  <c r="H127" i="2"/>
  <c r="F194" i="1"/>
  <c r="G628" i="1" s="1"/>
  <c r="J628" i="1" s="1"/>
  <c r="G24" i="14"/>
  <c r="H24" i="14" s="1"/>
  <c r="I24" i="14" s="1"/>
  <c r="H118" i="2"/>
  <c r="E115" i="2"/>
  <c r="H114" i="2"/>
  <c r="L572" i="1"/>
  <c r="D51" i="2"/>
  <c r="H16" i="2"/>
  <c r="H91" i="2"/>
  <c r="H31" i="2"/>
  <c r="H62" i="2"/>
  <c r="H103" i="2"/>
  <c r="H109" i="2"/>
  <c r="H123" i="2"/>
  <c r="C81" i="2"/>
  <c r="H81" i="2" s="1"/>
  <c r="H78" i="2"/>
  <c r="H85" i="2"/>
  <c r="H134" i="2"/>
  <c r="F144" i="2"/>
  <c r="H130" i="2"/>
  <c r="H661" i="1"/>
  <c r="H665" i="1" s="1"/>
  <c r="H668" i="1" s="1"/>
  <c r="H194" i="1"/>
  <c r="G630" i="1" s="1"/>
  <c r="J630" i="1" s="1"/>
  <c r="H649" i="1"/>
  <c r="C141" i="2"/>
  <c r="F51" i="2"/>
  <c r="G36" i="14"/>
  <c r="H36" i="14" s="1"/>
  <c r="I36" i="14" s="1"/>
  <c r="E145" i="2"/>
  <c r="E104" i="2"/>
  <c r="C36" i="10"/>
  <c r="L435" i="1"/>
  <c r="G639" i="1" s="1"/>
  <c r="J639" i="1" s="1"/>
  <c r="F665" i="1"/>
  <c r="F668" i="1" s="1"/>
  <c r="I662" i="1"/>
  <c r="G104" i="2"/>
  <c r="L339" i="1"/>
  <c r="L353" i="1" s="1"/>
  <c r="G634" i="1" s="1"/>
  <c r="J634" i="1" s="1"/>
  <c r="J649" i="1"/>
  <c r="I194" i="1"/>
  <c r="G631" i="1" s="1"/>
  <c r="J631" i="1" s="1"/>
  <c r="G636" i="1"/>
  <c r="J636" i="1" s="1"/>
  <c r="G51" i="2"/>
  <c r="D104" i="2"/>
  <c r="L409" i="1"/>
  <c r="C27" i="10"/>
  <c r="H673" i="1"/>
  <c r="C6" i="10" s="1"/>
  <c r="G4" i="14"/>
  <c r="H4" i="14" s="1"/>
  <c r="I4" i="14" s="1"/>
  <c r="L546" i="1"/>
  <c r="J626" i="1"/>
  <c r="F104" i="2"/>
  <c r="B14" i="16"/>
  <c r="B22" i="16" s="1"/>
  <c r="E33" i="13"/>
  <c r="D35" i="13" s="1"/>
  <c r="J648" i="1"/>
  <c r="L258" i="1"/>
  <c r="L272" i="1" s="1"/>
  <c r="G633" i="1" s="1"/>
  <c r="J633" i="1" s="1"/>
  <c r="C115" i="2"/>
  <c r="H115" i="2" s="1"/>
  <c r="C63" i="2"/>
  <c r="C39" i="10"/>
  <c r="G33" i="13"/>
  <c r="C128" i="2"/>
  <c r="H128" i="2" s="1"/>
  <c r="D31" i="13"/>
  <c r="C31" i="13" s="1"/>
  <c r="I462" i="1"/>
  <c r="H643" i="1" s="1"/>
  <c r="J643" i="1" s="1"/>
  <c r="G661" i="1"/>
  <c r="G665" i="1" s="1"/>
  <c r="G673" i="1" s="1"/>
  <c r="C5" i="10" s="1"/>
  <c r="C25" i="13"/>
  <c r="I33" i="13"/>
  <c r="K553" i="1"/>
  <c r="C28" i="10"/>
  <c r="D23" i="10" s="1"/>
  <c r="C51" i="2"/>
  <c r="G632" i="1"/>
  <c r="J632" i="1" s="1"/>
  <c r="G194" i="1"/>
  <c r="G629" i="1" s="1"/>
  <c r="J629" i="1" s="1"/>
  <c r="G627" i="1"/>
  <c r="J627" i="1" s="1"/>
  <c r="J52" i="1"/>
  <c r="H622" i="1" s="1"/>
  <c r="J622" i="1" s="1"/>
  <c r="C38" i="10"/>
  <c r="C104" i="2" l="1"/>
  <c r="H104" i="2" s="1"/>
  <c r="H63" i="2"/>
  <c r="H51" i="2"/>
  <c r="C144" i="2"/>
  <c r="H144" i="2" s="1"/>
  <c r="H141"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C145" i="2" l="1"/>
  <c r="H145" i="2"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<sst xmlns="http://schemas.openxmlformats.org/spreadsheetml/2006/main" count="6530" uniqueCount="1802">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</sst>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sz val="8"/>
      <color theme="1"/>
      <name val="Arial"/>
      <family val="2"/>
    </font>
    <font>
      <sz val="11"/>
      <color theme="1"/>
      <name val="Calibri"/>
      <family val="2"/>
    </font>
    <font>
      <sz val="8"/>
      <color rgb="FF0000FF"/>
      <name val="Arial"/>
      <family val="2"/>
    </font>
  </fonts>
  <fills count="49">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
      <patternFill patternType="solid">
        <fgColor rgb="FFFFFF00"/>
        <bgColor rgb="FFFFFF00"/>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7">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0" fontId="81" fillId="48" borderId="0" xfId="0" applyFont="1" applyFill="1" applyProtection="1">
      <protection locked="0"/>
    </xf>
    <xf numFmtId="4" fontId="82" fillId="0" borderId="0" xfId="0" applyNumberFormat="1" applyFont="1" applyProtection="1">
      <protection locked="0"/>
    </xf>
    <xf numFmtId="4" fontId="80" fillId="0" borderId="0" xfId="0" applyNumberFormat="1" applyFont="1" applyProtection="1">
      <protection locked="0"/>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4" fillId="0" borderId="0" xfId="0" applyNumberFormat="1" applyFont="1" applyAlignment="1" applyProtection="1">
      <alignment horizontal="center"/>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externalLinkPath" Target="file:///C:\Users\matthew.r.welch\Downloads\DOE-25%20FY22%20Bedford%20.xlsx"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5" zoomScaleNormal="100" workbookViewId="0">
      <selection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934</v>
      </c>
      <c r="B2" s="126">
        <f>INDEX('School Tables'!$AH$3:$AH$208,MATCH('DOE25'!A2,'School Tables'!$AJ$3:$AJ$208,0))</f>
        <v>41</v>
      </c>
      <c r="C2" s="126">
        <f>INDEX('School Tables'!$AI$3:$AI$208,MATCH('DOE25'!A2,'School Tables'!$AJ$3:$AJ$208,0))</f>
        <v>41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2615599.63</v>
      </c>
      <c r="G9" s="18">
        <v>110</v>
      </c>
      <c r="H9" s="18"/>
      <c r="I9" s="18"/>
      <c r="J9" s="67">
        <f>SUM(I440)</f>
        <v>0</v>
      </c>
      <c r="K9" s="24" t="s">
        <v>288</v>
      </c>
      <c r="L9" s="24" t="s">
        <v>288</v>
      </c>
      <c r="M9" s="8"/>
      <c r="N9" s="265"/>
    </row>
    <row r="10" spans="1:14" s="3" customFormat="1" ht="12.2" customHeight="1" x14ac:dyDescent="0.15">
      <c r="A10" s="1" t="s">
        <v>562</v>
      </c>
      <c r="B10" s="2" t="s">
        <v>289</v>
      </c>
      <c r="C10" s="6">
        <v>2</v>
      </c>
      <c r="D10" s="2" t="s">
        <v>428</v>
      </c>
      <c r="E10" s="6">
        <v>110</v>
      </c>
      <c r="F10" s="18">
        <v>5272696.21</v>
      </c>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c r="G12" s="18">
        <v>349175.69</v>
      </c>
      <c r="H12" s="18"/>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v>51380.33</v>
      </c>
      <c r="G13" s="18">
        <v>317696.68000000005</v>
      </c>
      <c r="H13" s="18">
        <v>559554.86</v>
      </c>
      <c r="I13" s="18"/>
      <c r="J13" s="67">
        <f>SUM(I443)</f>
        <v>8626.65</v>
      </c>
      <c r="K13" s="24" t="s">
        <v>288</v>
      </c>
      <c r="L13" s="24" t="s">
        <v>288</v>
      </c>
      <c r="M13" s="8"/>
      <c r="N13" s="265"/>
    </row>
    <row r="14" spans="1:14" s="3" customFormat="1" ht="12.2" customHeight="1" x14ac:dyDescent="0.15">
      <c r="A14" s="1" t="s">
        <v>565</v>
      </c>
      <c r="B14" s="2" t="s">
        <v>289</v>
      </c>
      <c r="C14" s="6">
        <v>6</v>
      </c>
      <c r="D14" s="2" t="s">
        <v>428</v>
      </c>
      <c r="E14" s="6">
        <v>150</v>
      </c>
      <c r="F14" s="18">
        <v>302243.14999999997</v>
      </c>
      <c r="G14" s="18"/>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v>5537.62</v>
      </c>
      <c r="G16" s="18"/>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v>33428.06</v>
      </c>
      <c r="G17" s="18"/>
      <c r="H17" s="18">
        <v>159.6</v>
      </c>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8280885</v>
      </c>
      <c r="G19" s="41">
        <f>SUM(G9:G18)</f>
        <v>666982.37000000011</v>
      </c>
      <c r="H19" s="41">
        <f>SUM(H9:H18)</f>
        <v>559714.46</v>
      </c>
      <c r="I19" s="41">
        <f>SUM(I9:I18)</f>
        <v>0</v>
      </c>
      <c r="J19" s="41">
        <f>SUM(J9:J18)</f>
        <v>8626.65</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v>0</v>
      </c>
      <c r="G22" s="18"/>
      <c r="H22" s="18">
        <v>546352.18999999994</v>
      </c>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592412.43999999994</v>
      </c>
      <c r="G24" s="18">
        <v>31069.91</v>
      </c>
      <c r="H24" s="18">
        <v>13362.27</v>
      </c>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v>4364114.419999999</v>
      </c>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v>128817.03</v>
      </c>
      <c r="G30" s="18">
        <v>113248.8</v>
      </c>
      <c r="H30" s="18"/>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5085343.8899999997</v>
      </c>
      <c r="G32" s="41">
        <f>SUM(G22:G31)</f>
        <v>144318.71</v>
      </c>
      <c r="H32" s="41">
        <f>SUM(H22:H31)</f>
        <v>559714.46</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v>5537.62</v>
      </c>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v>33428.06</v>
      </c>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v>522663.66</v>
      </c>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v>0</v>
      </c>
      <c r="H45" s="18"/>
      <c r="I45" s="18"/>
      <c r="J45" s="13">
        <f>I456</f>
        <v>0</v>
      </c>
      <c r="K45" s="24" t="s">
        <v>288</v>
      </c>
      <c r="L45" s="24" t="s">
        <v>288</v>
      </c>
      <c r="M45" s="8"/>
      <c r="N45" s="265"/>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c r="H48" s="18"/>
      <c r="I48" s="18"/>
      <c r="J48" s="13">
        <f>SUM(I460)</f>
        <v>8626.65</v>
      </c>
      <c r="K48" s="24" t="s">
        <v>288</v>
      </c>
      <c r="L48" s="24" t="s">
        <v>288</v>
      </c>
      <c r="M48" s="8"/>
      <c r="N48" s="265"/>
    </row>
    <row r="49" spans="1:14" s="3" customFormat="1" ht="12.2" customHeight="1" x14ac:dyDescent="0.15">
      <c r="A49" s="1" t="s">
        <v>859</v>
      </c>
      <c r="B49" s="2" t="s">
        <v>289</v>
      </c>
      <c r="C49" s="6">
        <v>34</v>
      </c>
      <c r="D49" s="2"/>
      <c r="E49" s="6">
        <v>753</v>
      </c>
      <c r="F49" s="18">
        <v>405087.52</v>
      </c>
      <c r="G49" s="18">
        <v>0</v>
      </c>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v>2751487.91</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3195541.1100000003</v>
      </c>
      <c r="G51" s="41">
        <f>SUM(G35:G50)</f>
        <v>522663.66</v>
      </c>
      <c r="H51" s="41">
        <f>SUM(H35:H50)</f>
        <v>0</v>
      </c>
      <c r="I51" s="41">
        <f>SUM(I35:I50)</f>
        <v>0</v>
      </c>
      <c r="J51" s="41">
        <f>SUM(J35:J50)</f>
        <v>8626.65</v>
      </c>
      <c r="K51" s="45" t="s">
        <v>288</v>
      </c>
      <c r="L51" s="45" t="s">
        <v>288</v>
      </c>
      <c r="N51" s="263"/>
    </row>
    <row r="52" spans="1:14" s="3" customFormat="1" ht="12.2" customHeight="1" thickTop="1" x14ac:dyDescent="0.15">
      <c r="A52" s="38" t="s">
        <v>455</v>
      </c>
      <c r="B52" s="39" t="s">
        <v>289</v>
      </c>
      <c r="C52" s="6">
        <v>37</v>
      </c>
      <c r="D52" s="39" t="s">
        <v>653</v>
      </c>
      <c r="E52" s="39"/>
      <c r="F52" s="41">
        <f>F51+F32</f>
        <v>8280885</v>
      </c>
      <c r="G52" s="41">
        <f>G51+G32</f>
        <v>666982.37</v>
      </c>
      <c r="H52" s="41">
        <f>H51+H32</f>
        <v>559714.46</v>
      </c>
      <c r="I52" s="41">
        <f>I51+I32</f>
        <v>0</v>
      </c>
      <c r="J52" s="41">
        <f>J51+J32</f>
        <v>8626.65</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51419456</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51419456</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v>728019.82</v>
      </c>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v>66595.039999999994</v>
      </c>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v>3375</v>
      </c>
      <c r="G66" s="24" t="s">
        <v>288</v>
      </c>
      <c r="H66" s="18">
        <v>12242.73</v>
      </c>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v>678154.14</v>
      </c>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1476144</v>
      </c>
      <c r="G79" s="45" t="s">
        <v>288</v>
      </c>
      <c r="H79" s="41">
        <f>SUM(H63:H78)</f>
        <v>12242.73</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v>872.42000000000007</v>
      </c>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872.42000000000007</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2837.19</v>
      </c>
      <c r="G96" s="18"/>
      <c r="H96" s="18"/>
      <c r="I96" s="18"/>
      <c r="J96" s="18"/>
      <c r="K96" s="24" t="s">
        <v>288</v>
      </c>
      <c r="L96" s="24" t="s">
        <v>288</v>
      </c>
      <c r="M96" s="8"/>
      <c r="N96" s="265"/>
    </row>
    <row r="97" spans="1:14" s="3" customFormat="1" ht="12.2" customHeight="1" x14ac:dyDescent="0.15">
      <c r="A97" s="1" t="s">
        <v>503</v>
      </c>
      <c r="B97" s="2" t="s">
        <v>315</v>
      </c>
      <c r="C97" s="6">
        <v>12</v>
      </c>
      <c r="D97" s="2" t="s">
        <v>430</v>
      </c>
      <c r="E97" s="6">
        <v>1600</v>
      </c>
      <c r="F97" s="24" t="s">
        <v>288</v>
      </c>
      <c r="G97" s="18">
        <v>477191.09</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v>60058.2</v>
      </c>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v>111979.43</v>
      </c>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v>11268.81</v>
      </c>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468227.87</v>
      </c>
      <c r="G110" s="18"/>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542392.06999999995</v>
      </c>
      <c r="G111" s="41">
        <f>SUM(G96:G110)</f>
        <v>477191.09</v>
      </c>
      <c r="H111" s="41">
        <f>SUM(H96:H110)</f>
        <v>111979.43</v>
      </c>
      <c r="I111" s="41">
        <f>SUM(I96:I110)</f>
        <v>0</v>
      </c>
      <c r="J111" s="41">
        <f>SUM(J96:J110)</f>
        <v>0</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53438864.490000002</v>
      </c>
      <c r="G112" s="41">
        <f>G60+G111</f>
        <v>477191.09</v>
      </c>
      <c r="H112" s="41">
        <f>H60+H79+H94+H111</f>
        <v>124222.15999999999</v>
      </c>
      <c r="I112" s="41">
        <f>I60+I111</f>
        <v>0</v>
      </c>
      <c r="J112" s="41">
        <f>J60+J111</f>
        <v>0</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10135089.689999999</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7789229</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5985.63</v>
      </c>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17930304.319999997</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v>473861.53</v>
      </c>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1047518.07</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v>16308.2</v>
      </c>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18608.23</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1537687.8</v>
      </c>
      <c r="G136" s="41">
        <f>SUM(G123:G135)</f>
        <v>18608.23</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19467992.119999997</v>
      </c>
      <c r="G140" s="41">
        <f>G121+SUM(G136:G137)</f>
        <v>18608.23</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128811.71</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159934.24</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1956724.56</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878981.73</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417039.67</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v>175022.01</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417039.67</v>
      </c>
      <c r="G163" s="41">
        <f>SUM(G150:G162)</f>
        <v>1956724.56</v>
      </c>
      <c r="H163" s="41">
        <f>SUM(H150:H162)</f>
        <v>1342749.69</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417039.67</v>
      </c>
      <c r="G170" s="41">
        <f>G147+G163+SUM(G164:G169)</f>
        <v>1956724.56</v>
      </c>
      <c r="H170" s="41">
        <f>H147+H163+SUM(H164:H169)</f>
        <v>1342749.69</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c r="H180" s="18"/>
      <c r="I180" s="18"/>
      <c r="J180" s="18"/>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73323896.280000001</v>
      </c>
      <c r="G194" s="47">
        <f>G112+G140+G170+G193</f>
        <v>2452523.88</v>
      </c>
      <c r="H194" s="47">
        <f>H112+H140+H170+H193</f>
        <v>1466971.8499999999</v>
      </c>
      <c r="I194" s="47">
        <f>I112+I140+I170+I193</f>
        <v>0</v>
      </c>
      <c r="J194" s="47">
        <f>J112+J140+J193</f>
        <v>0</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9354259.9199999999</v>
      </c>
      <c r="G198" s="18">
        <v>5225026.9500000011</v>
      </c>
      <c r="H198" s="18">
        <v>49729.34</v>
      </c>
      <c r="I198" s="18">
        <v>311688.78999999998</v>
      </c>
      <c r="J198" s="18">
        <v>36947.56</v>
      </c>
      <c r="K198" s="18"/>
      <c r="L198" s="19">
        <f>SUM(F198:K198)</f>
        <v>14977652.560000001</v>
      </c>
      <c r="M198" s="8"/>
      <c r="N198" s="265"/>
    </row>
    <row r="199" spans="1:14" s="3" customFormat="1" ht="12.2" customHeight="1" x14ac:dyDescent="0.15">
      <c r="A199" s="1" t="s">
        <v>439</v>
      </c>
      <c r="B199" s="2" t="s">
        <v>341</v>
      </c>
      <c r="C199" s="2" t="s">
        <v>291</v>
      </c>
      <c r="D199" s="2" t="s">
        <v>431</v>
      </c>
      <c r="E199" s="6">
        <v>1200</v>
      </c>
      <c r="F199" s="18">
        <v>4125043.56</v>
      </c>
      <c r="G199" s="18">
        <v>2154350.4699999997</v>
      </c>
      <c r="H199" s="18">
        <v>569846.21000000008</v>
      </c>
      <c r="I199" s="18">
        <v>36295.129999999997</v>
      </c>
      <c r="J199" s="18"/>
      <c r="K199" s="18">
        <v>2537.5</v>
      </c>
      <c r="L199" s="19">
        <f>SUM(F199:K199)</f>
        <v>6888072.8699999992</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v>54354.75</v>
      </c>
      <c r="G201" s="18">
        <v>15084.74</v>
      </c>
      <c r="H201" s="18"/>
      <c r="I201" s="18"/>
      <c r="J201" s="18"/>
      <c r="K201" s="18"/>
      <c r="L201" s="19">
        <f>SUM(F201:K201)</f>
        <v>69439.490000000005</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1281648.51</v>
      </c>
      <c r="G203" s="18">
        <v>718288.66</v>
      </c>
      <c r="H203" s="18">
        <v>1066339.8499999999</v>
      </c>
      <c r="I203" s="18">
        <v>23830.95</v>
      </c>
      <c r="J203" s="18"/>
      <c r="K203" s="18"/>
      <c r="L203" s="19">
        <f t="shared" ref="L203:L209" si="0">SUM(F203:K203)</f>
        <v>3090107.9699999997</v>
      </c>
      <c r="M203" s="8"/>
      <c r="N203" s="265"/>
    </row>
    <row r="204" spans="1:14" s="3" customFormat="1" ht="12.2" customHeight="1" x14ac:dyDescent="0.15">
      <c r="A204" s="1" t="s">
        <v>443</v>
      </c>
      <c r="B204" s="2" t="s">
        <v>341</v>
      </c>
      <c r="C204" s="2" t="s">
        <v>295</v>
      </c>
      <c r="D204" s="2" t="s">
        <v>431</v>
      </c>
      <c r="E204" s="6">
        <v>2200</v>
      </c>
      <c r="F204" s="18">
        <v>337435.6</v>
      </c>
      <c r="G204" s="18">
        <v>277420.28000000003</v>
      </c>
      <c r="H204" s="18">
        <v>14346.78</v>
      </c>
      <c r="I204" s="18">
        <v>51042.62</v>
      </c>
      <c r="J204" s="18">
        <v>138000.54999999999</v>
      </c>
      <c r="K204" s="18">
        <v>14147.91</v>
      </c>
      <c r="L204" s="19">
        <f t="shared" si="0"/>
        <v>832393.74000000011</v>
      </c>
      <c r="M204" s="8"/>
      <c r="N204" s="265"/>
    </row>
    <row r="205" spans="1:14" s="3" customFormat="1" ht="12.2" customHeight="1" x14ac:dyDescent="0.15">
      <c r="A205" s="1" t="s">
        <v>444</v>
      </c>
      <c r="B205" s="2" t="s">
        <v>341</v>
      </c>
      <c r="C205" s="2" t="s">
        <v>296</v>
      </c>
      <c r="D205" s="2" t="s">
        <v>431</v>
      </c>
      <c r="E205" s="6">
        <v>2300</v>
      </c>
      <c r="F205" s="18">
        <v>452535.36</v>
      </c>
      <c r="G205" s="18">
        <v>32020.410000000003</v>
      </c>
      <c r="H205" s="18">
        <v>45756.38</v>
      </c>
      <c r="I205" s="18">
        <v>9736.58</v>
      </c>
      <c r="J205" s="18">
        <v>12531.58</v>
      </c>
      <c r="K205" s="18">
        <v>10753.47</v>
      </c>
      <c r="L205" s="19">
        <f t="shared" si="0"/>
        <v>563333.77999999991</v>
      </c>
      <c r="M205" s="8"/>
      <c r="N205" s="265"/>
    </row>
    <row r="206" spans="1:14" s="3" customFormat="1" ht="12.2" customHeight="1" x14ac:dyDescent="0.15">
      <c r="A206" s="1" t="s">
        <v>445</v>
      </c>
      <c r="B206" s="2" t="s">
        <v>341</v>
      </c>
      <c r="C206" s="2" t="s">
        <v>297</v>
      </c>
      <c r="D206" s="2" t="s">
        <v>431</v>
      </c>
      <c r="E206" s="6">
        <v>2400</v>
      </c>
      <c r="F206" s="18">
        <v>1372906.12</v>
      </c>
      <c r="G206" s="18">
        <v>829693.75000000012</v>
      </c>
      <c r="H206" s="18">
        <v>11882.4</v>
      </c>
      <c r="I206" s="18">
        <v>17216.849999999999</v>
      </c>
      <c r="J206" s="18">
        <v>301.86</v>
      </c>
      <c r="K206" s="18">
        <v>10221.73</v>
      </c>
      <c r="L206" s="19">
        <f t="shared" si="0"/>
        <v>2242222.71</v>
      </c>
      <c r="M206" s="8"/>
      <c r="N206" s="265"/>
    </row>
    <row r="207" spans="1:14" s="3" customFormat="1" ht="12.2" customHeight="1" x14ac:dyDescent="0.15">
      <c r="A207" s="1" t="s">
        <v>446</v>
      </c>
      <c r="B207" s="2" t="s">
        <v>341</v>
      </c>
      <c r="C207" s="2" t="s">
        <v>298</v>
      </c>
      <c r="D207" s="2" t="s">
        <v>431</v>
      </c>
      <c r="E207" s="6">
        <v>2500</v>
      </c>
      <c r="F207" s="18">
        <v>140179.65</v>
      </c>
      <c r="G207" s="18">
        <v>83928.19</v>
      </c>
      <c r="H207" s="18">
        <v>215092.29</v>
      </c>
      <c r="I207" s="18"/>
      <c r="J207" s="18"/>
      <c r="K207" s="18">
        <v>1699.35</v>
      </c>
      <c r="L207" s="19">
        <f t="shared" si="0"/>
        <v>440899.48</v>
      </c>
      <c r="M207" s="8"/>
      <c r="N207" s="265"/>
    </row>
    <row r="208" spans="1:14" s="3" customFormat="1" ht="12.2" customHeight="1" x14ac:dyDescent="0.15">
      <c r="A208" s="1" t="s">
        <v>447</v>
      </c>
      <c r="B208" s="2" t="s">
        <v>341</v>
      </c>
      <c r="C208" s="2" t="s">
        <v>299</v>
      </c>
      <c r="D208" s="2" t="s">
        <v>431</v>
      </c>
      <c r="E208" s="6">
        <v>2600</v>
      </c>
      <c r="F208" s="18">
        <v>779433.11</v>
      </c>
      <c r="G208" s="18">
        <v>464731.46</v>
      </c>
      <c r="H208" s="18">
        <v>1135952.1400000001</v>
      </c>
      <c r="I208" s="18">
        <v>630106.96</v>
      </c>
      <c r="J208" s="18">
        <v>8954.89</v>
      </c>
      <c r="K208" s="18">
        <v>318.25</v>
      </c>
      <c r="L208" s="19">
        <f t="shared" si="0"/>
        <v>3019496.81</v>
      </c>
      <c r="M208" s="8"/>
      <c r="N208" s="265"/>
    </row>
    <row r="209" spans="1:14" s="3" customFormat="1" ht="12.2" customHeight="1" x14ac:dyDescent="0.15">
      <c r="A209" s="1" t="s">
        <v>448</v>
      </c>
      <c r="B209" s="2" t="s">
        <v>341</v>
      </c>
      <c r="C209" s="2" t="s">
        <v>300</v>
      </c>
      <c r="D209" s="2" t="s">
        <v>431</v>
      </c>
      <c r="E209" s="6">
        <v>2700</v>
      </c>
      <c r="F209" s="18">
        <v>43305.32</v>
      </c>
      <c r="G209" s="18">
        <v>16552.34</v>
      </c>
      <c r="H209" s="18">
        <v>1851832.44</v>
      </c>
      <c r="I209" s="18"/>
      <c r="J209" s="18"/>
      <c r="K209" s="18"/>
      <c r="L209" s="19">
        <f t="shared" si="0"/>
        <v>1911690.0999999999</v>
      </c>
      <c r="M209" s="8"/>
      <c r="N209" s="265"/>
    </row>
    <row r="210" spans="1:14" s="3" customFormat="1" ht="12.2" customHeight="1" x14ac:dyDescent="0.15">
      <c r="A210" s="1" t="s">
        <v>449</v>
      </c>
      <c r="B210" s="2" t="s">
        <v>341</v>
      </c>
      <c r="C210" s="2" t="s">
        <v>343</v>
      </c>
      <c r="D210" s="2" t="s">
        <v>431</v>
      </c>
      <c r="E210" s="6">
        <v>2800</v>
      </c>
      <c r="F210" s="18"/>
      <c r="G210" s="18">
        <v>48969.450000000004</v>
      </c>
      <c r="H210" s="18">
        <v>34065.75</v>
      </c>
      <c r="I210" s="18"/>
      <c r="J210" s="18"/>
      <c r="K210" s="18"/>
      <c r="L210" s="19">
        <f>SUM(F210:K210)</f>
        <v>83035.200000000012</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17941101.899999999</v>
      </c>
      <c r="G212" s="41">
        <f t="shared" si="1"/>
        <v>9866066.7000000011</v>
      </c>
      <c r="H212" s="41">
        <f t="shared" si="1"/>
        <v>4994843.58</v>
      </c>
      <c r="I212" s="41">
        <f t="shared" si="1"/>
        <v>1079917.8799999999</v>
      </c>
      <c r="J212" s="41">
        <f t="shared" si="1"/>
        <v>196736.43999999994</v>
      </c>
      <c r="K212" s="41">
        <f t="shared" si="1"/>
        <v>39678.21</v>
      </c>
      <c r="L212" s="41">
        <f t="shared" si="1"/>
        <v>34118344.710000001</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v>3765742.14</v>
      </c>
      <c r="G216" s="18">
        <v>2123805.12</v>
      </c>
      <c r="H216" s="18">
        <v>23093.1</v>
      </c>
      <c r="I216" s="18">
        <v>94787.68</v>
      </c>
      <c r="J216" s="18">
        <v>4093.54</v>
      </c>
      <c r="K216" s="18"/>
      <c r="L216" s="19">
        <f>SUM(F216:K216)</f>
        <v>6011521.5799999991</v>
      </c>
      <c r="M216" s="8"/>
      <c r="N216" s="265"/>
    </row>
    <row r="217" spans="1:14" s="3" customFormat="1" ht="12.2" customHeight="1" x14ac:dyDescent="0.15">
      <c r="A217" s="1" t="s">
        <v>439</v>
      </c>
      <c r="B217" s="2" t="s">
        <v>346</v>
      </c>
      <c r="C217" s="2" t="s">
        <v>291</v>
      </c>
      <c r="D217" s="2" t="s">
        <v>431</v>
      </c>
      <c r="E217" s="6">
        <v>1200</v>
      </c>
      <c r="F217" s="18">
        <v>1246470.3499999999</v>
      </c>
      <c r="G217" s="18">
        <v>671811.1</v>
      </c>
      <c r="H217" s="18">
        <v>197739.51999999999</v>
      </c>
      <c r="I217" s="18">
        <v>9571.9699999999993</v>
      </c>
      <c r="J217" s="18"/>
      <c r="K217" s="18">
        <v>812</v>
      </c>
      <c r="L217" s="19">
        <f>SUM(F217:K217)</f>
        <v>2126404.94</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v>127662.16</v>
      </c>
      <c r="G219" s="18">
        <v>35429.300000000003</v>
      </c>
      <c r="H219" s="18">
        <v>21572.5</v>
      </c>
      <c r="I219" s="18">
        <v>10964.71</v>
      </c>
      <c r="J219" s="18"/>
      <c r="K219" s="18">
        <v>1616.73</v>
      </c>
      <c r="L219" s="19">
        <f>SUM(F219:K219)</f>
        <v>197245.40000000002</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v>394890.4</v>
      </c>
      <c r="G221" s="18">
        <v>227390.84999999998</v>
      </c>
      <c r="H221" s="18">
        <v>154632.15</v>
      </c>
      <c r="I221" s="18">
        <v>6282.92</v>
      </c>
      <c r="J221" s="18"/>
      <c r="K221" s="18"/>
      <c r="L221" s="19">
        <f t="shared" ref="L221:L227" si="2">SUM(F221:K221)</f>
        <v>783196.32000000007</v>
      </c>
      <c r="M221" s="8"/>
      <c r="N221" s="265"/>
    </row>
    <row r="222" spans="1:14" s="3" customFormat="1" ht="12.2" customHeight="1" x14ac:dyDescent="0.15">
      <c r="A222" s="1" t="s">
        <v>443</v>
      </c>
      <c r="B222" s="2" t="s">
        <v>346</v>
      </c>
      <c r="C222" s="2" t="s">
        <v>295</v>
      </c>
      <c r="D222" s="2" t="s">
        <v>431</v>
      </c>
      <c r="E222" s="6">
        <v>2200</v>
      </c>
      <c r="F222" s="18">
        <v>107979.39</v>
      </c>
      <c r="G222" s="18">
        <v>88774.48000000001</v>
      </c>
      <c r="H222" s="18">
        <v>4337.5599999999995</v>
      </c>
      <c r="I222" s="18">
        <v>16183.17</v>
      </c>
      <c r="J222" s="18">
        <v>43951.48</v>
      </c>
      <c r="K222" s="18">
        <v>4527.33</v>
      </c>
      <c r="L222" s="19">
        <f t="shared" si="2"/>
        <v>265753.41000000003</v>
      </c>
      <c r="M222" s="8"/>
      <c r="N222" s="265"/>
    </row>
    <row r="223" spans="1:14" s="3" customFormat="1" ht="12.2" customHeight="1" x14ac:dyDescent="0.15">
      <c r="A223" s="1" t="s">
        <v>444</v>
      </c>
      <c r="B223" s="2" t="s">
        <v>346</v>
      </c>
      <c r="C223" s="2" t="s">
        <v>296</v>
      </c>
      <c r="D223" s="2" t="s">
        <v>431</v>
      </c>
      <c r="E223" s="6">
        <v>2300</v>
      </c>
      <c r="F223" s="18">
        <v>144811.31999999998</v>
      </c>
      <c r="G223" s="18">
        <v>10246.52</v>
      </c>
      <c r="H223" s="18">
        <v>14642.039999999999</v>
      </c>
      <c r="I223" s="18">
        <v>3115.71</v>
      </c>
      <c r="J223" s="18">
        <v>4010.1</v>
      </c>
      <c r="K223" s="18">
        <v>3441.11</v>
      </c>
      <c r="L223" s="19">
        <f t="shared" si="2"/>
        <v>180266.79999999996</v>
      </c>
      <c r="M223" s="8"/>
      <c r="N223" s="265"/>
    </row>
    <row r="224" spans="1:14" s="3" customFormat="1" ht="12.2" customHeight="1" x14ac:dyDescent="0.15">
      <c r="A224" s="1" t="s">
        <v>445</v>
      </c>
      <c r="B224" s="2" t="s">
        <v>346</v>
      </c>
      <c r="C224" s="2" t="s">
        <v>297</v>
      </c>
      <c r="D224" s="2" t="s">
        <v>431</v>
      </c>
      <c r="E224" s="6">
        <v>2400</v>
      </c>
      <c r="F224" s="18">
        <v>507822.01</v>
      </c>
      <c r="G224" s="18">
        <v>307243.37999999995</v>
      </c>
      <c r="H224" s="18">
        <v>1445.12</v>
      </c>
      <c r="I224" s="18">
        <v>3980.55</v>
      </c>
      <c r="J224" s="18">
        <v>96.6</v>
      </c>
      <c r="K224" s="18">
        <v>2861</v>
      </c>
      <c r="L224" s="19">
        <f t="shared" si="2"/>
        <v>823448.65999999992</v>
      </c>
      <c r="M224" s="8"/>
      <c r="N224" s="265"/>
    </row>
    <row r="225" spans="1:14" s="3" customFormat="1" ht="12.2" customHeight="1" x14ac:dyDescent="0.15">
      <c r="A225" s="1" t="s">
        <v>446</v>
      </c>
      <c r="B225" s="2" t="s">
        <v>346</v>
      </c>
      <c r="C225" s="2" t="s">
        <v>298</v>
      </c>
      <c r="D225" s="2" t="s">
        <v>431</v>
      </c>
      <c r="E225" s="6">
        <v>2500</v>
      </c>
      <c r="F225" s="18">
        <v>44857.48</v>
      </c>
      <c r="G225" s="18">
        <v>26857.040000000001</v>
      </c>
      <c r="H225" s="18">
        <v>68829.530000000013</v>
      </c>
      <c r="I225" s="18"/>
      <c r="J225" s="18"/>
      <c r="K225" s="18">
        <v>543.79</v>
      </c>
      <c r="L225" s="19">
        <f t="shared" si="2"/>
        <v>141087.84000000003</v>
      </c>
      <c r="M225" s="8"/>
      <c r="N225" s="265"/>
    </row>
    <row r="226" spans="1:14" s="3" customFormat="1" ht="12.2" customHeight="1" x14ac:dyDescent="0.15">
      <c r="A226" s="1" t="s">
        <v>447</v>
      </c>
      <c r="B226" s="2" t="s">
        <v>346</v>
      </c>
      <c r="C226" s="2" t="s">
        <v>299</v>
      </c>
      <c r="D226" s="2" t="s">
        <v>431</v>
      </c>
      <c r="E226" s="6">
        <v>2600</v>
      </c>
      <c r="F226" s="18">
        <v>240757.05</v>
      </c>
      <c r="G226" s="18">
        <v>143562.37</v>
      </c>
      <c r="H226" s="18">
        <v>363504.69</v>
      </c>
      <c r="I226" s="18">
        <v>52910.95</v>
      </c>
      <c r="J226" s="18">
        <v>2865.56</v>
      </c>
      <c r="K226" s="18">
        <v>101.84</v>
      </c>
      <c r="L226" s="19">
        <f t="shared" si="2"/>
        <v>803702.46</v>
      </c>
      <c r="M226" s="8"/>
      <c r="N226" s="265"/>
    </row>
    <row r="227" spans="1:14" s="3" customFormat="1" ht="12.2" customHeight="1" x14ac:dyDescent="0.15">
      <c r="A227" s="1" t="s">
        <v>448</v>
      </c>
      <c r="B227" s="2" t="s">
        <v>346</v>
      </c>
      <c r="C227" s="2" t="s">
        <v>300</v>
      </c>
      <c r="D227" s="2" t="s">
        <v>431</v>
      </c>
      <c r="E227" s="6">
        <v>2700</v>
      </c>
      <c r="F227" s="18">
        <v>13857.7</v>
      </c>
      <c r="G227" s="18">
        <v>5296.75</v>
      </c>
      <c r="H227" s="18">
        <v>603860.41</v>
      </c>
      <c r="I227" s="18"/>
      <c r="J227" s="18"/>
      <c r="K227" s="18"/>
      <c r="L227" s="19">
        <f t="shared" si="2"/>
        <v>623014.86</v>
      </c>
      <c r="M227" s="8"/>
      <c r="N227" s="265"/>
    </row>
    <row r="228" spans="1:14" s="3" customFormat="1" ht="12.2" customHeight="1" x14ac:dyDescent="0.15">
      <c r="A228" s="1" t="s">
        <v>449</v>
      </c>
      <c r="B228" s="2" t="s">
        <v>346</v>
      </c>
      <c r="C228" s="2" t="s">
        <v>343</v>
      </c>
      <c r="D228" s="2" t="s">
        <v>431</v>
      </c>
      <c r="E228" s="6">
        <v>2800</v>
      </c>
      <c r="F228" s="18"/>
      <c r="G228" s="18">
        <v>15670.220000000001</v>
      </c>
      <c r="H228" s="18">
        <v>10901.04</v>
      </c>
      <c r="I228" s="18"/>
      <c r="J228" s="18"/>
      <c r="K228" s="18"/>
      <c r="L228" s="19">
        <f>SUM(F228:K228)</f>
        <v>26571.260000000002</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6594850.0000000009</v>
      </c>
      <c r="G230" s="41">
        <f>SUM(G216:G229)</f>
        <v>3656087.1300000004</v>
      </c>
      <c r="H230" s="41">
        <f>SUM(H216:H229)</f>
        <v>1464557.6600000001</v>
      </c>
      <c r="I230" s="41">
        <f>SUM(I216:I229)</f>
        <v>197797.65999999997</v>
      </c>
      <c r="J230" s="41">
        <f>SUM(J216:J229)</f>
        <v>55017.279999999999</v>
      </c>
      <c r="K230" s="41">
        <f t="shared" si="3"/>
        <v>13903.8</v>
      </c>
      <c r="L230" s="41">
        <f t="shared" si="3"/>
        <v>11982213.529999999</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v>7035668.0300000003</v>
      </c>
      <c r="G234" s="18">
        <v>3962346.16</v>
      </c>
      <c r="H234" s="18">
        <v>40143.96</v>
      </c>
      <c r="I234" s="18">
        <v>168556.52</v>
      </c>
      <c r="J234" s="18">
        <v>36754.58</v>
      </c>
      <c r="K234" s="18">
        <v>45435.839999999997</v>
      </c>
      <c r="L234" s="19">
        <f>SUM(F234:K234)</f>
        <v>11288905.090000002</v>
      </c>
      <c r="M234" s="8"/>
      <c r="N234" s="265"/>
    </row>
    <row r="235" spans="1:14" s="3" customFormat="1" ht="12.2" customHeight="1" x14ac:dyDescent="0.15">
      <c r="A235" s="1" t="s">
        <v>439</v>
      </c>
      <c r="B235" s="2" t="s">
        <v>350</v>
      </c>
      <c r="C235" s="2" t="s">
        <v>291</v>
      </c>
      <c r="D235" s="2" t="s">
        <v>431</v>
      </c>
      <c r="E235" s="6">
        <v>1200</v>
      </c>
      <c r="F235" s="18">
        <v>1849675.84</v>
      </c>
      <c r="G235" s="18">
        <v>986175.31</v>
      </c>
      <c r="H235" s="18">
        <v>1637950.4400000002</v>
      </c>
      <c r="I235" s="18">
        <v>16343.6</v>
      </c>
      <c r="J235" s="18"/>
      <c r="K235" s="18">
        <v>1725.5</v>
      </c>
      <c r="L235" s="19">
        <f>SUM(F235:K235)</f>
        <v>4491870.6900000004</v>
      </c>
      <c r="M235" s="8"/>
      <c r="N235" s="265"/>
    </row>
    <row r="236" spans="1:14" s="3" customFormat="1" ht="12.2" customHeight="1" x14ac:dyDescent="0.15">
      <c r="A236" s="1" t="s">
        <v>440</v>
      </c>
      <c r="B236" s="2" t="s">
        <v>350</v>
      </c>
      <c r="C236" s="2" t="s">
        <v>292</v>
      </c>
      <c r="D236" s="2" t="s">
        <v>431</v>
      </c>
      <c r="E236" s="6">
        <v>1300</v>
      </c>
      <c r="F236" s="18"/>
      <c r="G236" s="18"/>
      <c r="H236" s="18">
        <v>105427.79999999999</v>
      </c>
      <c r="I236" s="18"/>
      <c r="J236" s="18"/>
      <c r="K236" s="18"/>
      <c r="L236" s="19">
        <f>SUM(F236:K236)</f>
        <v>105427.79999999999</v>
      </c>
      <c r="M236" s="8"/>
      <c r="N236" s="265"/>
    </row>
    <row r="237" spans="1:14" s="3" customFormat="1" ht="12.2" customHeight="1" x14ac:dyDescent="0.15">
      <c r="A237" s="1" t="s">
        <v>441</v>
      </c>
      <c r="B237" s="2" t="s">
        <v>350</v>
      </c>
      <c r="C237" s="2" t="s">
        <v>293</v>
      </c>
      <c r="D237" s="2" t="s">
        <v>431</v>
      </c>
      <c r="E237" s="6">
        <v>1400</v>
      </c>
      <c r="F237" s="18">
        <v>583009.32000000007</v>
      </c>
      <c r="G237" s="18">
        <v>161802.63</v>
      </c>
      <c r="H237" s="18">
        <v>175508.33000000002</v>
      </c>
      <c r="I237" s="18">
        <v>46589.85</v>
      </c>
      <c r="J237" s="18">
        <v>6301.96</v>
      </c>
      <c r="K237" s="18">
        <v>50932.93</v>
      </c>
      <c r="L237" s="19">
        <f>SUM(F237:K237)</f>
        <v>1024145.02</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v>758630.84</v>
      </c>
      <c r="G239" s="18">
        <v>436336.70999999996</v>
      </c>
      <c r="H239" s="18">
        <v>743732.7699999999</v>
      </c>
      <c r="I239" s="18">
        <v>20773</v>
      </c>
      <c r="J239" s="18"/>
      <c r="K239" s="18"/>
      <c r="L239" s="19">
        <f t="shared" ref="L239:L245" si="4">SUM(F239:K239)</f>
        <v>1959473.3199999998</v>
      </c>
      <c r="M239" s="8"/>
      <c r="N239" s="265"/>
    </row>
    <row r="240" spans="1:14" s="3" customFormat="1" ht="12.2" customHeight="1" x14ac:dyDescent="0.15">
      <c r="A240" s="1" t="s">
        <v>443</v>
      </c>
      <c r="B240" s="2" t="s">
        <v>350</v>
      </c>
      <c r="C240" s="2" t="s">
        <v>295</v>
      </c>
      <c r="D240" s="2" t="s">
        <v>431</v>
      </c>
      <c r="E240" s="6">
        <v>2200</v>
      </c>
      <c r="F240" s="18">
        <v>229456.21</v>
      </c>
      <c r="G240" s="18">
        <v>188645.80000000002</v>
      </c>
      <c r="H240" s="18">
        <v>10741.810000000001</v>
      </c>
      <c r="I240" s="18">
        <v>37345.74</v>
      </c>
      <c r="J240" s="18">
        <v>98490.260000000009</v>
      </c>
      <c r="K240" s="18">
        <v>9620.58</v>
      </c>
      <c r="L240" s="19">
        <f t="shared" si="4"/>
        <v>574300.4</v>
      </c>
      <c r="M240" s="8"/>
      <c r="N240" s="265"/>
    </row>
    <row r="241" spans="1:14" s="3" customFormat="1" ht="12.2" customHeight="1" x14ac:dyDescent="0.15">
      <c r="A241" s="1" t="s">
        <v>444</v>
      </c>
      <c r="B241" s="2" t="s">
        <v>350</v>
      </c>
      <c r="C241" s="2" t="s">
        <v>296</v>
      </c>
      <c r="D241" s="2" t="s">
        <v>431</v>
      </c>
      <c r="E241" s="6">
        <v>2300</v>
      </c>
      <c r="F241" s="18">
        <v>307724.04000000004</v>
      </c>
      <c r="G241" s="18">
        <v>14705.7</v>
      </c>
      <c r="H241" s="18">
        <v>31114.339999999997</v>
      </c>
      <c r="I241" s="18">
        <v>6620.87</v>
      </c>
      <c r="J241" s="18">
        <v>8521.4699999999993</v>
      </c>
      <c r="K241" s="18">
        <v>7312.36</v>
      </c>
      <c r="L241" s="19">
        <f t="shared" si="4"/>
        <v>375998.78</v>
      </c>
      <c r="M241" s="8"/>
      <c r="N241" s="265"/>
    </row>
    <row r="242" spans="1:14" s="3" customFormat="1" ht="12.2" customHeight="1" x14ac:dyDescent="0.15">
      <c r="A242" s="1" t="s">
        <v>445</v>
      </c>
      <c r="B242" s="2" t="s">
        <v>350</v>
      </c>
      <c r="C242" s="2" t="s">
        <v>297</v>
      </c>
      <c r="D242" s="2" t="s">
        <v>431</v>
      </c>
      <c r="E242" s="6">
        <v>2400</v>
      </c>
      <c r="F242" s="18">
        <v>1277084.47</v>
      </c>
      <c r="G242" s="18">
        <v>771601.29999999993</v>
      </c>
      <c r="H242" s="18">
        <v>11103.939999999999</v>
      </c>
      <c r="I242" s="18">
        <v>8741.9</v>
      </c>
      <c r="J242" s="18">
        <v>205.26</v>
      </c>
      <c r="K242" s="18">
        <v>44048.7</v>
      </c>
      <c r="L242" s="19">
        <f t="shared" si="4"/>
        <v>2112785.5699999998</v>
      </c>
      <c r="M242" s="8"/>
      <c r="N242" s="265"/>
    </row>
    <row r="243" spans="1:14" s="3" customFormat="1" ht="12.2" customHeight="1" x14ac:dyDescent="0.15">
      <c r="A243" s="1" t="s">
        <v>446</v>
      </c>
      <c r="B243" s="2" t="s">
        <v>350</v>
      </c>
      <c r="C243" s="2" t="s">
        <v>298</v>
      </c>
      <c r="D243" s="2" t="s">
        <v>431</v>
      </c>
      <c r="E243" s="6">
        <v>2500</v>
      </c>
      <c r="F243" s="18">
        <v>95322.16</v>
      </c>
      <c r="G243" s="18">
        <v>57071.18</v>
      </c>
      <c r="H243" s="18">
        <v>146262.75999999998</v>
      </c>
      <c r="I243" s="18"/>
      <c r="J243" s="18"/>
      <c r="K243" s="18">
        <v>1155.56</v>
      </c>
      <c r="L243" s="19">
        <f t="shared" si="4"/>
        <v>299811.65999999997</v>
      </c>
      <c r="M243" s="8"/>
      <c r="N243" s="265"/>
    </row>
    <row r="244" spans="1:14" s="3" customFormat="1" ht="12.2" customHeight="1" x14ac:dyDescent="0.15">
      <c r="A244" s="1" t="s">
        <v>447</v>
      </c>
      <c r="B244" s="2" t="s">
        <v>350</v>
      </c>
      <c r="C244" s="2" t="s">
        <v>299</v>
      </c>
      <c r="D244" s="2" t="s">
        <v>431</v>
      </c>
      <c r="E244" s="6">
        <v>2600</v>
      </c>
      <c r="F244" s="18">
        <v>346262.48</v>
      </c>
      <c r="G244" s="18">
        <v>207157.25</v>
      </c>
      <c r="H244" s="18">
        <v>772447.46</v>
      </c>
      <c r="I244" s="18">
        <v>594383.39</v>
      </c>
      <c r="J244" s="18">
        <v>6089.32</v>
      </c>
      <c r="K244" s="18">
        <v>216.41</v>
      </c>
      <c r="L244" s="19">
        <f t="shared" si="4"/>
        <v>1926556.31</v>
      </c>
      <c r="M244" s="8"/>
      <c r="N244" s="265"/>
    </row>
    <row r="245" spans="1:14" s="3" customFormat="1" ht="12.2" customHeight="1" x14ac:dyDescent="0.15">
      <c r="A245" s="1" t="s">
        <v>448</v>
      </c>
      <c r="B245" s="2" t="s">
        <v>350</v>
      </c>
      <c r="C245" s="2" t="s">
        <v>300</v>
      </c>
      <c r="D245" s="2" t="s">
        <v>431</v>
      </c>
      <c r="E245" s="6">
        <v>2700</v>
      </c>
      <c r="F245" s="18">
        <v>29447.61</v>
      </c>
      <c r="G245" s="18">
        <v>11535.59</v>
      </c>
      <c r="H245" s="18">
        <v>1369245.26</v>
      </c>
      <c r="I245" s="18"/>
      <c r="J245" s="18"/>
      <c r="K245" s="18"/>
      <c r="L245" s="19">
        <f t="shared" si="4"/>
        <v>1410228.46</v>
      </c>
      <c r="M245" s="8"/>
      <c r="N245" s="265"/>
    </row>
    <row r="246" spans="1:14" s="3" customFormat="1" ht="12.2" customHeight="1" x14ac:dyDescent="0.15">
      <c r="A246" s="1" t="s">
        <v>449</v>
      </c>
      <c r="B246" s="2" t="s">
        <v>350</v>
      </c>
      <c r="C246" s="2" t="s">
        <v>343</v>
      </c>
      <c r="D246" s="2" t="s">
        <v>431</v>
      </c>
      <c r="E246" s="6">
        <v>2800</v>
      </c>
      <c r="F246" s="18"/>
      <c r="G246" s="18">
        <v>33299.230000000003</v>
      </c>
      <c r="H246" s="18">
        <v>23164.710000000003</v>
      </c>
      <c r="I246" s="18"/>
      <c r="J246" s="18"/>
      <c r="K246" s="18"/>
      <c r="L246" s="19">
        <f>SUM(F246:K246)</f>
        <v>56463.94</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12512281.000000002</v>
      </c>
      <c r="G248" s="41">
        <f t="shared" si="5"/>
        <v>6830676.8600000003</v>
      </c>
      <c r="H248" s="41">
        <f t="shared" si="5"/>
        <v>5066843.58</v>
      </c>
      <c r="I248" s="41">
        <f t="shared" si="5"/>
        <v>899354.87000000011</v>
      </c>
      <c r="J248" s="41">
        <f t="shared" si="5"/>
        <v>156362.85000000003</v>
      </c>
      <c r="K248" s="41">
        <f t="shared" si="5"/>
        <v>160447.87999999998</v>
      </c>
      <c r="L248" s="41">
        <f t="shared" si="5"/>
        <v>25625967.040000003</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v>16063.72</v>
      </c>
      <c r="G252" s="18">
        <v>4465.8900000000003</v>
      </c>
      <c r="H252" s="18"/>
      <c r="I252" s="18">
        <v>149.38</v>
      </c>
      <c r="J252" s="18"/>
      <c r="K252" s="18"/>
      <c r="L252" s="19">
        <f t="shared" si="6"/>
        <v>20678.990000000002</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16063.72</v>
      </c>
      <c r="G257" s="41">
        <f t="shared" si="7"/>
        <v>4465.8900000000003</v>
      </c>
      <c r="H257" s="41">
        <f t="shared" si="7"/>
        <v>0</v>
      </c>
      <c r="I257" s="41">
        <f t="shared" si="7"/>
        <v>149.38</v>
      </c>
      <c r="J257" s="41">
        <f t="shared" si="7"/>
        <v>0</v>
      </c>
      <c r="K257" s="41">
        <f t="shared" si="7"/>
        <v>0</v>
      </c>
      <c r="L257" s="41">
        <f>SUM(F257:K257)</f>
        <v>20678.990000000002</v>
      </c>
      <c r="M257" s="8"/>
      <c r="N257" s="265"/>
    </row>
    <row r="258" spans="1:14" s="3" customFormat="1" ht="12.2" customHeight="1" thickTop="1" x14ac:dyDescent="0.15">
      <c r="A258" s="38" t="s">
        <v>462</v>
      </c>
      <c r="B258" s="40">
        <v>10</v>
      </c>
      <c r="C258" s="40">
        <v>8</v>
      </c>
      <c r="D258" s="39" t="s">
        <v>431</v>
      </c>
      <c r="E258" s="40"/>
      <c r="F258" s="41">
        <f t="shared" ref="F258:L258" si="8">F212+F230+F248+F257</f>
        <v>37064296.619999997</v>
      </c>
      <c r="G258" s="41">
        <f t="shared" si="8"/>
        <v>20357296.580000002</v>
      </c>
      <c r="H258" s="41">
        <f t="shared" si="8"/>
        <v>11526244.82</v>
      </c>
      <c r="I258" s="41">
        <f t="shared" si="8"/>
        <v>2177219.79</v>
      </c>
      <c r="J258" s="41">
        <f t="shared" si="8"/>
        <v>408116.56999999995</v>
      </c>
      <c r="K258" s="41">
        <f t="shared" si="8"/>
        <v>214029.88999999996</v>
      </c>
      <c r="L258" s="41">
        <f t="shared" si="8"/>
        <v>71747204.269999996</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1930000</v>
      </c>
      <c r="L261" s="19">
        <f>SUM(F261:K261)</f>
        <v>1930000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981340</v>
      </c>
      <c r="L262" s="19">
        <f>SUM(F262:K262)</f>
        <v>981340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84284.23</v>
      </c>
      <c r="L269" s="19">
        <f t="shared" si="9"/>
        <v>84284.23</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2995624.23</v>
      </c>
      <c r="L271" s="41">
        <f t="shared" si="9"/>
        <v>2995624.23</v>
      </c>
      <c r="M271" s="8"/>
      <c r="N271" s="265"/>
    </row>
    <row r="272" spans="1:14" s="34" customFormat="1" ht="12.2" customHeight="1" thickTop="1" x14ac:dyDescent="0.2">
      <c r="A272" s="43" t="s">
        <v>464</v>
      </c>
      <c r="B272" s="40">
        <v>10</v>
      </c>
      <c r="C272" s="40">
        <v>18</v>
      </c>
      <c r="D272" s="39" t="s">
        <v>431</v>
      </c>
      <c r="E272" s="40"/>
      <c r="F272" s="42">
        <f t="shared" ref="F272:L272" si="11">F258+F271</f>
        <v>37064296.619999997</v>
      </c>
      <c r="G272" s="42">
        <f t="shared" si="11"/>
        <v>20357296.580000002</v>
      </c>
      <c r="H272" s="42">
        <f t="shared" si="11"/>
        <v>11526244.82</v>
      </c>
      <c r="I272" s="42">
        <f t="shared" si="11"/>
        <v>2177219.79</v>
      </c>
      <c r="J272" s="42">
        <f t="shared" si="11"/>
        <v>408116.56999999995</v>
      </c>
      <c r="K272" s="42">
        <f t="shared" si="11"/>
        <v>3209654.12</v>
      </c>
      <c r="L272" s="42">
        <f t="shared" si="11"/>
        <v>74742828.5</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223781.46</v>
      </c>
      <c r="G277" s="18">
        <v>8427.3700000000008</v>
      </c>
      <c r="H277" s="18">
        <v>1986.8899999999999</v>
      </c>
      <c r="I277" s="18">
        <v>9533.3000000000011</v>
      </c>
      <c r="J277" s="18">
        <v>4829.96</v>
      </c>
      <c r="K277" s="18"/>
      <c r="L277" s="19">
        <f>SUM(F277:K277)</f>
        <v>248558.97999999998</v>
      </c>
      <c r="M277" s="8"/>
      <c r="N277" s="265"/>
    </row>
    <row r="278" spans="1:14" s="3" customFormat="1" ht="12.2" customHeight="1" x14ac:dyDescent="0.15">
      <c r="A278" s="1" t="s">
        <v>439</v>
      </c>
      <c r="B278" s="2" t="s">
        <v>357</v>
      </c>
      <c r="C278" s="2" t="s">
        <v>291</v>
      </c>
      <c r="D278" s="2" t="s">
        <v>431</v>
      </c>
      <c r="E278" s="6">
        <v>1200</v>
      </c>
      <c r="F278" s="18">
        <v>321529.73</v>
      </c>
      <c r="G278" s="18">
        <v>2191.2199999999998</v>
      </c>
      <c r="H278" s="18">
        <v>1721</v>
      </c>
      <c r="I278" s="18">
        <v>5541.73</v>
      </c>
      <c r="J278" s="18">
        <v>1055.6300000000001</v>
      </c>
      <c r="K278" s="18"/>
      <c r="L278" s="19">
        <f>SUM(F278:K278)</f>
        <v>332039.30999999994</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v>109795.96</v>
      </c>
      <c r="G282" s="18">
        <v>224.33</v>
      </c>
      <c r="H282" s="18">
        <v>21419.5</v>
      </c>
      <c r="I282" s="18"/>
      <c r="J282" s="18"/>
      <c r="K282" s="18"/>
      <c r="L282" s="19">
        <f t="shared" ref="L282:L288" si="12">SUM(F282:K282)</f>
        <v>131439.79</v>
      </c>
      <c r="M282" s="8"/>
      <c r="N282" s="265"/>
    </row>
    <row r="283" spans="1:14" s="3" customFormat="1" ht="12.2" customHeight="1" x14ac:dyDescent="0.15">
      <c r="A283" s="1" t="s">
        <v>443</v>
      </c>
      <c r="B283" s="2" t="s">
        <v>357</v>
      </c>
      <c r="C283" s="2" t="s">
        <v>295</v>
      </c>
      <c r="D283" s="2" t="s">
        <v>431</v>
      </c>
      <c r="E283" s="6">
        <v>2200</v>
      </c>
      <c r="F283" s="18">
        <v>15131.25</v>
      </c>
      <c r="G283" s="18"/>
      <c r="H283" s="18">
        <v>39277.46</v>
      </c>
      <c r="I283" s="18">
        <v>14325</v>
      </c>
      <c r="J283" s="18"/>
      <c r="K283" s="18"/>
      <c r="L283" s="19">
        <f t="shared" si="12"/>
        <v>68733.709999999992</v>
      </c>
      <c r="M283" s="8"/>
      <c r="N283" s="265"/>
    </row>
    <row r="284" spans="1:14" s="3" customFormat="1" ht="12.2" customHeight="1" x14ac:dyDescent="0.15">
      <c r="A284" s="1" t="s">
        <v>444</v>
      </c>
      <c r="B284" s="2" t="s">
        <v>357</v>
      </c>
      <c r="C284" s="2" t="s">
        <v>296</v>
      </c>
      <c r="D284" s="2" t="s">
        <v>431</v>
      </c>
      <c r="E284" s="6">
        <v>2300</v>
      </c>
      <c r="F284" s="18">
        <v>2500</v>
      </c>
      <c r="G284" s="18">
        <v>716.75</v>
      </c>
      <c r="H284" s="18"/>
      <c r="I284" s="18"/>
      <c r="J284" s="18"/>
      <c r="K284" s="18"/>
      <c r="L284" s="19">
        <f t="shared" si="12"/>
        <v>3216.75</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5"/>
    </row>
    <row r="287" spans="1:14" s="3" customFormat="1" ht="12.2" customHeight="1" x14ac:dyDescent="0.15">
      <c r="A287" s="1" t="s">
        <v>447</v>
      </c>
      <c r="B287" s="2" t="s">
        <v>357</v>
      </c>
      <c r="C287" s="2" t="s">
        <v>299</v>
      </c>
      <c r="D287" s="2" t="s">
        <v>431</v>
      </c>
      <c r="E287" s="6">
        <v>2600</v>
      </c>
      <c r="F287" s="18"/>
      <c r="G287" s="18"/>
      <c r="H287" s="18"/>
      <c r="I287" s="18"/>
      <c r="J287" s="18">
        <v>4011</v>
      </c>
      <c r="K287" s="18"/>
      <c r="L287" s="19">
        <f t="shared" si="12"/>
        <v>4011</v>
      </c>
      <c r="M287" s="8"/>
      <c r="N287" s="265"/>
    </row>
    <row r="288" spans="1:14" s="3" customFormat="1" ht="12.2" customHeight="1" x14ac:dyDescent="0.15">
      <c r="A288" s="1" t="s">
        <v>448</v>
      </c>
      <c r="B288" s="2" t="s">
        <v>357</v>
      </c>
      <c r="C288" s="2" t="s">
        <v>300</v>
      </c>
      <c r="D288" s="2" t="s">
        <v>431</v>
      </c>
      <c r="E288" s="6">
        <v>2700</v>
      </c>
      <c r="F288" s="18"/>
      <c r="G288" s="18"/>
      <c r="H288" s="18">
        <v>4299.1899999999996</v>
      </c>
      <c r="I288" s="18"/>
      <c r="J288" s="18"/>
      <c r="K288" s="18"/>
      <c r="L288" s="19">
        <f t="shared" si="12"/>
        <v>4299.1899999999996</v>
      </c>
      <c r="M288" s="8"/>
      <c r="N288" s="265"/>
    </row>
    <row r="289" spans="1:14" s="3" customFormat="1" ht="12.2" customHeight="1" x14ac:dyDescent="0.15">
      <c r="A289" s="1" t="s">
        <v>449</v>
      </c>
      <c r="B289" s="2" t="s">
        <v>357</v>
      </c>
      <c r="C289" s="2" t="s">
        <v>343</v>
      </c>
      <c r="D289" s="2" t="s">
        <v>431</v>
      </c>
      <c r="E289" s="6">
        <v>2800</v>
      </c>
      <c r="F289" s="18"/>
      <c r="G289" s="18"/>
      <c r="H289" s="18"/>
      <c r="I289" s="18">
        <v>243.59</v>
      </c>
      <c r="J289" s="18"/>
      <c r="K289" s="18"/>
      <c r="L289" s="19">
        <f>SUM(F289:K289)</f>
        <v>243.59</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672738.39999999991</v>
      </c>
      <c r="G291" s="42">
        <f t="shared" si="13"/>
        <v>11559.67</v>
      </c>
      <c r="H291" s="42">
        <f t="shared" si="13"/>
        <v>68704.039999999994</v>
      </c>
      <c r="I291" s="42">
        <f t="shared" si="13"/>
        <v>29643.62</v>
      </c>
      <c r="J291" s="42">
        <f t="shared" si="13"/>
        <v>9896.59</v>
      </c>
      <c r="K291" s="42">
        <f t="shared" si="13"/>
        <v>0</v>
      </c>
      <c r="L291" s="41">
        <f t="shared" si="13"/>
        <v>792542.31999999983</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v>19380.689999999999</v>
      </c>
      <c r="G296" s="18"/>
      <c r="H296" s="18"/>
      <c r="I296" s="18">
        <v>4205.57</v>
      </c>
      <c r="J296" s="18">
        <v>4685.04</v>
      </c>
      <c r="K296" s="18"/>
      <c r="L296" s="19">
        <f>SUM(F296:K296)</f>
        <v>28271.3</v>
      </c>
      <c r="M296" s="8"/>
      <c r="N296" s="265"/>
    </row>
    <row r="297" spans="1:14" s="3" customFormat="1" ht="12.2" customHeight="1" x14ac:dyDescent="0.15">
      <c r="A297" s="1" t="s">
        <v>439</v>
      </c>
      <c r="B297" s="2" t="s">
        <v>358</v>
      </c>
      <c r="C297" s="2" t="s">
        <v>291</v>
      </c>
      <c r="D297" s="2" t="s">
        <v>431</v>
      </c>
      <c r="E297" s="6">
        <v>1200</v>
      </c>
      <c r="F297" s="18">
        <v>93828.800000000003</v>
      </c>
      <c r="G297" s="18"/>
      <c r="H297" s="18"/>
      <c r="I297" s="18">
        <v>1773.35</v>
      </c>
      <c r="J297" s="18">
        <v>337.8</v>
      </c>
      <c r="K297" s="18"/>
      <c r="L297" s="19">
        <f>SUM(F297:K297)</f>
        <v>95939.950000000012</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v>35134.71</v>
      </c>
      <c r="G301" s="18">
        <v>71.78</v>
      </c>
      <c r="H301" s="18">
        <v>7278.4</v>
      </c>
      <c r="I301" s="18"/>
      <c r="J301" s="18"/>
      <c r="K301" s="18"/>
      <c r="L301" s="19">
        <f t="shared" ref="L301:L307" si="14">SUM(F301:K301)</f>
        <v>42484.89</v>
      </c>
      <c r="M301" s="8"/>
      <c r="N301" s="265"/>
    </row>
    <row r="302" spans="1:14" s="3" customFormat="1" ht="12.2" customHeight="1" x14ac:dyDescent="0.15">
      <c r="A302" s="1" t="s">
        <v>443</v>
      </c>
      <c r="B302" s="2" t="s">
        <v>358</v>
      </c>
      <c r="C302" s="2" t="s">
        <v>295</v>
      </c>
      <c r="D302" s="2" t="s">
        <v>431</v>
      </c>
      <c r="E302" s="6">
        <v>2200</v>
      </c>
      <c r="F302" s="18">
        <v>4842</v>
      </c>
      <c r="G302" s="18"/>
      <c r="H302" s="18">
        <v>6554.3899999999994</v>
      </c>
      <c r="I302" s="18">
        <v>312</v>
      </c>
      <c r="J302" s="18"/>
      <c r="K302" s="18"/>
      <c r="L302" s="19">
        <f t="shared" si="14"/>
        <v>11708.39</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v>8224.5</v>
      </c>
      <c r="K306" s="18"/>
      <c r="L306" s="19">
        <f t="shared" si="14"/>
        <v>8224.5</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v>77.95</v>
      </c>
      <c r="J308" s="18"/>
      <c r="K308" s="18"/>
      <c r="L308" s="19">
        <f>SUM(F308:K308)</f>
        <v>77.95</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153186.20000000001</v>
      </c>
      <c r="G310" s="42">
        <f t="shared" si="15"/>
        <v>71.78</v>
      </c>
      <c r="H310" s="42">
        <f t="shared" si="15"/>
        <v>13832.789999999999</v>
      </c>
      <c r="I310" s="42">
        <f t="shared" si="15"/>
        <v>6368.87</v>
      </c>
      <c r="J310" s="42">
        <f t="shared" si="15"/>
        <v>13247.34</v>
      </c>
      <c r="K310" s="42">
        <f t="shared" si="15"/>
        <v>0</v>
      </c>
      <c r="L310" s="41">
        <f t="shared" si="15"/>
        <v>186706.98000000004</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v>49953.770000000004</v>
      </c>
      <c r="G315" s="18"/>
      <c r="H315" s="18">
        <v>8000</v>
      </c>
      <c r="I315" s="18">
        <v>11561.560000000001</v>
      </c>
      <c r="J315" s="18">
        <v>4685.04</v>
      </c>
      <c r="K315" s="18"/>
      <c r="L315" s="19">
        <f>SUM(F315:K315)</f>
        <v>74200.37</v>
      </c>
      <c r="M315" s="8"/>
      <c r="N315" s="265"/>
    </row>
    <row r="316" spans="1:14" s="3" customFormat="1" ht="12.2" customHeight="1" x14ac:dyDescent="0.15">
      <c r="A316" s="1" t="s">
        <v>439</v>
      </c>
      <c r="B316" s="2" t="s">
        <v>359</v>
      </c>
      <c r="C316" s="2" t="s">
        <v>291</v>
      </c>
      <c r="D316" s="2" t="s">
        <v>431</v>
      </c>
      <c r="E316" s="6">
        <v>1200</v>
      </c>
      <c r="F316" s="18">
        <v>203439.47</v>
      </c>
      <c r="G316" s="18">
        <v>310.06</v>
      </c>
      <c r="H316" s="18"/>
      <c r="I316" s="18">
        <v>3768.37</v>
      </c>
      <c r="J316" s="18">
        <v>717.83</v>
      </c>
      <c r="K316" s="18"/>
      <c r="L316" s="19">
        <f>SUM(F316:K316)</f>
        <v>208235.72999999998</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v>74661.25</v>
      </c>
      <c r="G320" s="18">
        <v>152.54</v>
      </c>
      <c r="H320" s="18">
        <v>13129.1</v>
      </c>
      <c r="I320" s="18"/>
      <c r="J320" s="18"/>
      <c r="K320" s="18"/>
      <c r="L320" s="19">
        <f t="shared" ref="L320:L326" si="16">SUM(F320:K320)</f>
        <v>87942.89</v>
      </c>
      <c r="M320" s="8"/>
      <c r="N320" s="265"/>
    </row>
    <row r="321" spans="1:14" s="3" customFormat="1" ht="12.2" customHeight="1" x14ac:dyDescent="0.15">
      <c r="A321" s="1" t="s">
        <v>443</v>
      </c>
      <c r="B321" s="2" t="s">
        <v>359</v>
      </c>
      <c r="C321" s="2" t="s">
        <v>295</v>
      </c>
      <c r="D321" s="2" t="s">
        <v>431</v>
      </c>
      <c r="E321" s="6">
        <v>2200</v>
      </c>
      <c r="F321" s="18">
        <v>10289.25</v>
      </c>
      <c r="G321" s="18"/>
      <c r="H321" s="18">
        <v>15535.55</v>
      </c>
      <c r="I321" s="18">
        <v>663</v>
      </c>
      <c r="J321" s="18"/>
      <c r="K321" s="18"/>
      <c r="L321" s="19">
        <f t="shared" si="16"/>
        <v>26487.8</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v>19190.5</v>
      </c>
      <c r="K325" s="18"/>
      <c r="L325" s="19">
        <f t="shared" si="16"/>
        <v>19190.5</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v>165.6</v>
      </c>
      <c r="J327" s="18"/>
      <c r="K327" s="18"/>
      <c r="L327" s="19">
        <f>SUM(F327:K327)</f>
        <v>165.6</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338343.74</v>
      </c>
      <c r="G329" s="42">
        <f t="shared" si="17"/>
        <v>462.6</v>
      </c>
      <c r="H329" s="42">
        <f t="shared" si="17"/>
        <v>36664.649999999994</v>
      </c>
      <c r="I329" s="42">
        <f t="shared" si="17"/>
        <v>16158.53</v>
      </c>
      <c r="J329" s="42">
        <f t="shared" si="17"/>
        <v>24593.37</v>
      </c>
      <c r="K329" s="42">
        <f t="shared" si="17"/>
        <v>0</v>
      </c>
      <c r="L329" s="41">
        <f t="shared" si="17"/>
        <v>416222.88999999996</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v>12242.73</v>
      </c>
      <c r="G334" s="18"/>
      <c r="H334" s="18"/>
      <c r="I334" s="18"/>
      <c r="J334" s="18"/>
      <c r="K334" s="18"/>
      <c r="L334" s="19">
        <f t="shared" si="18"/>
        <v>12242.73</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v>59256.93</v>
      </c>
      <c r="I337" s="18"/>
      <c r="J337" s="18"/>
      <c r="K337" s="18"/>
      <c r="L337" s="19">
        <f t="shared" si="18"/>
        <v>59256.93</v>
      </c>
      <c r="M337" s="8"/>
      <c r="N337" s="265"/>
    </row>
    <row r="338" spans="1:43" s="3" customFormat="1" ht="12.2" customHeight="1" thickTop="1" thickBot="1" x14ac:dyDescent="0.2">
      <c r="A338" s="50" t="s">
        <v>467</v>
      </c>
      <c r="B338" s="40">
        <v>14</v>
      </c>
      <c r="C338" s="51">
        <v>6</v>
      </c>
      <c r="D338" s="48" t="s">
        <v>431</v>
      </c>
      <c r="E338" s="51"/>
      <c r="F338" s="41">
        <f t="shared" ref="F338:K338" si="19">SUM(F333:F337)</f>
        <v>12242.73</v>
      </c>
      <c r="G338" s="41">
        <f t="shared" si="19"/>
        <v>0</v>
      </c>
      <c r="H338" s="41">
        <f t="shared" si="19"/>
        <v>59256.93</v>
      </c>
      <c r="I338" s="41">
        <f t="shared" si="19"/>
        <v>0</v>
      </c>
      <c r="J338" s="41">
        <f t="shared" si="19"/>
        <v>0</v>
      </c>
      <c r="K338" s="41">
        <f t="shared" si="19"/>
        <v>0</v>
      </c>
      <c r="L338" s="41">
        <f t="shared" si="18"/>
        <v>71499.66</v>
      </c>
      <c r="M338" s="8"/>
      <c r="N338" s="265"/>
    </row>
    <row r="339" spans="1:43" s="3" customFormat="1" ht="12.2" customHeight="1" thickTop="1" x14ac:dyDescent="0.15">
      <c r="A339" s="38" t="s">
        <v>468</v>
      </c>
      <c r="B339" s="40">
        <v>14</v>
      </c>
      <c r="C339" s="40">
        <v>7</v>
      </c>
      <c r="D339" s="39" t="s">
        <v>431</v>
      </c>
      <c r="E339" s="40"/>
      <c r="F339" s="41">
        <f t="shared" ref="F339:L339" si="20">F291+F310+F329+F338</f>
        <v>1176511.0699999998</v>
      </c>
      <c r="G339" s="41">
        <f t="shared" si="20"/>
        <v>12094.050000000001</v>
      </c>
      <c r="H339" s="41">
        <f t="shared" si="20"/>
        <v>178458.40999999997</v>
      </c>
      <c r="I339" s="41">
        <f t="shared" si="20"/>
        <v>52171.02</v>
      </c>
      <c r="J339" s="41">
        <f t="shared" si="20"/>
        <v>47737.3</v>
      </c>
      <c r="K339" s="41">
        <f t="shared" si="20"/>
        <v>0</v>
      </c>
      <c r="L339" s="41">
        <f t="shared" si="20"/>
        <v>1466971.8499999996</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1176511.0699999998</v>
      </c>
      <c r="G353" s="41">
        <f>G339</f>
        <v>12094.050000000001</v>
      </c>
      <c r="H353" s="41">
        <f>H339</f>
        <v>178458.40999999997</v>
      </c>
      <c r="I353" s="41">
        <f>I339</f>
        <v>52171.02</v>
      </c>
      <c r="J353" s="41">
        <f>J339</f>
        <v>47737.3</v>
      </c>
      <c r="K353" s="47">
        <f>K339+K352</f>
        <v>0</v>
      </c>
      <c r="L353" s="41">
        <f>L339+L352</f>
        <v>1466971.8499999996</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v>322645.18</v>
      </c>
      <c r="G359" s="18">
        <v>85205.17</v>
      </c>
      <c r="H359" s="18">
        <v>29497.62</v>
      </c>
      <c r="I359" s="18">
        <v>472965.33</v>
      </c>
      <c r="J359" s="18">
        <v>46659</v>
      </c>
      <c r="K359" s="18">
        <v>5461.48</v>
      </c>
      <c r="L359" s="13">
        <f>SUM(F359:K359)</f>
        <v>962433.78</v>
      </c>
      <c r="M359" s="8"/>
      <c r="N359" s="265"/>
    </row>
    <row r="360" spans="1:22" s="3" customFormat="1" ht="12.2" customHeight="1" x14ac:dyDescent="0.15">
      <c r="A360" s="1" t="s">
        <v>542</v>
      </c>
      <c r="B360" s="2" t="s">
        <v>366</v>
      </c>
      <c r="C360" s="6">
        <v>2</v>
      </c>
      <c r="D360" s="2" t="s">
        <v>431</v>
      </c>
      <c r="E360" s="6"/>
      <c r="F360" s="18">
        <v>102272.7</v>
      </c>
      <c r="G360" s="18">
        <v>27265.65</v>
      </c>
      <c r="H360" s="18">
        <v>7605.39</v>
      </c>
      <c r="I360" s="18">
        <v>217123.73</v>
      </c>
      <c r="J360" s="18">
        <v>15308.94</v>
      </c>
      <c r="K360" s="18">
        <v>1791.92</v>
      </c>
      <c r="L360" s="19">
        <f>SUM(F360:K360)</f>
        <v>371368.33</v>
      </c>
      <c r="M360" s="8"/>
      <c r="N360" s="265"/>
    </row>
    <row r="361" spans="1:22" s="3" customFormat="1" ht="12.2" customHeight="1" x14ac:dyDescent="0.15">
      <c r="A361" s="3" t="s">
        <v>543</v>
      </c>
      <c r="B361" s="2" t="s">
        <v>366</v>
      </c>
      <c r="C361" s="6">
        <v>3</v>
      </c>
      <c r="D361" s="2" t="s">
        <v>431</v>
      </c>
      <c r="E361" s="6"/>
      <c r="F361" s="18">
        <v>209430.75</v>
      </c>
      <c r="G361" s="18">
        <v>57939.519999999997</v>
      </c>
      <c r="H361" s="18">
        <v>17387.79</v>
      </c>
      <c r="I361" s="18">
        <v>350446.36</v>
      </c>
      <c r="J361" s="18">
        <v>32015.66</v>
      </c>
      <c r="K361" s="18">
        <v>3747.46</v>
      </c>
      <c r="L361" s="19">
        <f>SUM(F361:K361)</f>
        <v>670967.53999999992</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634348.63</v>
      </c>
      <c r="G363" s="47">
        <f t="shared" si="22"/>
        <v>170410.34</v>
      </c>
      <c r="H363" s="47">
        <f t="shared" si="22"/>
        <v>54490.8</v>
      </c>
      <c r="I363" s="47">
        <f t="shared" si="22"/>
        <v>1040535.42</v>
      </c>
      <c r="J363" s="47">
        <f t="shared" si="22"/>
        <v>93983.6</v>
      </c>
      <c r="K363" s="47">
        <f t="shared" si="22"/>
        <v>11000.86</v>
      </c>
      <c r="L363" s="47">
        <f t="shared" si="22"/>
        <v>2004769.65</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382479.08</v>
      </c>
      <c r="G368" s="18">
        <v>188293.38</v>
      </c>
      <c r="H368" s="18">
        <v>320919.7</v>
      </c>
      <c r="I368" s="56">
        <f>SUM(F368:H368)</f>
        <v>891692.15999999992</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90486.25</v>
      </c>
      <c r="G369" s="63">
        <v>28830.35</v>
      </c>
      <c r="H369" s="63">
        <v>29526.66</v>
      </c>
      <c r="I369" s="56">
        <f>SUM(F369:H369)</f>
        <v>148843.26</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472965.33</v>
      </c>
      <c r="G370" s="47">
        <f>SUM(G368:G369)</f>
        <v>217123.73</v>
      </c>
      <c r="H370" s="47">
        <f>SUM(H368:H369)</f>
        <v>350446.36</v>
      </c>
      <c r="I370" s="47">
        <f>SUM(I368:I369)</f>
        <v>1040535.4199999999</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5"/>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0</v>
      </c>
      <c r="I402" s="47">
        <f>SUM(I396:I401)</f>
        <v>0</v>
      </c>
      <c r="J402" s="45" t="s">
        <v>288</v>
      </c>
      <c r="K402" s="45" t="s">
        <v>288</v>
      </c>
      <c r="L402" s="47">
        <f>SUM(L396:L401)</f>
        <v>0</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0</v>
      </c>
      <c r="H409" s="47">
        <f>H394+H402+H408</f>
        <v>0</v>
      </c>
      <c r="I409" s="47">
        <f>I394+I402+I408</f>
        <v>0</v>
      </c>
      <c r="J409" s="24" t="s">
        <v>288</v>
      </c>
      <c r="K409" s="24" t="s">
        <v>288</v>
      </c>
      <c r="L409" s="47">
        <f>L394+L402+L408</f>
        <v>0</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v>8626.65</v>
      </c>
      <c r="G443" s="18"/>
      <c r="H443" s="18"/>
      <c r="I443" s="56">
        <f t="shared" si="33"/>
        <v>8626.65</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8626.65</v>
      </c>
      <c r="G447" s="13">
        <f>SUM(G440:G446)</f>
        <v>0</v>
      </c>
      <c r="H447" s="13">
        <f>SUM(H440:H446)</f>
        <v>0</v>
      </c>
      <c r="I447" s="13">
        <f>SUM(I440:I446)</f>
        <v>8626.65</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8626.65</v>
      </c>
      <c r="G460" s="18"/>
      <c r="H460" s="18"/>
      <c r="I460" s="56">
        <f t="shared" si="34"/>
        <v>8626.65</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8626.65</v>
      </c>
      <c r="G461" s="83">
        <f>SUM(G455:G460)</f>
        <v>0</v>
      </c>
      <c r="H461" s="83">
        <f>SUM(H455:H460)</f>
        <v>0</v>
      </c>
      <c r="I461" s="83">
        <f>SUM(I455:I460)</f>
        <v>8626.65</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8626.65</v>
      </c>
      <c r="G462" s="42">
        <f>G453+G461</f>
        <v>0</v>
      </c>
      <c r="H462" s="42">
        <f>H453+H461</f>
        <v>0</v>
      </c>
      <c r="I462" s="42">
        <f>I453+I461</f>
        <v>8626.65</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4614473.33</v>
      </c>
      <c r="G466" s="18">
        <v>74909.429999999993</v>
      </c>
      <c r="H466" s="18">
        <v>0</v>
      </c>
      <c r="I466" s="18"/>
      <c r="J466" s="18">
        <v>8626.65</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73323896.280000001</v>
      </c>
      <c r="G469" s="18">
        <v>2452523.88</v>
      </c>
      <c r="H469" s="18">
        <v>1466971.85</v>
      </c>
      <c r="I469" s="18"/>
      <c r="J469" s="18"/>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73323896.280000001</v>
      </c>
      <c r="G471" s="53">
        <f>SUM(G469:G470)</f>
        <v>2452523.88</v>
      </c>
      <c r="H471" s="53">
        <f>SUM(H469:H470)</f>
        <v>1466971.85</v>
      </c>
      <c r="I471" s="53">
        <f>SUM(I469:I470)</f>
        <v>0</v>
      </c>
      <c r="J471" s="53">
        <f>SUM(J469:J470)</f>
        <v>0</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74742828.500000015</v>
      </c>
      <c r="G473" s="18">
        <v>2004769.65</v>
      </c>
      <c r="H473" s="18">
        <v>1466971.85</v>
      </c>
      <c r="I473" s="18"/>
      <c r="J473" s="18"/>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74742828.500000015</v>
      </c>
      <c r="G475" s="53">
        <f>SUM(G473:G474)</f>
        <v>2004769.65</v>
      </c>
      <c r="H475" s="53">
        <f>SUM(H473:H474)</f>
        <v>1466971.85</v>
      </c>
      <c r="I475" s="53">
        <f>SUM(I473:I474)</f>
        <v>0</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3195541.1099999845</v>
      </c>
      <c r="G477" s="53">
        <f>(G466+G471)- G475</f>
        <v>522663.66000000015</v>
      </c>
      <c r="H477" s="53">
        <f>(H466+H471)- H475</f>
        <v>0</v>
      </c>
      <c r="I477" s="53">
        <f>(I466+I471)- I475</f>
        <v>0</v>
      </c>
      <c r="J477" s="53">
        <f>(J466+J471)- J475</f>
        <v>8626.65</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v>20</v>
      </c>
      <c r="G491" s="154">
        <v>15</v>
      </c>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v>800000</v>
      </c>
      <c r="G494" s="18">
        <v>32715000</v>
      </c>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v>4.5199999999999996</v>
      </c>
      <c r="G495" s="18">
        <v>2.63</v>
      </c>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v>240000</v>
      </c>
      <c r="G496" s="18">
        <v>20930000</v>
      </c>
      <c r="H496" s="18"/>
      <c r="I496" s="18"/>
      <c r="J496" s="18"/>
      <c r="K496" s="53">
        <f>SUM(F496:J496)</f>
        <v>21170000</v>
      </c>
      <c r="L496" s="24" t="s">
        <v>288</v>
      </c>
      <c r="N496" s="264"/>
    </row>
    <row r="497" spans="1:14" s="52" customFormat="1" ht="12.2" customHeight="1" x14ac:dyDescent="0.2">
      <c r="A497" s="22" t="s">
        <v>620</v>
      </c>
      <c r="B497" s="75">
        <v>20</v>
      </c>
      <c r="C497" s="115">
        <v>7</v>
      </c>
      <c r="D497" s="2" t="s">
        <v>432</v>
      </c>
      <c r="E497" s="115"/>
      <c r="F497" s="18">
        <v>0</v>
      </c>
      <c r="G497" s="18">
        <v>0</v>
      </c>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v>40000</v>
      </c>
      <c r="G498" s="18">
        <v>1890000</v>
      </c>
      <c r="H498" s="18"/>
      <c r="I498" s="18"/>
      <c r="J498" s="18"/>
      <c r="K498" s="53">
        <f t="shared" si="35"/>
        <v>1930000</v>
      </c>
      <c r="L498" s="24" t="s">
        <v>288</v>
      </c>
      <c r="N498" s="264"/>
    </row>
    <row r="499" spans="1:14" s="52" customFormat="1" ht="12.2" customHeight="1" x14ac:dyDescent="0.2">
      <c r="A499" s="199" t="s">
        <v>622</v>
      </c>
      <c r="B499" s="200">
        <v>20</v>
      </c>
      <c r="C499" s="201">
        <v>9</v>
      </c>
      <c r="D499" s="202" t="s">
        <v>432</v>
      </c>
      <c r="E499" s="201"/>
      <c r="F499" s="203">
        <v>200000</v>
      </c>
      <c r="G499" s="203">
        <v>19040000</v>
      </c>
      <c r="H499" s="203"/>
      <c r="I499" s="203"/>
      <c r="J499" s="203"/>
      <c r="K499" s="204">
        <f t="shared" si="35"/>
        <v>19240000</v>
      </c>
      <c r="L499" s="205" t="s">
        <v>288</v>
      </c>
      <c r="N499" s="264"/>
    </row>
    <row r="500" spans="1:14" s="52" customFormat="1" ht="12.2" customHeight="1" thickBot="1" x14ac:dyDescent="0.25">
      <c r="A500" s="22" t="s">
        <v>623</v>
      </c>
      <c r="B500" s="75">
        <v>20</v>
      </c>
      <c r="C500" s="115">
        <v>10</v>
      </c>
      <c r="D500" s="2" t="s">
        <v>432</v>
      </c>
      <c r="E500" s="115"/>
      <c r="F500" s="18">
        <v>23085</v>
      </c>
      <c r="G500" s="18">
        <v>3844500</v>
      </c>
      <c r="H500" s="18"/>
      <c r="I500" s="18"/>
      <c r="J500" s="18"/>
      <c r="K500" s="53">
        <f t="shared" si="35"/>
        <v>3867585</v>
      </c>
      <c r="L500" s="24" t="s">
        <v>288</v>
      </c>
      <c r="N500" s="264"/>
    </row>
    <row r="501" spans="1:14" s="52" customFormat="1" ht="12.2" customHeight="1" thickTop="1" x14ac:dyDescent="0.2">
      <c r="A501" s="139" t="s">
        <v>624</v>
      </c>
      <c r="B501" s="44">
        <v>20</v>
      </c>
      <c r="C501" s="194">
        <v>11</v>
      </c>
      <c r="D501" s="39" t="s">
        <v>432</v>
      </c>
      <c r="E501" s="194"/>
      <c r="F501" s="42">
        <f>SUM(F499:F500)</f>
        <v>223085</v>
      </c>
      <c r="G501" s="42">
        <f>SUM(G499:G500)</f>
        <v>22884500</v>
      </c>
      <c r="H501" s="42">
        <f>SUM(H499:H500)</f>
        <v>0</v>
      </c>
      <c r="I501" s="42">
        <f>SUM(I499:I500)</f>
        <v>0</v>
      </c>
      <c r="J501" s="42">
        <f>SUM(J499:J500)</f>
        <v>0</v>
      </c>
      <c r="K501" s="42">
        <f t="shared" si="35"/>
        <v>23107585</v>
      </c>
      <c r="L501" s="45" t="s">
        <v>288</v>
      </c>
      <c r="N501" s="264"/>
    </row>
    <row r="502" spans="1:14" s="52" customFormat="1" ht="12.2" customHeight="1" x14ac:dyDescent="0.2">
      <c r="A502" s="199" t="s">
        <v>651</v>
      </c>
      <c r="B502" s="200">
        <v>20</v>
      </c>
      <c r="C502" s="201">
        <v>12</v>
      </c>
      <c r="D502" s="202" t="s">
        <v>432</v>
      </c>
      <c r="E502" s="201"/>
      <c r="F502" s="203">
        <v>40000</v>
      </c>
      <c r="G502" s="203">
        <v>1990000</v>
      </c>
      <c r="H502" s="203"/>
      <c r="I502" s="203"/>
      <c r="J502" s="203"/>
      <c r="K502" s="204">
        <f t="shared" si="35"/>
        <v>2030000</v>
      </c>
      <c r="L502" s="205" t="s">
        <v>288</v>
      </c>
      <c r="N502" s="264"/>
    </row>
    <row r="503" spans="1:14" s="52" customFormat="1" ht="12.2" customHeight="1" thickBot="1" x14ac:dyDescent="0.25">
      <c r="A503" s="22" t="s">
        <v>625</v>
      </c>
      <c r="B503" s="75">
        <v>20</v>
      </c>
      <c r="C503" s="115">
        <v>13</v>
      </c>
      <c r="D503" s="2" t="s">
        <v>432</v>
      </c>
      <c r="E503" s="115"/>
      <c r="F503" s="18">
        <v>8290</v>
      </c>
      <c r="G503" s="18">
        <v>874250</v>
      </c>
      <c r="H503" s="18"/>
      <c r="I503" s="18"/>
      <c r="J503" s="18"/>
      <c r="K503" s="53">
        <f t="shared" si="35"/>
        <v>882540</v>
      </c>
      <c r="L503" s="24" t="s">
        <v>288</v>
      </c>
      <c r="N503" s="264"/>
    </row>
    <row r="504" spans="1:14" s="52" customFormat="1" ht="12.2" customHeight="1" thickTop="1" x14ac:dyDescent="0.2">
      <c r="A504" s="139" t="s">
        <v>626</v>
      </c>
      <c r="B504" s="44">
        <v>20</v>
      </c>
      <c r="C504" s="194">
        <v>14</v>
      </c>
      <c r="D504" s="39" t="s">
        <v>432</v>
      </c>
      <c r="E504" s="194"/>
      <c r="F504" s="42">
        <f>SUM(F502:F503)</f>
        <v>48290</v>
      </c>
      <c r="G504" s="42">
        <f>SUM(G502:G503)</f>
        <v>2864250</v>
      </c>
      <c r="H504" s="42">
        <f>SUM(H502:H503)</f>
        <v>0</v>
      </c>
      <c r="I504" s="42">
        <f>SUM(I502:I503)</f>
        <v>0</v>
      </c>
      <c r="J504" s="42">
        <f>SUM(J502:J503)</f>
        <v>0</v>
      </c>
      <c r="K504" s="42">
        <f t="shared" si="35"/>
        <v>2912540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4164403.0900000008</v>
      </c>
      <c r="G522" s="18">
        <v>2075643.4900000002</v>
      </c>
      <c r="H522" s="18">
        <v>635508.19000000006</v>
      </c>
      <c r="I522" s="18">
        <v>28301.520000000008</v>
      </c>
      <c r="J522" s="18">
        <v>1055.6300000000001</v>
      </c>
      <c r="K522" s="18"/>
      <c r="L522" s="88">
        <f>SUM(F522:K522)</f>
        <v>6904911.9200000009</v>
      </c>
      <c r="N522" s="264"/>
    </row>
    <row r="523" spans="1:14" s="52" customFormat="1" ht="12.2" customHeight="1" x14ac:dyDescent="0.2">
      <c r="A523" s="22" t="s">
        <v>634</v>
      </c>
      <c r="B523" s="105">
        <v>21</v>
      </c>
      <c r="C523" s="115">
        <v>2</v>
      </c>
      <c r="D523" s="2" t="s">
        <v>432</v>
      </c>
      <c r="E523" s="115"/>
      <c r="F523" s="18">
        <v>1261686.1499999999</v>
      </c>
      <c r="G523" s="18">
        <v>649272.75</v>
      </c>
      <c r="H523" s="18">
        <v>197739.51999999999</v>
      </c>
      <c r="I523" s="18">
        <v>7318.48</v>
      </c>
      <c r="J523" s="18">
        <v>337.8</v>
      </c>
      <c r="K523" s="18"/>
      <c r="L523" s="88">
        <f>SUM(F523:K523)</f>
        <v>2116354.6999999997</v>
      </c>
      <c r="N523" s="264"/>
    </row>
    <row r="524" spans="1:14" s="52" customFormat="1" ht="12.2" customHeight="1" thickBot="1" x14ac:dyDescent="0.25">
      <c r="A524" s="22" t="s">
        <v>635</v>
      </c>
      <c r="B524" s="105">
        <v>21</v>
      </c>
      <c r="C524" s="115">
        <v>3</v>
      </c>
      <c r="D524" s="2" t="s">
        <v>432</v>
      </c>
      <c r="E524" s="115"/>
      <c r="F524" s="18">
        <v>2053115.31</v>
      </c>
      <c r="G524" s="18">
        <v>986485.37</v>
      </c>
      <c r="H524" s="18">
        <v>1656572.6900000002</v>
      </c>
      <c r="I524" s="18">
        <v>16296.380000000001</v>
      </c>
      <c r="J524" s="18">
        <v>717.83</v>
      </c>
      <c r="K524" s="18"/>
      <c r="L524" s="88">
        <f>SUM(F524:K524)</f>
        <v>4713187.58</v>
      </c>
      <c r="N524" s="264"/>
    </row>
    <row r="525" spans="1:14" s="52" customFormat="1" ht="12.2" customHeight="1" thickTop="1" x14ac:dyDescent="0.2">
      <c r="A525" s="139" t="s">
        <v>63</v>
      </c>
      <c r="B525" s="107">
        <v>21</v>
      </c>
      <c r="C525" s="194">
        <v>4</v>
      </c>
      <c r="D525" s="195" t="s">
        <v>432</v>
      </c>
      <c r="E525" s="194"/>
      <c r="F525" s="108">
        <f>SUM(F522:F524)</f>
        <v>7479204.5500000007</v>
      </c>
      <c r="G525" s="108">
        <f t="shared" ref="G525:L525" si="36">SUM(G522:G524)</f>
        <v>3711401.6100000003</v>
      </c>
      <c r="H525" s="108">
        <f t="shared" si="36"/>
        <v>2489820.4000000004</v>
      </c>
      <c r="I525" s="108">
        <f t="shared" si="36"/>
        <v>51916.380000000005</v>
      </c>
      <c r="J525" s="108">
        <f t="shared" si="36"/>
        <v>2111.2600000000002</v>
      </c>
      <c r="K525" s="108">
        <f t="shared" si="36"/>
        <v>0</v>
      </c>
      <c r="L525" s="89">
        <f t="shared" si="36"/>
        <v>13734454.200000001</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730357.34000000008</v>
      </c>
      <c r="G527" s="18">
        <v>433152.85</v>
      </c>
      <c r="H527" s="18">
        <v>973963.02</v>
      </c>
      <c r="I527" s="18">
        <v>9649.6999999999989</v>
      </c>
      <c r="J527" s="18"/>
      <c r="K527" s="18"/>
      <c r="L527" s="88">
        <f>SUM(F527:K527)</f>
        <v>2147122.91</v>
      </c>
      <c r="M527" s="8"/>
      <c r="N527" s="265"/>
    </row>
    <row r="528" spans="1:14" s="3" customFormat="1" ht="12.2" customHeight="1" x14ac:dyDescent="0.15">
      <c r="A528" s="22" t="s">
        <v>634</v>
      </c>
      <c r="B528" s="105">
        <v>21</v>
      </c>
      <c r="C528" s="115">
        <v>6</v>
      </c>
      <c r="D528" s="2" t="s">
        <v>432</v>
      </c>
      <c r="E528" s="115"/>
      <c r="F528" s="18">
        <v>139197.98000000001</v>
      </c>
      <c r="G528" s="18">
        <v>83439.585999999996</v>
      </c>
      <c r="H528" s="18">
        <v>139628.15000000002</v>
      </c>
      <c r="I528" s="18">
        <v>2671.64</v>
      </c>
      <c r="J528" s="18"/>
      <c r="K528" s="18"/>
      <c r="L528" s="88">
        <f>SUM(F528:K528)</f>
        <v>364937.35600000003</v>
      </c>
      <c r="M528" s="8"/>
      <c r="N528" s="265"/>
    </row>
    <row r="529" spans="1:14" s="3" customFormat="1" ht="12.2" customHeight="1" thickBot="1" x14ac:dyDescent="0.2">
      <c r="A529" s="22" t="s">
        <v>635</v>
      </c>
      <c r="B529" s="118">
        <v>21</v>
      </c>
      <c r="C529" s="118">
        <v>7</v>
      </c>
      <c r="D529" s="2" t="s">
        <v>432</v>
      </c>
      <c r="E529" s="118"/>
      <c r="F529" s="18">
        <v>183054.36000000002</v>
      </c>
      <c r="G529" s="18">
        <v>112318</v>
      </c>
      <c r="H529" s="18">
        <v>700975.09</v>
      </c>
      <c r="I529" s="18">
        <v>5677.24</v>
      </c>
      <c r="J529" s="18"/>
      <c r="K529" s="18"/>
      <c r="L529" s="88">
        <f>SUM(F529:K529)</f>
        <v>1002024.69</v>
      </c>
      <c r="M529" s="8"/>
      <c r="N529" s="265"/>
    </row>
    <row r="530" spans="1:14" s="3" customFormat="1" ht="12.2" customHeight="1" thickTop="1" x14ac:dyDescent="0.15">
      <c r="A530" s="139" t="s">
        <v>65</v>
      </c>
      <c r="B530" s="107">
        <v>21</v>
      </c>
      <c r="C530" s="107">
        <v>8</v>
      </c>
      <c r="D530" s="158" t="s">
        <v>432</v>
      </c>
      <c r="E530" s="107"/>
      <c r="F530" s="89">
        <f>SUM(F527:F529)</f>
        <v>1052609.6800000002</v>
      </c>
      <c r="G530" s="89">
        <f t="shared" ref="G530:L530" si="37">SUM(G527:G529)</f>
        <v>628910.43599999999</v>
      </c>
      <c r="H530" s="89">
        <f t="shared" si="37"/>
        <v>1814566.2599999998</v>
      </c>
      <c r="I530" s="89">
        <f t="shared" si="37"/>
        <v>17998.579999999998</v>
      </c>
      <c r="J530" s="89">
        <f t="shared" si="37"/>
        <v>0</v>
      </c>
      <c r="K530" s="89">
        <f t="shared" si="37"/>
        <v>0</v>
      </c>
      <c r="L530" s="89">
        <f t="shared" si="37"/>
        <v>3514084.9560000002</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121896.47</v>
      </c>
      <c r="G532" s="18">
        <v>74464.570000000007</v>
      </c>
      <c r="H532" s="18">
        <v>1678.71</v>
      </c>
      <c r="I532" s="18">
        <v>577.4</v>
      </c>
      <c r="J532" s="18">
        <v>12531.58</v>
      </c>
      <c r="K532" s="18">
        <v>3057.5</v>
      </c>
      <c r="L532" s="88">
        <f>SUM(F532:K532)</f>
        <v>214206.22999999998</v>
      </c>
      <c r="M532" s="8"/>
      <c r="N532" s="265"/>
    </row>
    <row r="533" spans="1:14" s="3" customFormat="1" ht="12.2" customHeight="1" x14ac:dyDescent="0.15">
      <c r="A533" s="22" t="s">
        <v>634</v>
      </c>
      <c r="B533" s="105">
        <v>21</v>
      </c>
      <c r="C533" s="105">
        <v>10</v>
      </c>
      <c r="D533" s="2" t="s">
        <v>432</v>
      </c>
      <c r="E533" s="105"/>
      <c r="F533" s="18">
        <v>39006.869999999995</v>
      </c>
      <c r="G533" s="18">
        <v>23828.670000000002</v>
      </c>
      <c r="H533" s="18">
        <v>537.19000000000005</v>
      </c>
      <c r="I533" s="18">
        <v>184.77</v>
      </c>
      <c r="J533" s="18">
        <v>4010.1</v>
      </c>
      <c r="K533" s="18">
        <v>978.4</v>
      </c>
      <c r="L533" s="88">
        <f>SUM(F533:K533)</f>
        <v>68545.999999999985</v>
      </c>
      <c r="M533" s="8"/>
      <c r="N533" s="265"/>
    </row>
    <row r="534" spans="1:14" s="3" customFormat="1" ht="12.2" customHeight="1" thickBot="1" x14ac:dyDescent="0.2">
      <c r="A534" s="22" t="s">
        <v>635</v>
      </c>
      <c r="B534" s="105">
        <v>21</v>
      </c>
      <c r="C534" s="105">
        <v>11</v>
      </c>
      <c r="D534" s="2" t="s">
        <v>432</v>
      </c>
      <c r="E534" s="105"/>
      <c r="F534" s="18">
        <v>107120.09</v>
      </c>
      <c r="G534" s="18">
        <v>65503.19</v>
      </c>
      <c r="H534" s="18">
        <v>1141.52</v>
      </c>
      <c r="I534" s="18">
        <v>392.63</v>
      </c>
      <c r="J534" s="18">
        <v>8521.4699999999993</v>
      </c>
      <c r="K534" s="18">
        <v>2079.1</v>
      </c>
      <c r="L534" s="88">
        <f>SUM(F534:K534)</f>
        <v>184758</v>
      </c>
      <c r="M534" s="8"/>
      <c r="N534" s="265"/>
    </row>
    <row r="535" spans="1:14" s="3" customFormat="1" ht="12.2" customHeight="1" thickTop="1" x14ac:dyDescent="0.15">
      <c r="A535" s="139" t="s">
        <v>67</v>
      </c>
      <c r="B535" s="107">
        <v>21</v>
      </c>
      <c r="C535" s="107">
        <v>12</v>
      </c>
      <c r="D535" s="158" t="s">
        <v>432</v>
      </c>
      <c r="E535" s="107"/>
      <c r="F535" s="89">
        <f>SUM(F532:F534)</f>
        <v>268023.43</v>
      </c>
      <c r="G535" s="89">
        <f t="shared" ref="G535:L535" si="38">SUM(G532:G534)</f>
        <v>163796.43</v>
      </c>
      <c r="H535" s="89">
        <f t="shared" si="38"/>
        <v>3357.42</v>
      </c>
      <c r="I535" s="89">
        <f t="shared" si="38"/>
        <v>1154.8</v>
      </c>
      <c r="J535" s="89">
        <f t="shared" si="38"/>
        <v>25063.15</v>
      </c>
      <c r="K535" s="89">
        <f t="shared" si="38"/>
        <v>6115</v>
      </c>
      <c r="L535" s="89">
        <f t="shared" si="38"/>
        <v>467510.23</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v>8341.65</v>
      </c>
      <c r="I537" s="18"/>
      <c r="J537" s="18"/>
      <c r="K537" s="18"/>
      <c r="L537" s="88">
        <f>SUM(F537:K537)</f>
        <v>8341.65</v>
      </c>
      <c r="M537" s="8"/>
      <c r="N537" s="265"/>
    </row>
    <row r="538" spans="1:14" s="3" customFormat="1" ht="12.2" customHeight="1" x14ac:dyDescent="0.15">
      <c r="A538" s="22" t="s">
        <v>634</v>
      </c>
      <c r="B538" s="105">
        <v>21</v>
      </c>
      <c r="C538" s="105">
        <v>14</v>
      </c>
      <c r="D538" s="2" t="s">
        <v>432</v>
      </c>
      <c r="E538" s="105"/>
      <c r="F538" s="18"/>
      <c r="G538" s="18"/>
      <c r="H538" s="18">
        <v>2669.33</v>
      </c>
      <c r="I538" s="18"/>
      <c r="J538" s="18"/>
      <c r="K538" s="18"/>
      <c r="L538" s="88">
        <f>SUM(F538:K538)</f>
        <v>2669.33</v>
      </c>
      <c r="M538" s="8"/>
      <c r="N538" s="265"/>
    </row>
    <row r="539" spans="1:14" s="3" customFormat="1" ht="12.2" customHeight="1" thickBot="1" x14ac:dyDescent="0.2">
      <c r="A539" s="22" t="s">
        <v>635</v>
      </c>
      <c r="B539" s="105">
        <v>21</v>
      </c>
      <c r="C539" s="105">
        <v>15</v>
      </c>
      <c r="D539" s="2" t="s">
        <v>432</v>
      </c>
      <c r="E539" s="105"/>
      <c r="F539" s="18"/>
      <c r="G539" s="18"/>
      <c r="H539" s="18">
        <v>5672.32</v>
      </c>
      <c r="I539" s="18"/>
      <c r="J539" s="18"/>
      <c r="K539" s="18"/>
      <c r="L539" s="88">
        <f>SUM(F539:K539)</f>
        <v>5672.32</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16683.3</v>
      </c>
      <c r="I540" s="89">
        <f t="shared" si="39"/>
        <v>0</v>
      </c>
      <c r="J540" s="89">
        <f t="shared" si="39"/>
        <v>0</v>
      </c>
      <c r="K540" s="89">
        <f t="shared" si="39"/>
        <v>0</v>
      </c>
      <c r="L540" s="89">
        <f t="shared" si="39"/>
        <v>16683.3</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v>28466.966000000004</v>
      </c>
      <c r="G542" s="18">
        <v>6658.4259999999995</v>
      </c>
      <c r="H542" s="18">
        <v>742733.63</v>
      </c>
      <c r="I542" s="18"/>
      <c r="J542" s="18"/>
      <c r="K542" s="18"/>
      <c r="L542" s="88">
        <f>SUM(F542:K542)</f>
        <v>777859.022</v>
      </c>
      <c r="M542" s="8"/>
      <c r="N542" s="265"/>
    </row>
    <row r="543" spans="1:14" s="3" customFormat="1" ht="12.2" customHeight="1" x14ac:dyDescent="0.15">
      <c r="A543" s="22" t="s">
        <v>634</v>
      </c>
      <c r="B543" s="105">
        <v>21</v>
      </c>
      <c r="C543" s="105">
        <v>18</v>
      </c>
      <c r="D543" s="2" t="s">
        <v>432</v>
      </c>
      <c r="E543" s="105"/>
      <c r="F543" s="18">
        <v>9109.4359999999997</v>
      </c>
      <c r="G543" s="18">
        <v>2130.826</v>
      </c>
      <c r="H543" s="18">
        <v>237674.76</v>
      </c>
      <c r="I543" s="18"/>
      <c r="J543" s="18"/>
      <c r="K543" s="18"/>
      <c r="L543" s="88">
        <f>SUM(F543:K543)</f>
        <v>248915.022</v>
      </c>
      <c r="M543" s="8"/>
      <c r="N543" s="265"/>
    </row>
    <row r="544" spans="1:14" s="3" customFormat="1" ht="12.2" customHeight="1" thickBot="1" x14ac:dyDescent="0.2">
      <c r="A544" s="22" t="s">
        <v>635</v>
      </c>
      <c r="B544" s="105">
        <v>21</v>
      </c>
      <c r="C544" s="105">
        <v>19</v>
      </c>
      <c r="D544" s="2" t="s">
        <v>432</v>
      </c>
      <c r="E544" s="105"/>
      <c r="F544" s="18">
        <v>19357.530000000002</v>
      </c>
      <c r="G544" s="18">
        <v>4527.9960000000001</v>
      </c>
      <c r="H544" s="18">
        <v>505058.87</v>
      </c>
      <c r="I544" s="18"/>
      <c r="J544" s="18"/>
      <c r="K544" s="18"/>
      <c r="L544" s="88">
        <f>SUM(F544:K544)</f>
        <v>528944.39599999995</v>
      </c>
      <c r="M544" s="8"/>
      <c r="N544" s="265"/>
    </row>
    <row r="545" spans="1:14" s="3" customFormat="1" ht="12.2" customHeight="1" thickTop="1" thickBot="1" x14ac:dyDescent="0.2">
      <c r="A545" s="130" t="s">
        <v>71</v>
      </c>
      <c r="B545" s="190">
        <v>21</v>
      </c>
      <c r="C545" s="190">
        <v>20</v>
      </c>
      <c r="D545" s="191" t="s">
        <v>432</v>
      </c>
      <c r="E545" s="190"/>
      <c r="F545" s="192">
        <f>SUM(F542:F544)</f>
        <v>56933.932000000001</v>
      </c>
      <c r="G545" s="192">
        <f t="shared" ref="G545:L545" si="40">SUM(G542:G544)</f>
        <v>13317.248</v>
      </c>
      <c r="H545" s="192">
        <f t="shared" si="40"/>
        <v>1485467.26</v>
      </c>
      <c r="I545" s="192">
        <f t="shared" si="40"/>
        <v>0</v>
      </c>
      <c r="J545" s="192">
        <f t="shared" si="40"/>
        <v>0</v>
      </c>
      <c r="K545" s="192">
        <f t="shared" si="40"/>
        <v>0</v>
      </c>
      <c r="L545" s="192">
        <f t="shared" si="40"/>
        <v>1555718.44</v>
      </c>
      <c r="M545" s="8"/>
      <c r="N545" s="265"/>
    </row>
    <row r="546" spans="1:14" s="3" customFormat="1" ht="12.2" customHeight="1" thickTop="1" x14ac:dyDescent="0.15">
      <c r="A546" s="98" t="s">
        <v>72</v>
      </c>
      <c r="B546" s="107">
        <v>21</v>
      </c>
      <c r="C546" s="107">
        <v>21</v>
      </c>
      <c r="D546" s="158" t="s">
        <v>432</v>
      </c>
      <c r="E546" s="107"/>
      <c r="F546" s="89">
        <f>F525+F530+F535+F540+F545</f>
        <v>8856771.5920000002</v>
      </c>
      <c r="G546" s="89">
        <f t="shared" ref="G546:L546" si="41">G525+G530+G535+G540+G545</f>
        <v>4517425.7239999995</v>
      </c>
      <c r="H546" s="89">
        <f t="shared" si="41"/>
        <v>5809894.6399999997</v>
      </c>
      <c r="I546" s="89">
        <f t="shared" si="41"/>
        <v>71069.760000000009</v>
      </c>
      <c r="J546" s="89">
        <f t="shared" si="41"/>
        <v>27174.410000000003</v>
      </c>
      <c r="K546" s="89">
        <f t="shared" si="41"/>
        <v>6115</v>
      </c>
      <c r="L546" s="89">
        <f t="shared" si="41"/>
        <v>19288451.126000006</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6904911.9200000009</v>
      </c>
      <c r="G550" s="87">
        <f>L527</f>
        <v>2147122.91</v>
      </c>
      <c r="H550" s="87">
        <f>L532</f>
        <v>214206.22999999998</v>
      </c>
      <c r="I550" s="87">
        <f>L537</f>
        <v>8341.65</v>
      </c>
      <c r="J550" s="87">
        <f>L542</f>
        <v>777859.022</v>
      </c>
      <c r="K550" s="87">
        <f>SUM(F550:J550)</f>
        <v>10052441.732000003</v>
      </c>
      <c r="L550" s="24" t="s">
        <v>288</v>
      </c>
      <c r="M550" s="8"/>
      <c r="N550" s="265"/>
    </row>
    <row r="551" spans="1:14" s="3" customFormat="1" ht="12.2" customHeight="1" x14ac:dyDescent="0.15">
      <c r="A551" s="22" t="s">
        <v>634</v>
      </c>
      <c r="B551" s="75">
        <v>21</v>
      </c>
      <c r="C551" s="75">
        <v>23</v>
      </c>
      <c r="D551" s="2" t="s">
        <v>432</v>
      </c>
      <c r="E551" s="75"/>
      <c r="F551" s="87">
        <f>L523</f>
        <v>2116354.6999999997</v>
      </c>
      <c r="G551" s="87">
        <f>L528</f>
        <v>364937.35600000003</v>
      </c>
      <c r="H551" s="87">
        <f>L533</f>
        <v>68545.999999999985</v>
      </c>
      <c r="I551" s="87">
        <f>L538</f>
        <v>2669.33</v>
      </c>
      <c r="J551" s="87">
        <f>L543</f>
        <v>248915.022</v>
      </c>
      <c r="K551" s="87">
        <f>SUM(F551:J551)</f>
        <v>2801422.4079999998</v>
      </c>
      <c r="L551" s="24" t="s">
        <v>288</v>
      </c>
      <c r="M551" s="8"/>
      <c r="N551" s="265"/>
    </row>
    <row r="552" spans="1:14" s="3" customFormat="1" ht="12.2" customHeight="1" thickBot="1" x14ac:dyDescent="0.2">
      <c r="A552" s="22" t="s">
        <v>635</v>
      </c>
      <c r="B552" s="75">
        <v>21</v>
      </c>
      <c r="C552" s="75">
        <v>24</v>
      </c>
      <c r="D552" s="2" t="s">
        <v>432</v>
      </c>
      <c r="E552" s="75"/>
      <c r="F552" s="87">
        <f>L524</f>
        <v>4713187.58</v>
      </c>
      <c r="G552" s="87">
        <f>L529</f>
        <v>1002024.69</v>
      </c>
      <c r="H552" s="87">
        <f>L534</f>
        <v>184758</v>
      </c>
      <c r="I552" s="87">
        <f>L539</f>
        <v>5672.32</v>
      </c>
      <c r="J552" s="87">
        <f>L544</f>
        <v>528944.39599999995</v>
      </c>
      <c r="K552" s="87">
        <f>SUM(F552:J552)</f>
        <v>6434586.9859999996</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13734454.200000001</v>
      </c>
      <c r="G553" s="89">
        <f t="shared" si="42"/>
        <v>3514084.9560000002</v>
      </c>
      <c r="H553" s="89">
        <f t="shared" si="42"/>
        <v>467510.23</v>
      </c>
      <c r="I553" s="89">
        <f t="shared" si="42"/>
        <v>16683.3</v>
      </c>
      <c r="J553" s="89">
        <f t="shared" si="42"/>
        <v>1555718.44</v>
      </c>
      <c r="K553" s="89">
        <f t="shared" si="42"/>
        <v>19288451.126000002</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v>50937</v>
      </c>
      <c r="G563" s="18">
        <v>14603.64</v>
      </c>
      <c r="H563" s="18"/>
      <c r="I563" s="18">
        <v>1561.16</v>
      </c>
      <c r="J563" s="18"/>
      <c r="K563" s="18"/>
      <c r="L563" s="88">
        <f>SUM(F563:K563)</f>
        <v>67101.8</v>
      </c>
      <c r="M563" s="8"/>
      <c r="N563" s="265"/>
    </row>
    <row r="564" spans="1:14" s="3" customFormat="1" ht="12.2" customHeight="1" x14ac:dyDescent="0.15">
      <c r="A564" s="22" t="s">
        <v>634</v>
      </c>
      <c r="B564" s="105">
        <v>22</v>
      </c>
      <c r="C564" s="115">
        <v>6</v>
      </c>
      <c r="D564" s="2" t="s">
        <v>432</v>
      </c>
      <c r="E564" s="115"/>
      <c r="F564" s="18">
        <v>61353.42</v>
      </c>
      <c r="G564" s="18">
        <v>17590.03</v>
      </c>
      <c r="H564" s="18"/>
      <c r="I564" s="18">
        <v>499.57</v>
      </c>
      <c r="J564" s="18"/>
      <c r="K564" s="18"/>
      <c r="L564" s="88">
        <f>SUM(F564:K564)</f>
        <v>79443.02</v>
      </c>
      <c r="M564" s="8"/>
      <c r="N564" s="265"/>
    </row>
    <row r="565" spans="1:14" s="3" customFormat="1" ht="12.2" customHeight="1" thickBot="1" x14ac:dyDescent="0.2">
      <c r="A565" s="22" t="s">
        <v>635</v>
      </c>
      <c r="B565" s="105">
        <v>22</v>
      </c>
      <c r="C565" s="118">
        <v>7</v>
      </c>
      <c r="D565" s="2" t="s">
        <v>432</v>
      </c>
      <c r="E565" s="118"/>
      <c r="F565" s="18"/>
      <c r="G565" s="18"/>
      <c r="H565" s="18"/>
      <c r="I565" s="18">
        <v>1061.5899999999999</v>
      </c>
      <c r="J565" s="18"/>
      <c r="K565" s="18"/>
      <c r="L565" s="88">
        <f>SUM(F565:K565)</f>
        <v>1061.5899999999999</v>
      </c>
      <c r="M565" s="8"/>
      <c r="N565" s="265"/>
    </row>
    <row r="566" spans="1:14" s="3" customFormat="1" ht="12.2" customHeight="1" thickTop="1" x14ac:dyDescent="0.15">
      <c r="A566" s="139" t="s">
        <v>65</v>
      </c>
      <c r="B566" s="107">
        <v>22</v>
      </c>
      <c r="C566" s="107">
        <v>8</v>
      </c>
      <c r="D566" s="195" t="s">
        <v>432</v>
      </c>
      <c r="E566" s="107"/>
      <c r="F566" s="89">
        <f t="shared" ref="F566:L566" si="44">SUM(F563:F565)</f>
        <v>112290.42</v>
      </c>
      <c r="G566" s="89">
        <f t="shared" si="44"/>
        <v>32193.67</v>
      </c>
      <c r="H566" s="89">
        <f t="shared" si="44"/>
        <v>0</v>
      </c>
      <c r="I566" s="89">
        <f t="shared" si="44"/>
        <v>3122.3199999999997</v>
      </c>
      <c r="J566" s="89">
        <f t="shared" si="44"/>
        <v>0</v>
      </c>
      <c r="K566" s="89">
        <f t="shared" si="44"/>
        <v>0</v>
      </c>
      <c r="L566" s="89">
        <f t="shared" si="44"/>
        <v>147606.41</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v>282170.19999999995</v>
      </c>
      <c r="G568" s="18">
        <v>80898.200000000012</v>
      </c>
      <c r="H568" s="18"/>
      <c r="I568" s="18">
        <v>7924.18</v>
      </c>
      <c r="J568" s="18"/>
      <c r="K568" s="18">
        <v>2537.5</v>
      </c>
      <c r="L568" s="88">
        <f>SUM(F568:K568)</f>
        <v>373530.07999999996</v>
      </c>
      <c r="M568" s="8"/>
      <c r="N568" s="265"/>
    </row>
    <row r="569" spans="1:14" s="3" customFormat="1" ht="12.2" customHeight="1" x14ac:dyDescent="0.15">
      <c r="A569" s="22" t="s">
        <v>634</v>
      </c>
      <c r="B569" s="105">
        <v>22</v>
      </c>
      <c r="C569" s="105">
        <v>10</v>
      </c>
      <c r="D569" s="2" t="s">
        <v>432</v>
      </c>
      <c r="E569" s="105"/>
      <c r="F569" s="18">
        <v>78613</v>
      </c>
      <c r="G569" s="18">
        <v>22538.350000000002</v>
      </c>
      <c r="H569" s="18"/>
      <c r="I569" s="18">
        <v>2231.27</v>
      </c>
      <c r="J569" s="18"/>
      <c r="K569" s="18">
        <v>812</v>
      </c>
      <c r="L569" s="88">
        <f>SUM(F569:K569)</f>
        <v>104194.62000000001</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v>1725.5</v>
      </c>
      <c r="L570" s="88">
        <f>SUM(F570:K570)</f>
        <v>1725.5</v>
      </c>
      <c r="M570" s="8"/>
      <c r="N570" s="265"/>
    </row>
    <row r="571" spans="1:14" s="3" customFormat="1" ht="12.2" customHeight="1" thickTop="1" thickBot="1" x14ac:dyDescent="0.2">
      <c r="A571" s="130" t="s">
        <v>67</v>
      </c>
      <c r="B571" s="190">
        <v>22</v>
      </c>
      <c r="C571" s="190">
        <v>12</v>
      </c>
      <c r="D571" s="196" t="s">
        <v>432</v>
      </c>
      <c r="E571" s="190"/>
      <c r="F571" s="192">
        <f>SUM(F568:F570)</f>
        <v>360783.19999999995</v>
      </c>
      <c r="G571" s="192">
        <f t="shared" ref="G571:L571" si="45">SUM(G568:G570)</f>
        <v>103436.55000000002</v>
      </c>
      <c r="H571" s="192">
        <f t="shared" si="45"/>
        <v>0</v>
      </c>
      <c r="I571" s="192">
        <f t="shared" si="45"/>
        <v>10155.450000000001</v>
      </c>
      <c r="J571" s="192">
        <f t="shared" si="45"/>
        <v>0</v>
      </c>
      <c r="K571" s="192">
        <f t="shared" si="45"/>
        <v>5075</v>
      </c>
      <c r="L571" s="192">
        <f t="shared" si="45"/>
        <v>479450.19999999995</v>
      </c>
      <c r="M571" s="8"/>
      <c r="N571" s="265"/>
    </row>
    <row r="572" spans="1:14" s="3" customFormat="1" ht="12.2" customHeight="1" thickTop="1" x14ac:dyDescent="0.15">
      <c r="A572" s="98" t="s">
        <v>88</v>
      </c>
      <c r="B572" s="107">
        <v>22</v>
      </c>
      <c r="C572" s="107">
        <v>13</v>
      </c>
      <c r="D572" s="158" t="s">
        <v>432</v>
      </c>
      <c r="E572" s="107"/>
      <c r="F572" s="89">
        <f>F561+F566+F571</f>
        <v>473073.61999999994</v>
      </c>
      <c r="G572" s="89">
        <f t="shared" ref="G572:L572" si="46">G561+G566+G571</f>
        <v>135630.22000000003</v>
      </c>
      <c r="H572" s="89">
        <f t="shared" si="46"/>
        <v>0</v>
      </c>
      <c r="I572" s="89">
        <f t="shared" si="46"/>
        <v>13277.77</v>
      </c>
      <c r="J572" s="89">
        <f t="shared" si="46"/>
        <v>0</v>
      </c>
      <c r="K572" s="89">
        <f t="shared" si="46"/>
        <v>5075</v>
      </c>
      <c r="L572" s="89">
        <f t="shared" si="46"/>
        <v>627056.61</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v>28251</v>
      </c>
      <c r="I580" s="87">
        <f t="shared" si="47"/>
        <v>28251</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v>566366.28</v>
      </c>
      <c r="G583" s="18">
        <v>174999.96</v>
      </c>
      <c r="H583" s="18">
        <v>1517154.29</v>
      </c>
      <c r="I583" s="87">
        <f t="shared" si="47"/>
        <v>2258520.5300000003</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v>105427.79999999999</v>
      </c>
      <c r="I585" s="87">
        <f t="shared" si="47"/>
        <v>105427.79999999999</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1133831.08</v>
      </c>
      <c r="I592" s="18">
        <v>362825.81</v>
      </c>
      <c r="J592" s="18">
        <v>771284.87</v>
      </c>
      <c r="K592" s="104">
        <f t="shared" ref="K592:K598" si="48">SUM(H592:J592)</f>
        <v>2267941.7600000002</v>
      </c>
      <c r="L592" s="24" t="s">
        <v>288</v>
      </c>
      <c r="M592" s="8"/>
      <c r="N592" s="265"/>
    </row>
    <row r="593" spans="1:14" s="3" customFormat="1" ht="12.2" customHeight="1" x14ac:dyDescent="0.15">
      <c r="A593" s="3" t="s">
        <v>638</v>
      </c>
      <c r="B593" s="75">
        <v>23</v>
      </c>
      <c r="C593" s="75">
        <v>2</v>
      </c>
      <c r="D593" s="2" t="s">
        <v>432</v>
      </c>
      <c r="E593" s="75"/>
      <c r="F593" s="102">
        <v>2722</v>
      </c>
      <c r="G593" s="103" t="s">
        <v>97</v>
      </c>
      <c r="H593" s="18">
        <v>777859.02</v>
      </c>
      <c r="I593" s="18">
        <v>248915.01999999996</v>
      </c>
      <c r="J593" s="18">
        <v>528944.39</v>
      </c>
      <c r="K593" s="104">
        <f t="shared" si="48"/>
        <v>1555718.4300000002</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v>6781.03</v>
      </c>
      <c r="J595" s="18">
        <v>97813.17</v>
      </c>
      <c r="K595" s="104">
        <f t="shared" si="48"/>
        <v>104594.2</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c r="I596" s="18">
        <v>4493</v>
      </c>
      <c r="J596" s="18">
        <v>12186.03</v>
      </c>
      <c r="K596" s="104">
        <f t="shared" si="48"/>
        <v>16679.03</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1911690.1</v>
      </c>
      <c r="I599" s="108">
        <f>SUM(I592:I598)</f>
        <v>623014.86</v>
      </c>
      <c r="J599" s="108">
        <f>SUM(J592:J598)</f>
        <v>1410228.46</v>
      </c>
      <c r="K599" s="108">
        <f>SUM(K592:K598)</f>
        <v>3944933.4200000004</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v>206633.03</v>
      </c>
      <c r="I605" s="18">
        <v>68264.62</v>
      </c>
      <c r="J605" s="18">
        <v>180956.22</v>
      </c>
      <c r="K605" s="104">
        <f>SUM(H605:J605)</f>
        <v>455853.87</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206633.03</v>
      </c>
      <c r="I606" s="108">
        <f>SUM(I603:I605)</f>
        <v>68264.62</v>
      </c>
      <c r="J606" s="108">
        <f>SUM(J603:J605)</f>
        <v>180956.22</v>
      </c>
      <c r="K606" s="108">
        <f>SUM(K603:K605)</f>
        <v>455853.87</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5"/>
    </row>
    <row r="613" spans="1:14" s="3" customFormat="1" ht="12.2" customHeight="1" x14ac:dyDescent="0.15">
      <c r="A613" s="22" t="s">
        <v>634</v>
      </c>
      <c r="B613" s="75">
        <v>23</v>
      </c>
      <c r="C613" s="75">
        <v>14</v>
      </c>
      <c r="D613" s="2" t="s">
        <v>432</v>
      </c>
      <c r="E613" s="75"/>
      <c r="F613" s="18">
        <v>6876.16</v>
      </c>
      <c r="G613" s="18">
        <v>1971.4</v>
      </c>
      <c r="H613" s="18"/>
      <c r="I613" s="18"/>
      <c r="J613" s="18"/>
      <c r="K613" s="18"/>
      <c r="L613" s="88">
        <f>SUM(F613:K613)</f>
        <v>8847.56</v>
      </c>
      <c r="M613" s="8"/>
      <c r="N613" s="265"/>
    </row>
    <row r="614" spans="1:14" s="3" customFormat="1" ht="12.2" customHeight="1" thickBot="1" x14ac:dyDescent="0.2">
      <c r="A614" s="22" t="s">
        <v>645</v>
      </c>
      <c r="B614" s="75">
        <v>23</v>
      </c>
      <c r="C614" s="75">
        <v>15</v>
      </c>
      <c r="D614" s="2" t="s">
        <v>432</v>
      </c>
      <c r="E614" s="75"/>
      <c r="F614" s="18">
        <v>87988.160000000003</v>
      </c>
      <c r="G614" s="18">
        <v>25226.21</v>
      </c>
      <c r="H614" s="18"/>
      <c r="I614" s="18"/>
      <c r="J614" s="18"/>
      <c r="K614" s="18"/>
      <c r="L614" s="88">
        <f>SUM(F614:K614)</f>
        <v>113214.37</v>
      </c>
      <c r="M614" s="8"/>
      <c r="N614" s="265"/>
    </row>
    <row r="615" spans="1:14" s="3" customFormat="1" ht="12.2" customHeight="1" thickTop="1" x14ac:dyDescent="0.15">
      <c r="A615" s="98" t="s">
        <v>340</v>
      </c>
      <c r="B615" s="107">
        <v>23</v>
      </c>
      <c r="C615" s="107">
        <v>16</v>
      </c>
      <c r="D615" s="39" t="s">
        <v>432</v>
      </c>
      <c r="E615" s="107"/>
      <c r="F615" s="108">
        <f t="shared" ref="F615:L615" si="49">SUM(F612:F614)</f>
        <v>94864.320000000007</v>
      </c>
      <c r="G615" s="108">
        <f t="shared" si="49"/>
        <v>27197.61</v>
      </c>
      <c r="H615" s="108">
        <f t="shared" si="49"/>
        <v>0</v>
      </c>
      <c r="I615" s="108">
        <f t="shared" si="49"/>
        <v>0</v>
      </c>
      <c r="J615" s="108">
        <f t="shared" si="49"/>
        <v>0</v>
      </c>
      <c r="K615" s="108">
        <f t="shared" si="49"/>
        <v>0</v>
      </c>
      <c r="L615" s="89">
        <f t="shared" si="49"/>
        <v>122061.93</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8280885</v>
      </c>
      <c r="H618" s="109">
        <f>SUM(F52)</f>
        <v>8280885</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666982.37000000011</v>
      </c>
      <c r="H619" s="109">
        <f>SUM(G52)</f>
        <v>666982.37</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559714.46</v>
      </c>
      <c r="H620" s="109">
        <f>SUM(H52)</f>
        <v>559714.46</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8626.65</v>
      </c>
      <c r="H622" s="109">
        <f>SUM(J52)</f>
        <v>8626.65</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3195541.1100000003</v>
      </c>
      <c r="H623" s="109">
        <f>F477</f>
        <v>3195541.1099999845</v>
      </c>
      <c r="I623" s="121" t="s">
        <v>101</v>
      </c>
      <c r="J623" s="109">
        <f t="shared" ref="J623:J656" si="50">G623-H623</f>
        <v>1.5832483768463135E-8</v>
      </c>
      <c r="K623" s="109"/>
      <c r="L623" s="109"/>
      <c r="M623" s="8"/>
    </row>
    <row r="624" spans="1:14" s="3" customFormat="1" ht="12.2" customHeight="1" x14ac:dyDescent="0.15">
      <c r="A624" s="97"/>
      <c r="B624" s="105"/>
      <c r="C624" s="119"/>
      <c r="D624" s="119"/>
      <c r="E624" s="119"/>
      <c r="F624" s="119" t="s">
        <v>866</v>
      </c>
      <c r="G624" s="109">
        <f>G51</f>
        <v>522663.66</v>
      </c>
      <c r="H624" s="109">
        <f>G477</f>
        <v>522663.66000000015</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8626.65</v>
      </c>
      <c r="H627" s="109">
        <f>J477</f>
        <v>8626.65</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73323896.280000001</v>
      </c>
      <c r="H628" s="104">
        <f>SUM(F469)</f>
        <v>73323896.280000001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2452523.88</v>
      </c>
      <c r="H629" s="104">
        <f>SUM(G469)</f>
        <v>2452523.88</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1466971.8499999999</v>
      </c>
      <c r="H630" s="104">
        <f>SUM(H469)</f>
        <v>1466971.85</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0</v>
      </c>
      <c r="H632" s="104">
        <f>SUM(J469)</f>
        <v>0</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74742828.5</v>
      </c>
      <c r="H633" s="104">
        <f>SUM(F473)</f>
        <v>74742828.500000015</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1466971.8499999996</v>
      </c>
      <c r="H634" s="104">
        <f>SUM(H473)</f>
        <v>1466971.85</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1040535.42</v>
      </c>
      <c r="H635" s="104">
        <f>I370</f>
        <v>1040535.4199999999</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2004769.65</v>
      </c>
      <c r="H636" s="104">
        <f>SUM(G473)</f>
        <v>2004769.65</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0</v>
      </c>
      <c r="H638" s="164">
        <f>SUM(J469)</f>
        <v>0</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8626.65</v>
      </c>
      <c r="H640" s="104">
        <f>SUM(F462)</f>
        <v>8626.65</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8626.65</v>
      </c>
      <c r="H643" s="104">
        <f>SUM(I462)</f>
        <v>8626.65</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0</v>
      </c>
      <c r="H645" s="104">
        <f>H409</f>
        <v>0</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0</v>
      </c>
      <c r="H647" s="104">
        <f>L409</f>
        <v>0</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3944933.4200000004</v>
      </c>
      <c r="H648" s="104">
        <f>L209+L227+L245</f>
        <v>3944933.42</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455853.87</v>
      </c>
      <c r="H649" s="104">
        <f>(J258+J339)-(J256+J337)</f>
        <v>455853.86999999994</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1911690.0999999999</v>
      </c>
      <c r="H650" s="104">
        <f>H599</f>
        <v>1911690.1</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623014.86</v>
      </c>
      <c r="H651" s="104">
        <f>I599</f>
        <v>623014.86</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1410228.46</v>
      </c>
      <c r="H652" s="104">
        <f>J599</f>
        <v>1410228.46</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35873320.810000002</v>
      </c>
      <c r="G661" s="19">
        <f>(L230+L310+L360)</f>
        <v>12540288.84</v>
      </c>
      <c r="H661" s="19">
        <f>(L248+L329+L361)</f>
        <v>26713157.470000003</v>
      </c>
      <c r="I661" s="19">
        <f>SUM(F661:H661)</f>
        <v>75126767.120000005</v>
      </c>
      <c r="J661" s="13"/>
      <c r="K661" s="13"/>
      <c r="L661" s="13"/>
      <c r="M661" s="9"/>
    </row>
    <row r="662" spans="1:13" s="3" customFormat="1" ht="12.2" customHeight="1" x14ac:dyDescent="0.2">
      <c r="A662" s="1" t="s">
        <v>127</v>
      </c>
      <c r="F662" s="19">
        <f>(L359/IF(SUM(L359:L361)=0,1,SUM(L359:L361))*(SUM(G97:G110)))</f>
        <v>229086.0820498855</v>
      </c>
      <c r="G662" s="19">
        <f>(L360/IF(SUM(L359:L361)=0,1,SUM(L359:L361))*(SUM(G97:G110)))</f>
        <v>88396.020053565619</v>
      </c>
      <c r="H662" s="19">
        <f>(L361/IF(SUM(L359:L361)=0,1,SUM(L359:L361))*(SUM(G97:G110)))</f>
        <v>159708.98789654893</v>
      </c>
      <c r="I662" s="19">
        <f>SUM(F662:H662)</f>
        <v>477191.09000000008</v>
      </c>
      <c r="J662"/>
      <c r="K662" s="13"/>
      <c r="L662" s="13"/>
      <c r="M662" s="8"/>
    </row>
    <row r="663" spans="1:13" s="3" customFormat="1" ht="12.2" customHeight="1" x14ac:dyDescent="0.2">
      <c r="A663" s="1" t="s">
        <v>128</v>
      </c>
      <c r="F663" s="19">
        <f>(L209+L288)-(J209+J288)</f>
        <v>1915989.2899999998</v>
      </c>
      <c r="G663" s="19">
        <f>(L227+L307)-(J227+J307)</f>
        <v>623014.86</v>
      </c>
      <c r="H663" s="19">
        <f>(L245+L326)-(J245+J326)</f>
        <v>1410228.46</v>
      </c>
      <c r="I663" s="19">
        <f>SUM(F663:H663)</f>
        <v>3949232.61</v>
      </c>
      <c r="J663"/>
      <c r="K663" s="13"/>
      <c r="L663" s="13"/>
      <c r="M663" s="9"/>
    </row>
    <row r="664" spans="1:13" s="3" customFormat="1" ht="12.2" customHeight="1" x14ac:dyDescent="0.15">
      <c r="A664" s="197" t="s">
        <v>129</v>
      </c>
      <c r="B664" s="169"/>
      <c r="C664" s="169"/>
      <c r="D664" s="169"/>
      <c r="E664" s="169"/>
      <c r="F664" s="198">
        <f>SUM(F576:F588)+SUM(H603:H605)+SUM(L612)</f>
        <v>772999.31</v>
      </c>
      <c r="G664" s="198">
        <f>SUM(G576:G588)+SUM(I603:I605)+L613</f>
        <v>252112.13999999998</v>
      </c>
      <c r="H664" s="198">
        <f>SUM(H576:H588)+SUM(J603:J605)+L614</f>
        <v>1945003.6800000002</v>
      </c>
      <c r="I664" s="19">
        <f>SUM(F664:H664)</f>
        <v>2970115.1300000004</v>
      </c>
      <c r="J664" s="13"/>
      <c r="K664" s="13"/>
      <c r="L664" s="13"/>
      <c r="M664" s="9"/>
    </row>
    <row r="665" spans="1:13" s="3" customFormat="1" ht="12.2" customHeight="1" x14ac:dyDescent="0.15">
      <c r="A665" s="1" t="s">
        <v>130</v>
      </c>
      <c r="F665" s="19">
        <f>F661-SUM(F662:F664)</f>
        <v>32955246.127950117</v>
      </c>
      <c r="G665" s="19">
        <f>G661-SUM(G662:G664)</f>
        <v>11576765.819946434</v>
      </c>
      <c r="H665" s="19">
        <f>H661-SUM(H662:H664)</f>
        <v>23198216.342103451</v>
      </c>
      <c r="I665" s="19">
        <f>I661-SUM(I662:I664)</f>
        <v>67730228.290000007</v>
      </c>
      <c r="J665" s="13"/>
      <c r="K665" s="13"/>
      <c r="L665" s="13"/>
      <c r="M665" s="8"/>
    </row>
    <row r="666" spans="1:13" s="3" customFormat="1" ht="12.2" customHeight="1" x14ac:dyDescent="0.2">
      <c r="A666" s="1" t="s">
        <v>131</v>
      </c>
      <c r="F666" s="245">
        <v>1975.7</v>
      </c>
      <c r="G666" s="246">
        <v>693.67</v>
      </c>
      <c r="H666" s="246">
        <v>1437.28</v>
      </c>
      <c r="I666" s="19">
        <f>SUM(F666:H666)</f>
        <v>4106.6499999999996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16680.29</v>
      </c>
      <c r="G668" s="19">
        <f>ROUND(G665/G666,2)</f>
        <v>16689.150000000001</v>
      </c>
      <c r="H668" s="19">
        <f>ROUND(H665/H666,2)</f>
        <v>16140.36</v>
      </c>
      <c r="I668" s="19">
        <f>ROUND(I665/I666,2)</f>
        <v>16492.82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-18.78</v>
      </c>
      <c r="I671" s="19">
        <f>SUM(F671:H671)</f>
        <v>-18.78</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16680.29</v>
      </c>
      <c r="G673" s="19">
        <f>ROUND((G665+G670)/(G666+G671),2)</f>
        <v>16689.150000000001</v>
      </c>
      <c r="H673" s="19">
        <f>ROUND((H665+H670)/(H666+H671),2)</f>
        <v>16354.05</v>
      </c>
      <c r="I673" s="19">
        <f>ROUND((I665+I670)/(I666+I671),2)</f>
        <v>16568.59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dataRefs count="1">
      <dataRef ref="F9:L673" sheet="DOE25" r:id="rId1"/>
    </dataRefs>
  </dataConsolidate>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2"/>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3" sqref="E13"/>
    </sheetView>
  </sheetViews>
  <sheetFormatPr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5" t="s">
        <v>1643</v>
      </c>
      <c r="D2" s="375"/>
      <c r="E2" s="375"/>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159934.24</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72">
        <v>81412.759999999995</v>
      </c>
      <c r="F9" s="349" t="s">
        <v>1644</v>
      </c>
    </row>
    <row r="10" spans="2:8" x14ac:dyDescent="0.25">
      <c r="B10" s="348"/>
      <c r="C10" s="348"/>
      <c r="D10" s="348"/>
      <c r="E10" s="348"/>
      <c r="F10" s="348"/>
    </row>
    <row r="11" spans="2:8" x14ac:dyDescent="0.25">
      <c r="B11" s="348"/>
      <c r="C11" s="352" t="s">
        <v>1648</v>
      </c>
      <c r="D11" s="349" t="s">
        <v>1651</v>
      </c>
      <c r="E11" s="372">
        <v>5868.08</v>
      </c>
      <c r="F11" s="349" t="s">
        <v>1645</v>
      </c>
    </row>
    <row r="12" spans="2:8" x14ac:dyDescent="0.25">
      <c r="B12" s="348"/>
      <c r="C12" s="348"/>
      <c r="D12" s="349"/>
      <c r="E12" s="348"/>
      <c r="F12" s="348"/>
    </row>
    <row r="13" spans="2:8" x14ac:dyDescent="0.25">
      <c r="B13" s="348"/>
      <c r="C13" s="349" t="s">
        <v>1638</v>
      </c>
      <c r="D13" s="349" t="s">
        <v>1652</v>
      </c>
      <c r="E13" s="372">
        <v>72653.399999999994</v>
      </c>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6" t="s">
        <v>1567</v>
      </c>
      <c r="B1" s="376"/>
      <c r="C1" s="376"/>
      <c r="D1" s="376"/>
      <c r="E1" s="376"/>
      <c r="F1" s="376"/>
      <c r="G1" s="376"/>
      <c r="H1" s="376"/>
    </row>
    <row r="2" spans="1:9" ht="15" x14ac:dyDescent="0.2">
      <c r="A2" s="376" t="s">
        <v>1632</v>
      </c>
      <c r="B2" s="376"/>
      <c r="C2" s="376"/>
      <c r="D2" s="376"/>
      <c r="E2" s="376"/>
      <c r="F2" s="376"/>
      <c r="G2" s="376"/>
      <c r="H2" s="376"/>
    </row>
    <row r="3" spans="1:9" ht="15.75" x14ac:dyDescent="0.25">
      <c r="A3" s="316" t="s">
        <v>1581</v>
      </c>
      <c r="B3" s="317" t="s">
        <v>1614</v>
      </c>
      <c r="C3" s="315"/>
      <c r="D3" s="315"/>
      <c r="E3" s="315"/>
      <c r="F3" s="315"/>
      <c r="G3" s="315"/>
      <c r="H3" s="315"/>
      <c r="I3" t="s">
        <v>1613</v>
      </c>
    </row>
    <row r="4" spans="1:9" x14ac:dyDescent="0.2">
      <c r="I4" t="s">
        <v>1614</v>
      </c>
    </row>
    <row r="5" spans="1:9" ht="15.75" x14ac:dyDescent="0.25">
      <c r="A5" s="311" t="s">
        <v>908</v>
      </c>
      <c r="B5" s="377" t="str">
        <f>'DOE25'!A2</f>
        <v>Bedford</v>
      </c>
      <c r="C5" s="378"/>
      <c r="D5" s="378"/>
      <c r="E5" s="378"/>
      <c r="F5" s="378"/>
    </row>
    <row r="8" spans="1:9" ht="18" x14ac:dyDescent="0.25">
      <c r="A8" s="312" t="s">
        <v>1568</v>
      </c>
      <c r="F8" s="319" t="s">
        <v>1586</v>
      </c>
    </row>
    <row r="9" spans="1:9" ht="15" x14ac:dyDescent="0.2">
      <c r="A9" s="310" t="s">
        <v>1569</v>
      </c>
      <c r="B9" s="313">
        <f>'DOE25'!G97</f>
        <v>477191.09</v>
      </c>
      <c r="F9" s="310" t="s">
        <v>1582</v>
      </c>
    </row>
    <row r="10" spans="1:9" ht="15" x14ac:dyDescent="0.2">
      <c r="A10" s="310" t="s">
        <v>1570</v>
      </c>
      <c r="B10" s="313">
        <f>'DOE25'!G112-'DOE25'!G97</f>
        <v>0</v>
      </c>
      <c r="F10" s="310" t="s">
        <v>1583</v>
      </c>
    </row>
    <row r="11" spans="1:9" ht="15" x14ac:dyDescent="0.2">
      <c r="A11" s="310" t="s">
        <v>1571</v>
      </c>
      <c r="B11" s="313">
        <f>'DOE25'!G140</f>
        <v>18608.23</v>
      </c>
      <c r="F11" s="310" t="s">
        <v>1584</v>
      </c>
    </row>
    <row r="12" spans="1:9" ht="15" x14ac:dyDescent="0.2">
      <c r="A12" s="310" t="s">
        <v>1572</v>
      </c>
      <c r="B12" s="313">
        <f>'DOE25'!G170</f>
        <v>1956724.56</v>
      </c>
      <c r="F12" s="310" t="s">
        <v>1585</v>
      </c>
    </row>
    <row r="13" spans="1:9" ht="15" x14ac:dyDescent="0.2">
      <c r="A13" s="310" t="s">
        <v>1573</v>
      </c>
      <c r="B13" s="313">
        <f>'DOE25'!G193-'DOE25'!G180</f>
        <v>0</v>
      </c>
      <c r="F13" s="310" t="s">
        <v>1595</v>
      </c>
    </row>
    <row r="14" spans="1:9" ht="18" x14ac:dyDescent="0.25">
      <c r="A14" s="312" t="s">
        <v>732</v>
      </c>
      <c r="B14" s="314">
        <f>SUM(B9:B13)</f>
        <v>2452523.88</v>
      </c>
    </row>
    <row r="16" spans="1:9" ht="18" x14ac:dyDescent="0.25">
      <c r="A16" s="312" t="s">
        <v>786</v>
      </c>
      <c r="F16" s="319" t="s">
        <v>1587</v>
      </c>
    </row>
    <row r="17" spans="1:6" ht="15" x14ac:dyDescent="0.2">
      <c r="A17" s="310" t="s">
        <v>1574</v>
      </c>
      <c r="B17" s="313">
        <f>'DOE25'!L363-'DOE25'!L362</f>
        <v>2004769.65</v>
      </c>
      <c r="F17" s="310" t="s">
        <v>1588</v>
      </c>
    </row>
    <row r="18" spans="1:6" ht="15" x14ac:dyDescent="0.2">
      <c r="A18" s="310" t="s">
        <v>1575</v>
      </c>
      <c r="B18" s="323"/>
      <c r="F18" s="319" t="s">
        <v>1612</v>
      </c>
    </row>
    <row r="19" spans="1:6" ht="18" x14ac:dyDescent="0.25">
      <c r="A19" s="312" t="s">
        <v>725</v>
      </c>
      <c r="B19" s="314">
        <f>SUM(B17:B18)</f>
        <v>2004769.65</v>
      </c>
    </row>
    <row r="21" spans="1:6" ht="18.75" thickBot="1" x14ac:dyDescent="0.3">
      <c r="A21" s="312" t="s">
        <v>1576</v>
      </c>
    </row>
    <row r="22" spans="1:6" ht="18.75" thickTop="1" x14ac:dyDescent="0.25">
      <c r="A22" s="312" t="s">
        <v>1577</v>
      </c>
      <c r="B22" s="318">
        <f>B14-B19</f>
        <v>447754.23</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74909.429999999993</v>
      </c>
      <c r="F31" s="310" t="s">
        <v>1592</v>
      </c>
    </row>
    <row r="33" spans="1:6" ht="15" x14ac:dyDescent="0.2">
      <c r="A33" s="310" t="s">
        <v>1635</v>
      </c>
      <c r="B33" s="313">
        <f>'DOE25'!G477</f>
        <v>522663.66000000015</v>
      </c>
      <c r="F33" s="310" t="s">
        <v>1593</v>
      </c>
    </row>
    <row r="36" spans="1:6" ht="15" x14ac:dyDescent="0.2">
      <c r="A36" s="310" t="s">
        <v>1579</v>
      </c>
      <c r="B36" s="324">
        <v>144208.13</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10" zoomScaleNormal="100" workbookViewId="0">
      <selection activeCell="H29" sqref="H29"/>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Bedford</v>
      </c>
      <c r="C1" s="237" t="s">
        <v>824</v>
      </c>
    </row>
    <row r="2" spans="1:3" x14ac:dyDescent="0.2">
      <c r="A2" s="232"/>
      <c r="B2" s="231"/>
    </row>
    <row r="3" spans="1:3" x14ac:dyDescent="0.2">
      <c r="A3" s="375" t="s">
        <v>780</v>
      </c>
      <c r="B3" s="375"/>
      <c r="C3" s="375"/>
    </row>
    <row r="4" spans="1:3" x14ac:dyDescent="0.2">
      <c r="A4" s="235"/>
      <c r="B4" s="236" t="str">
        <f>'DOE25'!H1</f>
        <v>DOE 25  2021-2022</v>
      </c>
      <c r="C4" s="235"/>
    </row>
    <row r="5" spans="1:3" x14ac:dyDescent="0.2">
      <c r="A5" s="232"/>
      <c r="B5" s="231"/>
    </row>
    <row r="6" spans="1:3" x14ac:dyDescent="0.2">
      <c r="A6" s="226"/>
      <c r="B6" s="381" t="s">
        <v>779</v>
      </c>
      <c r="C6" s="381"/>
    </row>
    <row r="7" spans="1:3" x14ac:dyDescent="0.2">
      <c r="A7" s="238" t="s">
        <v>782</v>
      </c>
      <c r="B7" s="379" t="s">
        <v>778</v>
      </c>
      <c r="C7" s="380"/>
    </row>
    <row r="8" spans="1:3" x14ac:dyDescent="0.2">
      <c r="B8" s="227" t="s">
        <v>54</v>
      </c>
      <c r="C8" s="227" t="s">
        <v>772</v>
      </c>
    </row>
    <row r="9" spans="1:3" x14ac:dyDescent="0.2">
      <c r="A9" s="33" t="s">
        <v>773</v>
      </c>
      <c r="B9" s="228">
        <f>'DOE25'!F198+'DOE25'!F216+'DOE25'!F234+'DOE25'!F277+'DOE25'!F296+'DOE25'!F315</f>
        <v>20448786.010000002</v>
      </c>
      <c r="C9" s="228">
        <f>'DOE25'!G198+'DOE25'!G216+'DOE25'!G234+'DOE25'!G277+'DOE25'!G296+'DOE25'!G315</f>
        <v>11319605.6</v>
      </c>
    </row>
    <row r="10" spans="1:3" x14ac:dyDescent="0.2">
      <c r="A10" t="s">
        <v>775</v>
      </c>
      <c r="B10" s="373">
        <f>182819.81+509755.08+17110779.21+9+1556696.13</f>
        <v>19360059.23</v>
      </c>
      <c r="C10" s="373">
        <f>38996.26+3596685.79+6972435.19+446299.46</f>
        <v>11054416.700000001</v>
      </c>
    </row>
    <row r="11" spans="1:3" x14ac:dyDescent="0.2">
      <c r="A11" t="s">
        <v>776</v>
      </c>
      <c r="B11" s="373">
        <f>110296.11+585729.12</f>
        <v>696025.23</v>
      </c>
      <c r="C11" s="373">
        <f>8427.37+226719.86</f>
        <v>235147.22999999998</v>
      </c>
    </row>
    <row r="12" spans="1:3" x14ac:dyDescent="0.2">
      <c r="A12" t="s">
        <v>777</v>
      </c>
      <c r="B12" s="373">
        <f>263262.02+36000+93439.53</f>
        <v>392701.55000000005</v>
      </c>
      <c r="C12" s="373">
        <v>30041.67</v>
      </c>
    </row>
    <row r="13" spans="1:3" x14ac:dyDescent="0.2">
      <c r="A13" t="str">
        <f>IF(B9=B13,IF(C9=C13,"Check Total OK","Check Total Error"),"Check Total Error")</f>
        <v>Check Total OK</v>
      </c>
      <c r="B13" s="230">
        <f>SUM(B10:B12)</f>
        <v>20448786.010000002</v>
      </c>
      <c r="C13" s="230">
        <f>SUM(C10:C12)</f>
        <v>11319605.600000001</v>
      </c>
    </row>
    <row r="14" spans="1:3" x14ac:dyDescent="0.2">
      <c r="B14" s="229"/>
      <c r="C14" s="229"/>
    </row>
    <row r="15" spans="1:3" x14ac:dyDescent="0.2">
      <c r="B15" s="381" t="s">
        <v>779</v>
      </c>
      <c r="C15" s="381"/>
    </row>
    <row r="16" spans="1:3" x14ac:dyDescent="0.2">
      <c r="A16" s="238" t="s">
        <v>783</v>
      </c>
      <c r="B16" s="379" t="s">
        <v>703</v>
      </c>
      <c r="C16" s="380"/>
    </row>
    <row r="17" spans="1:3" x14ac:dyDescent="0.2">
      <c r="B17" s="227" t="s">
        <v>54</v>
      </c>
      <c r="C17" s="227" t="s">
        <v>772</v>
      </c>
    </row>
    <row r="18" spans="1:3" x14ac:dyDescent="0.2">
      <c r="A18" s="33" t="s">
        <v>773</v>
      </c>
      <c r="B18" s="228">
        <f>'DOE25'!F199+'DOE25'!F217+'DOE25'!F235+'DOE25'!F278+'DOE25'!F297+'DOE25'!F316</f>
        <v>7839987.75</v>
      </c>
      <c r="C18" s="228">
        <f>'DOE25'!G199+'DOE25'!G217+'DOE25'!G235+'DOE25'!G278+'DOE25'!G297+'DOE25'!G316</f>
        <v>3814838.16</v>
      </c>
    </row>
    <row r="19" spans="1:3" x14ac:dyDescent="0.2">
      <c r="A19" t="s">
        <v>775</v>
      </c>
      <c r="B19" s="373">
        <f>556087.2+3658573.65+200235.21+351695.77</f>
        <v>4766591.83</v>
      </c>
      <c r="C19" s="373">
        <f>2501.28+295198.88+811121.62+1400644.79+100831.18</f>
        <v>2610297.7500000005</v>
      </c>
    </row>
    <row r="20" spans="1:3" x14ac:dyDescent="0.2">
      <c r="A20" t="s">
        <v>776</v>
      </c>
      <c r="B20" s="373">
        <f>62710.8+2223150.43+1510.1+3160.59</f>
        <v>2290531.92</v>
      </c>
      <c r="C20" s="373">
        <f>170071.01+725199.32+686.16+327.84</f>
        <v>896284.33</v>
      </c>
    </row>
    <row r="21" spans="1:3" x14ac:dyDescent="0.2">
      <c r="A21" t="s">
        <v>777</v>
      </c>
      <c r="B21" s="373">
        <v>782864</v>
      </c>
      <c r="C21" s="373">
        <f>59889.1+248366.98</f>
        <v>308256.08</v>
      </c>
    </row>
    <row r="22" spans="1:3" x14ac:dyDescent="0.2">
      <c r="A22" t="str">
        <f>IF(B18=B22,IF(C18=C22,"Check Total OK","Check Total Error"),"Check Total Error")</f>
        <v>Check Total OK</v>
      </c>
      <c r="B22" s="230">
        <f>SUM(B19:B21)</f>
        <v>7839987.75</v>
      </c>
      <c r="C22" s="230">
        <f>SUM(C19:C21)</f>
        <v>3814838.1600000006</v>
      </c>
    </row>
    <row r="23" spans="1:3" x14ac:dyDescent="0.2">
      <c r="B23" s="229"/>
      <c r="C23" s="229"/>
    </row>
    <row r="24" spans="1:3" x14ac:dyDescent="0.2">
      <c r="B24" s="381" t="s">
        <v>779</v>
      </c>
      <c r="C24" s="381"/>
    </row>
    <row r="25" spans="1:3" x14ac:dyDescent="0.2">
      <c r="A25" s="238" t="s">
        <v>784</v>
      </c>
      <c r="B25" s="379" t="s">
        <v>704</v>
      </c>
      <c r="C25" s="380"/>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81" t="s">
        <v>779</v>
      </c>
      <c r="C33" s="381"/>
    </row>
    <row r="34" spans="1:3" x14ac:dyDescent="0.2">
      <c r="A34" s="238" t="s">
        <v>785</v>
      </c>
      <c r="B34" s="379" t="s">
        <v>705</v>
      </c>
      <c r="C34" s="380"/>
    </row>
    <row r="35" spans="1:3" x14ac:dyDescent="0.2">
      <c r="B35" s="227" t="s">
        <v>54</v>
      </c>
      <c r="C35" s="227" t="s">
        <v>772</v>
      </c>
    </row>
    <row r="36" spans="1:3" x14ac:dyDescent="0.2">
      <c r="A36" s="33" t="s">
        <v>773</v>
      </c>
      <c r="B36" s="234">
        <f>'DOE25'!F201+'DOE25'!F219+'DOE25'!F237+'DOE25'!F280+'DOE25'!F299+'DOE25'!F318</f>
        <v>765026.2300000001</v>
      </c>
      <c r="C36" s="234">
        <f>'DOE25'!G201+'DOE25'!G219+'DOE25'!G237+'DOE25'!G280+'DOE25'!G299+'DOE25'!G318</f>
        <v>212316.67</v>
      </c>
    </row>
    <row r="37" spans="1:3" x14ac:dyDescent="0.2">
      <c r="A37" t="s">
        <v>775</v>
      </c>
      <c r="B37" s="373">
        <f>657432.71+392.8</f>
        <v>657825.51</v>
      </c>
      <c r="C37" s="373">
        <f>174294.62+112.62</f>
        <v>174407.24</v>
      </c>
    </row>
    <row r="38" spans="1:3" x14ac:dyDescent="0.2">
      <c r="A38" t="s">
        <v>776</v>
      </c>
      <c r="B38" s="373"/>
      <c r="C38" s="373"/>
    </row>
    <row r="39" spans="1:3" x14ac:dyDescent="0.2">
      <c r="A39" t="s">
        <v>777</v>
      </c>
      <c r="B39" s="373">
        <v>107200.72</v>
      </c>
      <c r="C39" s="373">
        <f>8200.86+29708.57</f>
        <v>37909.43</v>
      </c>
    </row>
    <row r="40" spans="1:3" x14ac:dyDescent="0.2">
      <c r="A40" t="str">
        <f>IF(B36=B40,IF(C36=C40,"Check Total OK","Check Total Error"),"Check Total Error")</f>
        <v>Check Total OK</v>
      </c>
      <c r="B40" s="230">
        <f>SUM(B37:B39)</f>
        <v>765026.23</v>
      </c>
      <c r="C40" s="230">
        <f>SUM(C37:C39)</f>
        <v>212316.66999999998</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81" t="s">
        <v>892</v>
      </c>
      <c r="B1" s="384"/>
      <c r="C1" s="384"/>
      <c r="D1" s="384"/>
      <c r="E1" s="384"/>
      <c r="F1" s="384"/>
      <c r="G1" s="384"/>
      <c r="H1" s="384"/>
      <c r="I1" s="180"/>
    </row>
    <row r="2" spans="1:9" x14ac:dyDescent="0.2">
      <c r="A2" s="33" t="s">
        <v>713</v>
      </c>
      <c r="B2" s="259" t="str">
        <f>'DOE25'!A2</f>
        <v>Bedford</v>
      </c>
      <c r="C2" s="276"/>
      <c r="D2" s="180" t="s">
        <v>787</v>
      </c>
      <c r="E2" s="180" t="s">
        <v>789</v>
      </c>
      <c r="F2" s="382" t="s">
        <v>891</v>
      </c>
      <c r="G2" s="383"/>
      <c r="H2" s="383"/>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47180685.439999998</v>
      </c>
      <c r="D5" s="20">
        <f>SUM('DOE25'!L198:L201)+SUM('DOE25'!L216:L219)+SUM('DOE25'!L234:L237)-F5-G5-H5</f>
        <v>46993527.299999997</v>
      </c>
      <c r="E5" s="242"/>
      <c r="F5" s="243"/>
      <c r="G5" s="53">
        <f>SUM('DOE25'!J198:J201)+SUM('DOE25'!J216:J219)+SUM('DOE25'!J234:J237)</f>
        <v>84097.64</v>
      </c>
      <c r="H5" s="53">
        <f>SUM('DOE25'!K198:K201)+SUM('DOE25'!K216:K219)+SUM('DOE25'!K234:K237)</f>
        <v>103060.49999999999</v>
      </c>
      <c r="I5" s="255"/>
    </row>
    <row r="6" spans="1:9" x14ac:dyDescent="0.2">
      <c r="A6" s="32">
        <v>2100</v>
      </c>
      <c r="B6" t="s">
        <v>796</v>
      </c>
      <c r="C6" s="274">
        <f t="shared" si="0"/>
        <v>5832777.6099999994</v>
      </c>
      <c r="D6" s="20">
        <f>'DOE25'!L203+'DOE25'!L221+'DOE25'!L239-F6-G6-H6</f>
        <v>5832777.6099999994</v>
      </c>
      <c r="E6" s="242"/>
      <c r="F6" s="243"/>
      <c r="G6" s="53">
        <f>'DOE25'!J203+'DOE25'!J221+'DOE25'!J239</f>
        <v>0</v>
      </c>
      <c r="H6" s="53">
        <f>'DOE25'!K203+'DOE25'!K221+'DOE25'!K239</f>
        <v>0</v>
      </c>
      <c r="I6" s="255"/>
    </row>
    <row r="7" spans="1:9" x14ac:dyDescent="0.2">
      <c r="A7" s="32">
        <v>2200</v>
      </c>
      <c r="B7" t="s">
        <v>821</v>
      </c>
      <c r="C7" s="274">
        <f t="shared" si="0"/>
        <v>1672447.5500000003</v>
      </c>
      <c r="D7" s="20">
        <f>'DOE25'!L204+'DOE25'!L222+'DOE25'!L240-F7-G7-H7</f>
        <v>1363709.4400000002</v>
      </c>
      <c r="E7" s="242"/>
      <c r="F7" s="243"/>
      <c r="G7" s="53">
        <f>'DOE25'!J204+'DOE25'!J222+'DOE25'!J240</f>
        <v>280442.29000000004</v>
      </c>
      <c r="H7" s="53">
        <f>'DOE25'!K204+'DOE25'!K222+'DOE25'!K240</f>
        <v>28295.82</v>
      </c>
      <c r="I7" s="255"/>
    </row>
    <row r="8" spans="1:9" x14ac:dyDescent="0.2">
      <c r="A8" s="32">
        <v>2300</v>
      </c>
      <c r="B8" t="s">
        <v>797</v>
      </c>
      <c r="C8" s="274">
        <f t="shared" si="0"/>
        <v>1119599.3599999999</v>
      </c>
      <c r="D8" s="242"/>
      <c r="E8" s="20">
        <f>'DOE25'!L205+'DOE25'!L223+'DOE25'!L241-F8-G8-H8-D9-D11</f>
        <v>1073029.27</v>
      </c>
      <c r="F8" s="243"/>
      <c r="G8" s="53">
        <f>'DOE25'!J205+'DOE25'!J223+'DOE25'!J241</f>
        <v>25063.15</v>
      </c>
      <c r="H8" s="53">
        <f>'DOE25'!K205+'DOE25'!K223+'DOE25'!K241</f>
        <v>21506.94</v>
      </c>
      <c r="I8" s="255"/>
    </row>
    <row r="9" spans="1:9" ht="14.25" x14ac:dyDescent="0.2">
      <c r="A9" s="32">
        <v>2310</v>
      </c>
      <c r="B9" s="184" t="s">
        <v>888</v>
      </c>
      <c r="C9" s="274">
        <f t="shared" si="0"/>
        <v>0</v>
      </c>
      <c r="D9" s="243"/>
      <c r="E9" s="242"/>
      <c r="F9" s="252"/>
      <c r="G9" s="252"/>
      <c r="H9" s="252"/>
      <c r="I9" s="255"/>
    </row>
    <row r="10" spans="1:9" ht="14.25" x14ac:dyDescent="0.2">
      <c r="A10" s="32">
        <v>2317</v>
      </c>
      <c r="B10" s="184" t="s">
        <v>889</v>
      </c>
      <c r="C10" s="274">
        <f t="shared" si="0"/>
        <v>0</v>
      </c>
      <c r="D10" s="242"/>
      <c r="E10" s="243"/>
      <c r="F10" s="252"/>
      <c r="G10" s="252"/>
      <c r="H10" s="252"/>
      <c r="I10" s="255"/>
    </row>
    <row r="11" spans="1:9" ht="14.25" x14ac:dyDescent="0.2">
      <c r="A11" s="32">
        <v>2321</v>
      </c>
      <c r="B11" s="184" t="s">
        <v>890</v>
      </c>
      <c r="C11" s="274">
        <f t="shared" si="0"/>
        <v>0</v>
      </c>
      <c r="D11" s="243"/>
      <c r="E11" s="242"/>
      <c r="F11" s="252"/>
      <c r="G11" s="252"/>
      <c r="H11" s="252"/>
      <c r="I11" s="255"/>
    </row>
    <row r="12" spans="1:9" x14ac:dyDescent="0.2">
      <c r="A12" s="32">
        <v>2400</v>
      </c>
      <c r="B12" t="s">
        <v>711</v>
      </c>
      <c r="C12" s="274">
        <f t="shared" si="0"/>
        <v>5178456.9399999995</v>
      </c>
      <c r="D12" s="20">
        <f>'DOE25'!L206+'DOE25'!L224+'DOE25'!L242-F12-G12-H12</f>
        <v>5120721.79</v>
      </c>
      <c r="E12" s="242"/>
      <c r="F12" s="243"/>
      <c r="G12" s="53">
        <f>'DOE25'!J206+'DOE25'!J224+'DOE25'!J242</f>
        <v>603.72</v>
      </c>
      <c r="H12" s="53">
        <f>'DOE25'!K206+'DOE25'!K224+'DOE25'!K242</f>
        <v>57131.429999999993</v>
      </c>
      <c r="I12" s="255"/>
    </row>
    <row r="13" spans="1:9" x14ac:dyDescent="0.2">
      <c r="A13" s="32">
        <v>2500</v>
      </c>
      <c r="B13" t="s">
        <v>798</v>
      </c>
      <c r="C13" s="274">
        <f t="shared" si="0"/>
        <v>881798.98</v>
      </c>
      <c r="D13" s="242"/>
      <c r="E13" s="20">
        <f>'DOE25'!L207+'DOE25'!L225+'DOE25'!L243-F13-G13-H13</f>
        <v>878400.28</v>
      </c>
      <c r="F13" s="243"/>
      <c r="G13" s="53">
        <f>'DOE25'!J207+'DOE25'!J225+'DOE25'!J243</f>
        <v>0</v>
      </c>
      <c r="H13" s="53">
        <f>'DOE25'!K207+'DOE25'!K225+'DOE25'!K243</f>
        <v>3398.7</v>
      </c>
      <c r="I13" s="255"/>
    </row>
    <row r="14" spans="1:9" x14ac:dyDescent="0.2">
      <c r="A14" s="32">
        <v>2600</v>
      </c>
      <c r="B14" t="s">
        <v>819</v>
      </c>
      <c r="C14" s="274">
        <f t="shared" si="0"/>
        <v>5749755.5800000001</v>
      </c>
      <c r="D14" s="20">
        <f>'DOE25'!L208+'DOE25'!L226+'DOE25'!L244-F14-G14-H14</f>
        <v>5731209.3100000005</v>
      </c>
      <c r="E14" s="242"/>
      <c r="F14" s="243"/>
      <c r="G14" s="53">
        <f>'DOE25'!J208+'DOE25'!J226+'DOE25'!J244</f>
        <v>17909.769999999997</v>
      </c>
      <c r="H14" s="53">
        <f>'DOE25'!K208+'DOE25'!K226+'DOE25'!K244</f>
        <v>636.5</v>
      </c>
      <c r="I14" s="255"/>
    </row>
    <row r="15" spans="1:9" x14ac:dyDescent="0.2">
      <c r="A15" s="32">
        <v>2700</v>
      </c>
      <c r="B15" t="s">
        <v>799</v>
      </c>
      <c r="C15" s="274">
        <f t="shared" si="0"/>
        <v>3944933.42</v>
      </c>
      <c r="D15" s="20">
        <f>'DOE25'!L209+'DOE25'!L227+'DOE25'!L245-F15-G15-H15</f>
        <v>3944933.42</v>
      </c>
      <c r="E15" s="242"/>
      <c r="F15" s="243"/>
      <c r="G15" s="53">
        <f>'DOE25'!J209+'DOE25'!J227+'DOE25'!J245</f>
        <v>0</v>
      </c>
      <c r="H15" s="53">
        <f>'DOE25'!K209+'DOE25'!K227+'DOE25'!K245</f>
        <v>0</v>
      </c>
      <c r="I15" s="255"/>
    </row>
    <row r="16" spans="1:9" x14ac:dyDescent="0.2">
      <c r="A16" s="32">
        <v>2800</v>
      </c>
      <c r="B16" t="s">
        <v>800</v>
      </c>
      <c r="C16" s="274">
        <f t="shared" si="0"/>
        <v>166070.40000000002</v>
      </c>
      <c r="D16" s="242"/>
      <c r="E16" s="20">
        <f>'DOE25'!L210+'DOE25'!L228+'DOE25'!L246-F16-G16-H16</f>
        <v>166070.40000000002</v>
      </c>
      <c r="F16" s="243"/>
      <c r="G16" s="53">
        <f>'DOE25'!J210+'DOE25'!J228+'DOE25'!J246</f>
        <v>0</v>
      </c>
      <c r="H16" s="53">
        <f>'DOE25'!K210+'DOE25'!K228+'DOE25'!K246</f>
        <v>0</v>
      </c>
      <c r="I16" s="255"/>
    </row>
    <row r="17" spans="1:9" x14ac:dyDescent="0.2">
      <c r="A17" s="32">
        <v>1600</v>
      </c>
      <c r="B17" t="s">
        <v>801</v>
      </c>
      <c r="C17" s="274">
        <f t="shared" si="0"/>
        <v>20678.990000000002</v>
      </c>
      <c r="D17" s="20">
        <f>'DOE25'!L252-F17-G17-H17</f>
        <v>20678.990000000002</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59256.93</v>
      </c>
      <c r="D22" s="242"/>
      <c r="E22" s="242"/>
      <c r="F22" s="242"/>
      <c r="G22" s="53">
        <f>'DOE25'!L256+'DOE25'!L337</f>
        <v>59256.93</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2911340</v>
      </c>
      <c r="D25" s="242"/>
      <c r="E25" s="242"/>
      <c r="F25" s="254"/>
      <c r="G25" s="252"/>
      <c r="H25" s="252"/>
      <c r="I25" s="253">
        <f>'DOE25'!L261+'DOE25'!L262+'DOE25'!L342+'DOE25'!L343</f>
        <v>2911340</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1113077.4900000002</v>
      </c>
      <c r="D29" s="282">
        <f>'DOE25'!L359+'DOE25'!L360+'DOE25'!L361-'DOE25'!I368-F29-G29-H29</f>
        <v>1008093.03</v>
      </c>
      <c r="E29" s="242"/>
      <c r="F29" s="243"/>
      <c r="G29" s="53">
        <f>'DOE25'!J359+'DOE25'!J360+'DOE25'!J361</f>
        <v>93983.6</v>
      </c>
      <c r="H29" s="53">
        <f>'DOE25'!K359+'DOE25'!K360+'DOE25'!K361</f>
        <v>11000.86</v>
      </c>
      <c r="I29" s="255"/>
    </row>
    <row r="30" spans="1:9" x14ac:dyDescent="0.2">
      <c r="A30" s="32"/>
      <c r="C30" s="275"/>
      <c r="D30" s="20"/>
      <c r="E30" s="279"/>
      <c r="F30" s="269"/>
      <c r="G30" s="53"/>
      <c r="H30" s="53"/>
      <c r="I30" s="255"/>
    </row>
    <row r="31" spans="1:9" x14ac:dyDescent="0.2">
      <c r="A31" s="32" t="s">
        <v>818</v>
      </c>
      <c r="B31" t="s">
        <v>817</v>
      </c>
      <c r="C31" s="274">
        <f>SUM(D31:I31)</f>
        <v>1407714.9199999997</v>
      </c>
      <c r="D31" s="20">
        <f>'DOE25'!L291+'DOE25'!L310+'DOE25'!L329+'DOE25'!L334+'DOE25'!L335+'DOE25'!L336-F31-G31-H31</f>
        <v>1359977.6199999996</v>
      </c>
      <c r="E31" s="242"/>
      <c r="F31" s="243"/>
      <c r="G31" s="53">
        <f>'DOE25'!J291+'DOE25'!J310+'DOE25'!J329+'DOE25'!J334+'DOE25'!J335+'DOE25'!J336</f>
        <v>47737.3</v>
      </c>
      <c r="H31" s="53">
        <f>'DOE25'!K291+'DOE25'!K310+'DOE25'!K329+'DOE25'!K334+'DOE25'!K335+'DOE25'!K336</f>
        <v>0</v>
      </c>
      <c r="I31" s="255"/>
    </row>
    <row r="32" spans="1:9" ht="12" thickBot="1" x14ac:dyDescent="0.25">
      <c r="C32" s="275"/>
      <c r="G32" s="250"/>
      <c r="H32" s="250"/>
      <c r="I32" s="257"/>
    </row>
    <row r="33" spans="1:9" ht="12" thickTop="1" x14ac:dyDescent="0.2">
      <c r="B33" t="s">
        <v>809</v>
      </c>
      <c r="D33" s="244">
        <f t="shared" ref="D33:I33" si="1">SUM(D5:D31)</f>
        <v>71375628.50999999</v>
      </c>
      <c r="E33" s="244">
        <f t="shared" si="1"/>
        <v>2117499.9500000002</v>
      </c>
      <c r="F33" s="244">
        <f t="shared" si="1"/>
        <v>0</v>
      </c>
      <c r="G33" s="244">
        <f t="shared" si="1"/>
        <v>609094.40000000014</v>
      </c>
      <c r="H33" s="244">
        <f t="shared" si="1"/>
        <v>225030.75</v>
      </c>
      <c r="I33" s="244">
        <f t="shared" si="1"/>
        <v>2911340</v>
      </c>
    </row>
    <row r="35" spans="1:9" ht="12" thickBot="1" x14ac:dyDescent="0.25">
      <c r="B35" s="250" t="s">
        <v>831</v>
      </c>
      <c r="D35" s="251">
        <f>E33</f>
        <v>2117499.9500000002</v>
      </c>
      <c r="E35" s="247"/>
      <c r="F35" s="328" t="s">
        <v>1617</v>
      </c>
      <c r="G35" s="329"/>
      <c r="H35" s="329"/>
      <c r="I35" s="329"/>
    </row>
    <row r="36" spans="1:9" ht="12" thickTop="1" x14ac:dyDescent="0.2">
      <c r="B36" t="s">
        <v>810</v>
      </c>
      <c r="D36" s="20">
        <f>D33</f>
        <v>71375628.50999999</v>
      </c>
      <c r="F36" s="331" t="s">
        <v>1614</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N</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5" t="s">
        <v>900</v>
      </c>
      <c r="C53" s="385"/>
      <c r="D53" s="385"/>
      <c r="E53" s="385"/>
      <c r="F53" s="385"/>
      <c r="G53" s="385"/>
      <c r="H53" s="385"/>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D37" sqref="D37:E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Bedford</v>
      </c>
      <c r="B2" s="126">
        <f>'DOE25'!B2</f>
        <v>41</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34910887.030000001</v>
      </c>
      <c r="G4" s="299">
        <f>'DOE25'!L212+'DOE25'!L291</f>
        <v>34910887.030000001</v>
      </c>
      <c r="H4" s="340">
        <f>F4-G4</f>
        <v>0</v>
      </c>
      <c r="I4" s="386"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374">
        <v>566366.28</v>
      </c>
      <c r="E5" s="374"/>
      <c r="F5" s="303">
        <f>D5+E5</f>
        <v>566366.28</v>
      </c>
      <c r="G5" s="293"/>
      <c r="H5" s="293"/>
      <c r="I5" s="387"/>
      <c r="N5"/>
    </row>
    <row r="6" spans="1:18" x14ac:dyDescent="0.2">
      <c r="A6" s="126" t="str" cm="1">
        <f t="array" ref="A6">IFERROR(INDEX('School Tables'!$A$4:$G$325,'School Tables'!$J4,3),"")</f>
        <v>McKelvie Intermediate School</v>
      </c>
      <c r="B6" s="300">
        <f>IFERROR(VLOOKUP(A6,'School Tables'!$C$3:$D$365,2,FALSE),"")</f>
        <v>21005</v>
      </c>
      <c r="C6" s="293" t="str">
        <f>IFERROR(INDEX('School Tables'!$B$3:$B$365,MATCH('School Level Expenditures'!B6,'School Tables'!$D$3:$D$365,0)),"")</f>
        <v>Bedford</v>
      </c>
      <c r="D6" s="374">
        <f>77.95+68500.95+7266931.79-21011.83-181237.21+394268.52+832297.16+102310.72+1608855.66+410564.3+116678.52</f>
        <v>10598236.530000001</v>
      </c>
      <c r="E6" s="374">
        <f>1721+171031.13+12683.58</f>
        <v>185435.71</v>
      </c>
      <c r="F6" s="303">
        <f t="shared" ref="F6:F20" si="0">D6+E6</f>
        <v>10783672.240000002</v>
      </c>
      <c r="G6" s="293"/>
      <c r="H6" s="293"/>
      <c r="I6" s="387"/>
      <c r="N6"/>
    </row>
    <row r="7" spans="1:18" x14ac:dyDescent="0.2">
      <c r="A7" s="126" t="str" cm="1">
        <f t="array" ref="A7">IFERROR(INDEX('School Tables'!$A$4:$G$325,'School Tables'!$J5,3),"")</f>
        <v>Memorial School (Bedford)</v>
      </c>
      <c r="B7" s="300">
        <f>IFERROR(VLOOKUP(A7,'School Tables'!$C$3:$D$365,2,FALSE),"")</f>
        <v>20990</v>
      </c>
      <c r="C7" s="293" t="str">
        <f>IFERROR(INDEX('School Tables'!$B$3:$B$365,MATCH('School Level Expenditures'!B7,'School Tables'!$D$3:$D$365,0)),"")</f>
        <v>Bedford</v>
      </c>
      <c r="D7" s="374">
        <f>53.59+1011.89+49706+4784985.08+9.08-13789.02-118936.92+260913.82+491079.38+66385.39+1056596.31-0.01+166116.53+46934.81+0.03</f>
        <v>6791065.9600000018</v>
      </c>
      <c r="E7" s="374">
        <f>143450.15+117583.9+8323.6+20636.03</f>
        <v>289993.67999999993</v>
      </c>
      <c r="F7" s="303">
        <f t="shared" si="0"/>
        <v>7081059.6400000015</v>
      </c>
      <c r="G7" s="293"/>
      <c r="H7" s="293"/>
      <c r="I7" s="341"/>
      <c r="N7"/>
    </row>
    <row r="8" spans="1:18" x14ac:dyDescent="0.2">
      <c r="A8" s="126" t="str" cm="1">
        <f t="array" ref="A8">IFERROR(INDEX('School Tables'!$A$4:$G$325,'School Tables'!$J6,3),"")</f>
        <v>Peter Woodbury School</v>
      </c>
      <c r="B8" s="300">
        <f>IFERROR(VLOOKUP(A8,'School Tables'!$C$3:$D$365,2,FALSE),"")</f>
        <v>21000</v>
      </c>
      <c r="C8" s="293" t="str">
        <f>IFERROR(INDEX('School Tables'!$B$3:$B$365,MATCH('School Level Expenditures'!B8,'School Tables'!$D$3:$D$365,0)),"")</f>
        <v>Bedford</v>
      </c>
      <c r="D8" s="374">
        <f>3750+53.59+47094.4+5133137.76-14445.64-124600.58+284155.8+603749.49+1175786.8+224197.18+63548.24</f>
        <v>7396427.04</v>
      </c>
      <c r="E8" s="374">
        <f>41938.97+117583.9+8719.96</f>
        <v>168242.83</v>
      </c>
      <c r="F8" s="303">
        <f t="shared" si="0"/>
        <v>7564669.8700000001</v>
      </c>
      <c r="G8" s="293"/>
      <c r="H8" s="293"/>
      <c r="I8" s="341"/>
      <c r="N8"/>
    </row>
    <row r="9" spans="1:18" x14ac:dyDescent="0.2">
      <c r="A9" s="126" t="str" cm="1">
        <f t="array" ref="A9">IFERROR(INDEX('School Tables'!$A$4:$G$325,'School Tables'!$J7,3),"")</f>
        <v>Riddle Brook School</v>
      </c>
      <c r="B9" s="300">
        <f>IFERROR(VLOOKUP(A9,'School Tables'!$C$3:$D$365,2,FALSE),"")</f>
        <v>27680</v>
      </c>
      <c r="C9" s="293" t="str">
        <f>IFERROR(INDEX('School Tables'!$B$3:$B$365,MATCH('School Level Expenditures'!B9,'School Tables'!$D$3:$D$365,0)),"")</f>
        <v>Bedford</v>
      </c>
      <c r="D9" s="374">
        <f>58.46+51422.08+6023174.96-16415.5-141591.57+331161.88+675905.3+75985.96+78312.9+1366702.53+254385.44+72151.94</f>
        <v>8771254.379999999</v>
      </c>
      <c r="E9" s="374">
        <f>5682.23+128273.34+9909.05</f>
        <v>143864.62</v>
      </c>
      <c r="F9" s="303">
        <f t="shared" si="0"/>
        <v>8915118.9999999981</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34123350.189999998</v>
      </c>
      <c r="E21" s="338">
        <f>SUM(E5:E20)</f>
        <v>787536.83999999985</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12168920.51</v>
      </c>
      <c r="G24" s="299">
        <f>'DOE25'!L230+'DOE25'!L310</f>
        <v>12168920.51</v>
      </c>
      <c r="H24" s="340">
        <f>F24-G24</f>
        <v>0</v>
      </c>
      <c r="I24" s="386" t="str">
        <f>IF(H24=0,"","ISSUES!! Please review page 8 and 12 totals in comparison with total on this page")</f>
        <v/>
      </c>
      <c r="N24"/>
    </row>
    <row r="25" spans="1:14" x14ac:dyDescent="0.2">
      <c r="A25" s="126" t="s">
        <v>1548</v>
      </c>
      <c r="B25" s="300">
        <v>99999</v>
      </c>
      <c r="C25" s="293" t="s">
        <v>1548</v>
      </c>
      <c r="D25" s="374">
        <v>174999.36</v>
      </c>
      <c r="E25" s="374"/>
      <c r="F25" s="303">
        <f>D25+E25</f>
        <v>174999.36</v>
      </c>
      <c r="G25" s="293"/>
      <c r="H25" s="293"/>
      <c r="I25" s="387"/>
      <c r="N25"/>
    </row>
    <row r="26" spans="1:14" x14ac:dyDescent="0.2">
      <c r="A26" s="126" t="str" cm="1">
        <f t="array" ref="A26">IFERROR(INDEX('School Tables'!$L$4:$R$75,'School Tables'!$U4,3),"")</f>
        <v>Ross A. Lurgio Middle School</v>
      </c>
      <c r="B26" s="300">
        <f>IFERROR(VLOOKUP(A26,'School Tables'!$N$4:$O$75,2,FALSE),"")</f>
        <v>28560</v>
      </c>
      <c r="C26" s="293" t="str">
        <f>IFERROR(INDEX('School Tables'!$M$4:$M$75,MATCH('School Level Expenditures'!A26,'School Tables'!$N$4:$N$75,0)),"")</f>
        <v>Bedford</v>
      </c>
      <c r="D26" s="374">
        <f>15597.9+77.95+74092.53+7893757.71-174999.36+466749.09+1049240.44+92194.56+1879247.7+526931.5</f>
        <v>11822890.02</v>
      </c>
      <c r="E26" s="374">
        <v>171031.13</v>
      </c>
      <c r="F26" s="303">
        <f t="shared" ref="F26:F32" si="1">D26+E26</f>
        <v>11993921.15</v>
      </c>
      <c r="G26" s="293"/>
      <c r="H26" s="293"/>
      <c r="I26" s="387"/>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11997889.379999999</v>
      </c>
      <c r="E33" s="338">
        <f>SUM(E25:E32)</f>
        <v>171031.13</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26042189.929999992</v>
      </c>
      <c r="G36" s="299">
        <f>'DOE25'!L248+'DOE25'!L329</f>
        <v>26042189.930000003</v>
      </c>
      <c r="H36" s="340">
        <f>F36-G36</f>
        <v>0</v>
      </c>
      <c r="I36" s="386" t="str">
        <f>IF(H36=0,"","ISSUES!! Please review page 9 and 13 totals in comparison with total on this page")</f>
        <v/>
      </c>
      <c r="N36"/>
    </row>
    <row r="37" spans="1:14" x14ac:dyDescent="0.2">
      <c r="A37" s="126" t="s">
        <v>1548</v>
      </c>
      <c r="B37" s="300">
        <v>99999</v>
      </c>
      <c r="C37" s="293" t="s">
        <v>1548</v>
      </c>
      <c r="D37" s="374">
        <f>1514079.33+28251+105427.8+3074.96</f>
        <v>1650833.09</v>
      </c>
      <c r="E37" s="374"/>
      <c r="F37" s="303">
        <f t="shared" ref="F37:F42" si="2">D37+E37</f>
        <v>1650833.09</v>
      </c>
      <c r="G37" s="293"/>
      <c r="H37" s="293"/>
      <c r="I37" s="387"/>
      <c r="N37"/>
    </row>
    <row r="38" spans="1:14" x14ac:dyDescent="0.2">
      <c r="A38" s="126" t="str" cm="1">
        <f t="array" ref="A38">IFERROR(INDEX('School Tables'!$W$4:$AC$100,'School Tables'!$AF4,3),"")</f>
        <v>Bedford High School</v>
      </c>
      <c r="B38" s="300">
        <f>IFERROR(VLOOKUP(A38,'School Tables'!$Y$4:$Z$100,2,FALSE),"")</f>
        <v>28555</v>
      </c>
      <c r="C38" s="293" t="str">
        <f>IFERROR(INDEX('School Tables'!$X$4:$X$100,MATCH('School Level Expenditures'!A38,'School Tables'!$Y$4:$Y$100,0)),"")</f>
        <v>Bedford</v>
      </c>
      <c r="D38" s="374">
        <f>32041.14+218553.38+17935607.04-15360.41-18622.25-28251-1514079.33-105427.8-3074.96+883054.73+1991328.38+184287.74+3438189.78+1008948.89-20.21-0.03</f>
        <v>24007175.089999992</v>
      </c>
      <c r="E38" s="374">
        <v>384181.75</v>
      </c>
      <c r="F38" s="303">
        <f t="shared" si="2"/>
        <v>24391356.839999992</v>
      </c>
      <c r="G38" s="293"/>
      <c r="H38" s="293"/>
      <c r="I38" s="387"/>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25658008.179999992</v>
      </c>
      <c r="E43" s="339">
        <f>SUM(E37:E42)</f>
        <v>384181.75</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5"/>
      <c r="B58" s="385"/>
      <c r="C58" s="385"/>
      <c r="D58" s="385"/>
      <c r="E58" s="385"/>
      <c r="F58" s="385"/>
      <c r="G58" s="385"/>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M28" sqref="M2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Bedford</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2615599.63</v>
      </c>
      <c r="D8" s="95">
        <f>'DOE25'!G9</f>
        <v>110</v>
      </c>
      <c r="E8" s="95">
        <f>'DOE25'!H9</f>
        <v>0</v>
      </c>
      <c r="F8" s="95">
        <f>'DOE25'!I9</f>
        <v>0</v>
      </c>
      <c r="G8" s="95">
        <f>'DOE25'!J9</f>
        <v>0</v>
      </c>
      <c r="H8" s="124">
        <f>SUM(C8:G8)</f>
        <v>2615709.63</v>
      </c>
      <c r="I8" s="124"/>
    </row>
    <row r="9" spans="1:9" x14ac:dyDescent="0.2">
      <c r="A9" s="1" t="s">
        <v>140</v>
      </c>
      <c r="B9" s="6">
        <v>110</v>
      </c>
      <c r="C9" s="95">
        <f>'DOE25'!F10</f>
        <v>5272696.21</v>
      </c>
      <c r="D9" s="95">
        <f>'DOE25'!G10</f>
        <v>0</v>
      </c>
      <c r="E9" s="95">
        <f>'DOE25'!H10</f>
        <v>0</v>
      </c>
      <c r="F9" s="95">
        <f>'DOE25'!I10</f>
        <v>0</v>
      </c>
      <c r="G9" s="95">
        <f>'DOE25'!J10</f>
        <v>0</v>
      </c>
      <c r="H9" s="124">
        <f t="shared" ref="H9:H18" si="0">SUM(C9:G9)</f>
        <v>5272696.21</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0</v>
      </c>
      <c r="D11" s="95">
        <f>'DOE25'!G12</f>
        <v>349175.69</v>
      </c>
      <c r="E11" s="95">
        <f>'DOE25'!H12</f>
        <v>0</v>
      </c>
      <c r="F11" s="95">
        <f>'DOE25'!I12</f>
        <v>0</v>
      </c>
      <c r="G11" s="95">
        <f>'DOE25'!J12</f>
        <v>0</v>
      </c>
      <c r="H11" s="124">
        <f t="shared" si="0"/>
        <v>349175.69</v>
      </c>
      <c r="I11" s="124"/>
    </row>
    <row r="12" spans="1:9" x14ac:dyDescent="0.2">
      <c r="A12" s="1" t="s">
        <v>143</v>
      </c>
      <c r="B12" s="6">
        <v>140</v>
      </c>
      <c r="C12" s="95">
        <f>'DOE25'!F13</f>
        <v>51380.33</v>
      </c>
      <c r="D12" s="95">
        <f>'DOE25'!G13</f>
        <v>317696.68000000005</v>
      </c>
      <c r="E12" s="95">
        <f>'DOE25'!H13</f>
        <v>559554.86</v>
      </c>
      <c r="F12" s="95">
        <f>'DOE25'!I13</f>
        <v>0</v>
      </c>
      <c r="G12" s="95">
        <f>'DOE25'!J13</f>
        <v>8626.65</v>
      </c>
      <c r="H12" s="124">
        <f t="shared" si="0"/>
        <v>937258.52000000014</v>
      </c>
      <c r="I12" s="124"/>
    </row>
    <row r="13" spans="1:9" x14ac:dyDescent="0.2">
      <c r="A13" s="1" t="s">
        <v>144</v>
      </c>
      <c r="B13" s="6">
        <v>150</v>
      </c>
      <c r="C13" s="95">
        <f>'DOE25'!F14</f>
        <v>302243.14999999997</v>
      </c>
      <c r="D13" s="95">
        <f>'DOE25'!G14</f>
        <v>0</v>
      </c>
      <c r="E13" s="95">
        <f>'DOE25'!H14</f>
        <v>0</v>
      </c>
      <c r="F13" s="95">
        <f>'DOE25'!I14</f>
        <v>0</v>
      </c>
      <c r="G13" s="95">
        <f>'DOE25'!J14</f>
        <v>0</v>
      </c>
      <c r="H13" s="124">
        <f t="shared" si="0"/>
        <v>302243.14999999997</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5537.62</v>
      </c>
      <c r="D15" s="95">
        <f>'DOE25'!G16</f>
        <v>0</v>
      </c>
      <c r="E15" s="95">
        <f>'DOE25'!H16</f>
        <v>0</v>
      </c>
      <c r="F15" s="95">
        <f>'DOE25'!I16</f>
        <v>0</v>
      </c>
      <c r="G15" s="24" t="s">
        <v>288</v>
      </c>
      <c r="H15" s="124">
        <f t="shared" si="0"/>
        <v>5537.62</v>
      </c>
      <c r="I15" s="124"/>
    </row>
    <row r="16" spans="1:9" x14ac:dyDescent="0.2">
      <c r="A16" s="1" t="s">
        <v>147</v>
      </c>
      <c r="B16" s="6">
        <v>180</v>
      </c>
      <c r="C16" s="95">
        <f>'DOE25'!F17</f>
        <v>33428.06</v>
      </c>
      <c r="D16" s="95">
        <f>'DOE25'!G17</f>
        <v>0</v>
      </c>
      <c r="E16" s="95">
        <f>'DOE25'!H17</f>
        <v>159.6</v>
      </c>
      <c r="F16" s="95">
        <f>'DOE25'!I17</f>
        <v>0</v>
      </c>
      <c r="G16" s="95">
        <f>'DOE25'!J17</f>
        <v>0</v>
      </c>
      <c r="H16" s="124">
        <f t="shared" si="0"/>
        <v>33587.659999999996</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8280885</v>
      </c>
      <c r="D18" s="41">
        <f>SUM(D8:D17)</f>
        <v>666982.37000000011</v>
      </c>
      <c r="E18" s="41">
        <f>SUM(E8:E17)</f>
        <v>559714.46</v>
      </c>
      <c r="F18" s="41">
        <f>SUM(F8:F17)</f>
        <v>0</v>
      </c>
      <c r="G18" s="41">
        <f>SUM(G8:G17)</f>
        <v>8626.65</v>
      </c>
      <c r="H18" s="41">
        <f t="shared" si="0"/>
        <v>9516208.4800000023</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0</v>
      </c>
      <c r="E21" s="95">
        <f>'DOE25'!H22</f>
        <v>546352.18999999994</v>
      </c>
      <c r="F21" s="95">
        <f>'DOE25'!I22</f>
        <v>0</v>
      </c>
      <c r="G21" s="95">
        <f>'DOE25'!J22</f>
        <v>0</v>
      </c>
      <c r="H21" s="124">
        <f t="shared" ref="H21:H31" si="1">SUM(C21:G21)</f>
        <v>546352.18999999994</v>
      </c>
      <c r="I21" s="124"/>
    </row>
    <row r="22" spans="1:9" x14ac:dyDescent="0.2">
      <c r="A22" s="1" t="s">
        <v>151</v>
      </c>
      <c r="B22" s="6">
        <v>410</v>
      </c>
      <c r="C22" s="95">
        <f>'DOE25'!F23</f>
        <v>0</v>
      </c>
      <c r="D22" s="95">
        <f>'DOE25'!G23</f>
        <v>0</v>
      </c>
      <c r="E22" s="95">
        <f>'DOE25'!H23</f>
        <v>0</v>
      </c>
      <c r="F22" s="95">
        <f>'DOE25'!I23</f>
        <v>0</v>
      </c>
      <c r="G22" s="95">
        <f>'DOE25'!J23</f>
        <v>0</v>
      </c>
      <c r="H22" s="124">
        <f t="shared" si="1"/>
        <v>0</v>
      </c>
      <c r="I22" s="124"/>
    </row>
    <row r="23" spans="1:9" x14ac:dyDescent="0.2">
      <c r="A23" s="1" t="s">
        <v>152</v>
      </c>
      <c r="B23" s="6">
        <v>420</v>
      </c>
      <c r="C23" s="95">
        <f>'DOE25'!F24</f>
        <v>592412.43999999994</v>
      </c>
      <c r="D23" s="95">
        <f>'DOE25'!G24</f>
        <v>31069.91</v>
      </c>
      <c r="E23" s="95">
        <f>'DOE25'!H24</f>
        <v>13362.27</v>
      </c>
      <c r="F23" s="95">
        <f>'DOE25'!I24</f>
        <v>0</v>
      </c>
      <c r="G23" s="95">
        <f>'DOE25'!J24</f>
        <v>0</v>
      </c>
      <c r="H23" s="124">
        <f t="shared" si="1"/>
        <v>636844.62</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4364114.419999999</v>
      </c>
      <c r="D27" s="95">
        <f>'DOE25'!G28</f>
        <v>0</v>
      </c>
      <c r="E27" s="95">
        <f>'DOE25'!H28</f>
        <v>0</v>
      </c>
      <c r="F27" s="95">
        <f>'DOE25'!I28</f>
        <v>0</v>
      </c>
      <c r="G27" s="24" t="s">
        <v>288</v>
      </c>
      <c r="H27" s="124">
        <f t="shared" si="1"/>
        <v>4364114.419999999</v>
      </c>
      <c r="I27" s="124"/>
    </row>
    <row r="28" spans="1:9" x14ac:dyDescent="0.2">
      <c r="A28" s="1" t="s">
        <v>157</v>
      </c>
      <c r="B28" s="6">
        <v>470</v>
      </c>
      <c r="C28" s="95">
        <f>'DOE25'!F29</f>
        <v>0</v>
      </c>
      <c r="D28" s="95">
        <f>'DOE25'!G29</f>
        <v>0</v>
      </c>
      <c r="E28" s="95">
        <f>'DOE25'!H29</f>
        <v>0</v>
      </c>
      <c r="F28" s="95">
        <f>'DOE25'!I29</f>
        <v>0</v>
      </c>
      <c r="G28" s="24" t="s">
        <v>288</v>
      </c>
      <c r="H28" s="124">
        <f t="shared" si="1"/>
        <v>0</v>
      </c>
      <c r="I28" s="124"/>
    </row>
    <row r="29" spans="1:9" x14ac:dyDescent="0.2">
      <c r="A29" s="1" t="s">
        <v>158</v>
      </c>
      <c r="B29" s="6">
        <v>480</v>
      </c>
      <c r="C29" s="95">
        <f>'DOE25'!F30</f>
        <v>128817.03</v>
      </c>
      <c r="D29" s="95">
        <f>'DOE25'!G30</f>
        <v>113248.8</v>
      </c>
      <c r="E29" s="95">
        <f>'DOE25'!H30</f>
        <v>0</v>
      </c>
      <c r="F29" s="95">
        <f>'DOE25'!I30</f>
        <v>0</v>
      </c>
      <c r="G29" s="24" t="s">
        <v>288</v>
      </c>
      <c r="H29" s="124">
        <f t="shared" si="1"/>
        <v>242065.83000000002</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5085343.8899999997</v>
      </c>
      <c r="D31" s="41">
        <f>SUM(D21:D30)</f>
        <v>144318.71</v>
      </c>
      <c r="E31" s="41">
        <f>SUM(E21:E30)</f>
        <v>559714.46</v>
      </c>
      <c r="F31" s="41">
        <f>SUM(F21:F30)</f>
        <v>0</v>
      </c>
      <c r="G31" s="41">
        <f>SUM(G21:G30)</f>
        <v>0</v>
      </c>
      <c r="H31" s="41">
        <f t="shared" si="1"/>
        <v>5789377.0599999996</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5537.62</v>
      </c>
      <c r="D34" s="95">
        <f>'DOE25'!G35</f>
        <v>0</v>
      </c>
      <c r="E34" s="95">
        <f>'DOE25'!H35</f>
        <v>0</v>
      </c>
      <c r="F34" s="95">
        <f>'DOE25'!I35</f>
        <v>0</v>
      </c>
      <c r="G34" s="24" t="s">
        <v>288</v>
      </c>
      <c r="H34" s="124">
        <f t="shared" ref="H34:H51" si="2">SUM(C34:G34)</f>
        <v>5537.62</v>
      </c>
      <c r="I34" s="124"/>
    </row>
    <row r="35" spans="1:9" x14ac:dyDescent="0.2">
      <c r="A35" s="1" t="s">
        <v>850</v>
      </c>
      <c r="B35" s="6">
        <v>752</v>
      </c>
      <c r="C35" s="95">
        <f>'DOE25'!F36</f>
        <v>33428.06</v>
      </c>
      <c r="D35" s="95">
        <f>'DOE25'!G36</f>
        <v>0</v>
      </c>
      <c r="E35" s="95">
        <f>'DOE25'!H36</f>
        <v>0</v>
      </c>
      <c r="F35" s="95">
        <f>'DOE25'!I36</f>
        <v>0</v>
      </c>
      <c r="G35" s="24" t="s">
        <v>288</v>
      </c>
      <c r="H35" s="124">
        <f t="shared" si="2"/>
        <v>33428.06</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522663.66</v>
      </c>
      <c r="E39" s="24" t="s">
        <v>288</v>
      </c>
      <c r="F39" s="24" t="s">
        <v>288</v>
      </c>
      <c r="G39" s="24" t="s">
        <v>288</v>
      </c>
      <c r="H39" s="124">
        <f t="shared" si="2"/>
        <v>522663.66</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0</v>
      </c>
      <c r="D43" s="95">
        <f>'DOE25'!G44</f>
        <v>0</v>
      </c>
      <c r="E43" s="95">
        <f>'DOE25'!H44</f>
        <v>0</v>
      </c>
      <c r="F43" s="95">
        <f>'DOE25'!I44</f>
        <v>0</v>
      </c>
      <c r="G43" s="24" t="s">
        <v>288</v>
      </c>
      <c r="H43" s="124">
        <f t="shared" si="2"/>
        <v>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0</v>
      </c>
      <c r="D45" s="24" t="s">
        <v>288</v>
      </c>
      <c r="E45" s="24" t="s">
        <v>288</v>
      </c>
      <c r="F45" s="24" t="s">
        <v>288</v>
      </c>
      <c r="G45" s="24" t="s">
        <v>288</v>
      </c>
      <c r="H45" s="124">
        <f t="shared" si="2"/>
        <v>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0</v>
      </c>
      <c r="F47" s="95">
        <f>'DOE25'!I48</f>
        <v>0</v>
      </c>
      <c r="G47" s="95">
        <f>'DOE25'!J48</f>
        <v>8626.65</v>
      </c>
      <c r="H47" s="124">
        <f t="shared" si="2"/>
        <v>8626.65</v>
      </c>
      <c r="I47" s="124"/>
    </row>
    <row r="48" spans="1:9" x14ac:dyDescent="0.2">
      <c r="A48" s="1" t="s">
        <v>882</v>
      </c>
      <c r="B48" s="6">
        <v>753</v>
      </c>
      <c r="C48" s="95">
        <f>'DOE25'!F49</f>
        <v>405087.52</v>
      </c>
      <c r="D48" s="95">
        <f>'DOE25'!G49</f>
        <v>0</v>
      </c>
      <c r="E48" s="95">
        <f>'DOE25'!H49</f>
        <v>0</v>
      </c>
      <c r="F48" s="95">
        <f>'DOE25'!I49</f>
        <v>0</v>
      </c>
      <c r="G48" s="95">
        <f>'DOE25'!J49</f>
        <v>0</v>
      </c>
      <c r="H48" s="124">
        <f t="shared" si="2"/>
        <v>405087.52</v>
      </c>
      <c r="I48" s="124"/>
    </row>
    <row r="49" spans="1:9" ht="12" thickBot="1" x14ac:dyDescent="0.25">
      <c r="A49" s="29" t="s">
        <v>883</v>
      </c>
      <c r="B49" s="71">
        <v>770</v>
      </c>
      <c r="C49" s="95">
        <f>'DOE25'!F50</f>
        <v>2751487.91</v>
      </c>
      <c r="D49" s="24" t="s">
        <v>288</v>
      </c>
      <c r="E49" s="24" t="s">
        <v>288</v>
      </c>
      <c r="F49" s="24" t="s">
        <v>288</v>
      </c>
      <c r="G49" s="24" t="s">
        <v>288</v>
      </c>
      <c r="H49" s="124">
        <f t="shared" si="2"/>
        <v>2751487.91</v>
      </c>
      <c r="I49" s="124"/>
    </row>
    <row r="50" spans="1:9" ht="12.75" thickTop="1" thickBot="1" x14ac:dyDescent="0.25">
      <c r="A50" s="38" t="s">
        <v>884</v>
      </c>
      <c r="B50" s="48"/>
      <c r="C50" s="41">
        <f>SUM(C34:C49)</f>
        <v>3195541.1100000003</v>
      </c>
      <c r="D50" s="41">
        <f>SUM(D34:D49)</f>
        <v>522663.66</v>
      </c>
      <c r="E50" s="41">
        <f>SUM(E34:E49)</f>
        <v>0</v>
      </c>
      <c r="F50" s="41">
        <f>SUM(F34:F49)</f>
        <v>0</v>
      </c>
      <c r="G50" s="41">
        <f>SUM(G34:G49)</f>
        <v>8626.65</v>
      </c>
      <c r="H50" s="41">
        <f t="shared" si="2"/>
        <v>3726831.4200000004</v>
      </c>
      <c r="I50" s="124"/>
    </row>
    <row r="51" spans="1:9" ht="12" thickTop="1" x14ac:dyDescent="0.2">
      <c r="A51" s="38" t="s">
        <v>885</v>
      </c>
      <c r="B51" s="2"/>
      <c r="C51" s="41">
        <f>C50+C31</f>
        <v>8280885</v>
      </c>
      <c r="D51" s="41">
        <f>D50+D31</f>
        <v>666982.37</v>
      </c>
      <c r="E51" s="41">
        <f>E50+E31</f>
        <v>559714.46</v>
      </c>
      <c r="F51" s="41">
        <f>F50+F31</f>
        <v>0</v>
      </c>
      <c r="G51" s="41">
        <f>G50+G31</f>
        <v>8626.65</v>
      </c>
      <c r="H51" s="41">
        <f t="shared" si="2"/>
        <v>9516208.4799999986</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51419456</v>
      </c>
      <c r="D56" s="95">
        <f>'DOE25'!G60</f>
        <v>0</v>
      </c>
      <c r="E56" s="95">
        <f>'DOE25'!H60</f>
        <v>0</v>
      </c>
      <c r="F56" s="95">
        <f>'DOE25'!I60</f>
        <v>0</v>
      </c>
      <c r="G56" s="95">
        <f>'DOE25'!J60</f>
        <v>0</v>
      </c>
      <c r="H56" s="124">
        <f t="shared" ref="H56:H63" si="3">SUM(C56:G56)</f>
        <v>51419456</v>
      </c>
      <c r="I56"/>
    </row>
    <row r="57" spans="1:9" x14ac:dyDescent="0.2">
      <c r="A57" s="1" t="s">
        <v>164</v>
      </c>
      <c r="B57" s="6" t="s">
        <v>165</v>
      </c>
      <c r="C57" s="95">
        <f>'DOE25'!F79</f>
        <v>1476144</v>
      </c>
      <c r="D57" s="24" t="s">
        <v>288</v>
      </c>
      <c r="E57" s="95">
        <f>'DOE25'!H79</f>
        <v>12242.73</v>
      </c>
      <c r="F57" s="24" t="s">
        <v>288</v>
      </c>
      <c r="G57" s="24" t="s">
        <v>288</v>
      </c>
      <c r="H57" s="124">
        <f t="shared" si="3"/>
        <v>1488386.73</v>
      </c>
      <c r="I57"/>
    </row>
    <row r="58" spans="1:9" x14ac:dyDescent="0.2">
      <c r="A58" s="1" t="s">
        <v>166</v>
      </c>
      <c r="B58" s="6" t="s">
        <v>167</v>
      </c>
      <c r="C58" s="95">
        <f>'DOE25'!F94</f>
        <v>872.42000000000007</v>
      </c>
      <c r="D58" s="24" t="s">
        <v>288</v>
      </c>
      <c r="E58" s="95">
        <f>'DOE25'!H94</f>
        <v>0</v>
      </c>
      <c r="F58" s="24" t="s">
        <v>288</v>
      </c>
      <c r="G58" s="24" t="s">
        <v>288</v>
      </c>
      <c r="H58" s="124">
        <f t="shared" si="3"/>
        <v>872.42000000000007</v>
      </c>
      <c r="I58"/>
    </row>
    <row r="59" spans="1:9" x14ac:dyDescent="0.2">
      <c r="A59" s="69" t="s">
        <v>168</v>
      </c>
      <c r="B59" s="37" t="s">
        <v>169</v>
      </c>
      <c r="C59" s="95">
        <f>'DOE25'!F96</f>
        <v>2837.19</v>
      </c>
      <c r="D59" s="95">
        <f>'DOE25'!G96</f>
        <v>0</v>
      </c>
      <c r="E59" s="95">
        <f>'DOE25'!H96</f>
        <v>0</v>
      </c>
      <c r="F59" s="95">
        <f>'DOE25'!I96</f>
        <v>0</v>
      </c>
      <c r="G59" s="95">
        <f>'DOE25'!J96</f>
        <v>0</v>
      </c>
      <c r="H59" s="124">
        <f t="shared" si="3"/>
        <v>2837.19</v>
      </c>
      <c r="I59"/>
    </row>
    <row r="60" spans="1:9" x14ac:dyDescent="0.2">
      <c r="A60" s="1" t="s">
        <v>170</v>
      </c>
      <c r="B60" s="118" t="s">
        <v>171</v>
      </c>
      <c r="C60" s="24" t="s">
        <v>288</v>
      </c>
      <c r="D60" s="95">
        <f>'DOE25'!G97</f>
        <v>477191.09</v>
      </c>
      <c r="E60" s="24" t="s">
        <v>288</v>
      </c>
      <c r="F60" s="24" t="s">
        <v>288</v>
      </c>
      <c r="G60" s="24" t="s">
        <v>288</v>
      </c>
      <c r="H60" s="124">
        <f t="shared" si="3"/>
        <v>477191.09</v>
      </c>
      <c r="I60"/>
    </row>
    <row r="61" spans="1:9" ht="12" thickBot="1" x14ac:dyDescent="0.25">
      <c r="A61" s="1" t="s">
        <v>172</v>
      </c>
      <c r="B61" s="118" t="s">
        <v>173</v>
      </c>
      <c r="C61" s="95">
        <f>SUM('DOE25'!F98:F110)</f>
        <v>539554.88</v>
      </c>
      <c r="D61" s="95">
        <f>SUM('DOE25'!G98:G110)</f>
        <v>0</v>
      </c>
      <c r="E61" s="95">
        <f>SUM('DOE25'!H98:H110)</f>
        <v>111979.43</v>
      </c>
      <c r="F61" s="95">
        <f>SUM('DOE25'!I98:I110)</f>
        <v>0</v>
      </c>
      <c r="G61" s="95">
        <f>SUM('DOE25'!J98:J110)</f>
        <v>0</v>
      </c>
      <c r="H61" s="124">
        <f t="shared" si="3"/>
        <v>651534.31000000006</v>
      </c>
      <c r="I61"/>
    </row>
    <row r="62" spans="1:9" ht="12.75" thickTop="1" thickBot="1" x14ac:dyDescent="0.25">
      <c r="A62" s="29" t="s">
        <v>174</v>
      </c>
      <c r="B62" s="6"/>
      <c r="C62" s="130">
        <f>SUM(C57:C61)</f>
        <v>2019408.4899999998</v>
      </c>
      <c r="D62" s="130">
        <f>SUM(D57:D61)</f>
        <v>477191.09</v>
      </c>
      <c r="E62" s="130">
        <f>SUM(E57:E61)</f>
        <v>124222.15999999999</v>
      </c>
      <c r="F62" s="130">
        <f>SUM(F57:F61)</f>
        <v>0</v>
      </c>
      <c r="G62" s="130">
        <f>SUM(G57:G61)</f>
        <v>0</v>
      </c>
      <c r="H62" s="124">
        <f t="shared" si="3"/>
        <v>2620821.7399999998</v>
      </c>
      <c r="I62"/>
    </row>
    <row r="63" spans="1:9" ht="12" thickTop="1" x14ac:dyDescent="0.2">
      <c r="A63" s="29" t="s">
        <v>175</v>
      </c>
      <c r="B63" s="6"/>
      <c r="C63" s="22">
        <f>C56+C62</f>
        <v>53438864.490000002</v>
      </c>
      <c r="D63" s="22">
        <f>D56+D62</f>
        <v>477191.09</v>
      </c>
      <c r="E63" s="22">
        <f>E56+E62</f>
        <v>124222.15999999999</v>
      </c>
      <c r="F63" s="22">
        <f>F56+F62</f>
        <v>0</v>
      </c>
      <c r="G63" s="22">
        <f>G56+G62</f>
        <v>0</v>
      </c>
      <c r="H63" s="124">
        <f t="shared" si="3"/>
        <v>54040277.740000002</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10135089.689999999</v>
      </c>
      <c r="D66" s="24" t="s">
        <v>288</v>
      </c>
      <c r="E66" s="24" t="s">
        <v>288</v>
      </c>
      <c r="F66" s="24" t="s">
        <v>288</v>
      </c>
      <c r="G66" s="24" t="s">
        <v>288</v>
      </c>
      <c r="H66" s="124">
        <f t="shared" ref="H66:H81" si="4">SUM(C66:G66)</f>
        <v>10135089.689999999</v>
      </c>
      <c r="I66"/>
    </row>
    <row r="67" spans="1:9" x14ac:dyDescent="0.2">
      <c r="A67" s="1" t="s">
        <v>770</v>
      </c>
      <c r="B67" s="6">
        <v>3112</v>
      </c>
      <c r="C67" s="95">
        <f>'DOE25'!F118</f>
        <v>7789229</v>
      </c>
      <c r="D67" s="24"/>
      <c r="E67" s="24"/>
      <c r="F67" s="24"/>
      <c r="G67" s="24"/>
      <c r="H67" s="124">
        <f t="shared" si="4"/>
        <v>7789229</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5985.63</v>
      </c>
      <c r="D69" s="95">
        <f>'DOE25'!G120</f>
        <v>0</v>
      </c>
      <c r="E69" s="95">
        <f>'DOE25'!H120</f>
        <v>0</v>
      </c>
      <c r="F69" s="95">
        <f>'DOE25'!I120</f>
        <v>0</v>
      </c>
      <c r="G69" s="95">
        <f>'DOE25'!J120</f>
        <v>0</v>
      </c>
      <c r="H69" s="124">
        <f t="shared" si="4"/>
        <v>5985.63</v>
      </c>
      <c r="I69"/>
    </row>
    <row r="70" spans="1:9" ht="12" thickTop="1" x14ac:dyDescent="0.2">
      <c r="A70" s="29" t="s">
        <v>252</v>
      </c>
      <c r="B70" s="2"/>
      <c r="C70" s="139">
        <f>SUM(C66:C69)</f>
        <v>17930304.319999997</v>
      </c>
      <c r="D70" s="139">
        <f>D69</f>
        <v>0</v>
      </c>
      <c r="E70" s="139">
        <f>E69</f>
        <v>0</v>
      </c>
      <c r="F70" s="139">
        <f>F69</f>
        <v>0</v>
      </c>
      <c r="G70" s="139">
        <f>G69</f>
        <v>0</v>
      </c>
      <c r="H70" s="124">
        <f t="shared" si="4"/>
        <v>17930304.319999997</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473861.53</v>
      </c>
      <c r="D72" s="24" t="s">
        <v>288</v>
      </c>
      <c r="E72" s="24" t="s">
        <v>288</v>
      </c>
      <c r="F72" s="95">
        <f>'DOE25'!I123</f>
        <v>0</v>
      </c>
      <c r="G72" s="24" t="s">
        <v>288</v>
      </c>
      <c r="H72" s="124">
        <f t="shared" si="4"/>
        <v>473861.53</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1047518.07</v>
      </c>
      <c r="D75" s="24" t="s">
        <v>288</v>
      </c>
      <c r="E75" s="24" t="s">
        <v>288</v>
      </c>
      <c r="F75" s="24" t="s">
        <v>288</v>
      </c>
      <c r="G75" s="24" t="s">
        <v>288</v>
      </c>
      <c r="H75" s="124">
        <f t="shared" si="4"/>
        <v>1047518.07</v>
      </c>
      <c r="I75"/>
    </row>
    <row r="76" spans="1:9" x14ac:dyDescent="0.2">
      <c r="A76" s="1" t="s">
        <v>257</v>
      </c>
      <c r="B76" s="6" t="s">
        <v>179</v>
      </c>
      <c r="C76" s="95">
        <f>SUM('DOE25'!F127:F130)</f>
        <v>16308.2</v>
      </c>
      <c r="D76" s="24" t="s">
        <v>288</v>
      </c>
      <c r="E76" s="95">
        <f>SUM('DOE25'!H127:H130)</f>
        <v>0</v>
      </c>
      <c r="F76" s="95">
        <f>SUM('DOE25'!I127:I130)</f>
        <v>0</v>
      </c>
      <c r="G76" s="24" t="s">
        <v>288</v>
      </c>
      <c r="H76" s="124">
        <f t="shared" si="4"/>
        <v>16308.2</v>
      </c>
      <c r="I76"/>
    </row>
    <row r="77" spans="1:9" ht="12" thickBot="1" x14ac:dyDescent="0.25">
      <c r="A77" s="1" t="s">
        <v>258</v>
      </c>
      <c r="B77" s="6" t="s">
        <v>180</v>
      </c>
      <c r="C77" s="95">
        <f>SUM('DOE25'!F131:F135)</f>
        <v>0</v>
      </c>
      <c r="D77" s="95">
        <f>SUM('DOE25'!G131:G135)</f>
        <v>18608.23</v>
      </c>
      <c r="E77" s="95">
        <f>SUM('DOE25'!H131:H135)</f>
        <v>0</v>
      </c>
      <c r="F77" s="95">
        <f>SUM('DOE25'!I131:I135)</f>
        <v>0</v>
      </c>
      <c r="G77" s="95">
        <f>SUM('DOE25'!J131:J135)</f>
        <v>0</v>
      </c>
      <c r="H77" s="124">
        <f t="shared" si="4"/>
        <v>18608.23</v>
      </c>
      <c r="I77"/>
    </row>
    <row r="78" spans="1:9" ht="12.75" thickTop="1" thickBot="1" x14ac:dyDescent="0.25">
      <c r="A78" s="29" t="s">
        <v>259</v>
      </c>
      <c r="B78" s="6"/>
      <c r="C78" s="130">
        <f>SUM(C72:C77)</f>
        <v>1537687.8</v>
      </c>
      <c r="D78" s="130">
        <f>SUM(D72:D77)</f>
        <v>18608.23</v>
      </c>
      <c r="E78" s="130">
        <f>SUM(E72:E77)</f>
        <v>0</v>
      </c>
      <c r="F78" s="130">
        <f>SUM(F72:F77)</f>
        <v>0</v>
      </c>
      <c r="G78" s="130">
        <f>SUM(G72:G77)</f>
        <v>0</v>
      </c>
      <c r="H78" s="124">
        <f t="shared" si="4"/>
        <v>1556296.03</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19467992.119999997</v>
      </c>
      <c r="D81" s="130">
        <f>SUM(D79:D80)+D78+D70</f>
        <v>18608.23</v>
      </c>
      <c r="E81" s="130">
        <f>SUM(E79:E80)+E78+E70</f>
        <v>0</v>
      </c>
      <c r="F81" s="130">
        <f>SUM(F79:F80)+F78+F70</f>
        <v>0</v>
      </c>
      <c r="G81" s="130">
        <f>SUM(G79:G80)+G78+G70</f>
        <v>0</v>
      </c>
      <c r="H81" s="130">
        <f t="shared" si="4"/>
        <v>19486600.349999998</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417039.67</v>
      </c>
      <c r="D88" s="326">
        <f>SUM('DOE25'!G153:G162)</f>
        <v>1956724.56</v>
      </c>
      <c r="E88" s="326">
        <f>SUM('DOE25'!H153:H162)</f>
        <v>1342749.69</v>
      </c>
      <c r="F88" s="326">
        <f>SUM('DOE25'!I153:I162)</f>
        <v>0</v>
      </c>
      <c r="G88" s="24" t="s">
        <v>288</v>
      </c>
      <c r="H88" s="124">
        <f t="shared" si="5"/>
        <v>3716513.92</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417039.67</v>
      </c>
      <c r="D91" s="131">
        <f>SUM(D85:D90)</f>
        <v>1956724.56</v>
      </c>
      <c r="E91" s="131">
        <f>SUM(E85:E90)</f>
        <v>1342749.69</v>
      </c>
      <c r="F91" s="131">
        <f>SUM(F85:F90)</f>
        <v>0</v>
      </c>
      <c r="G91" s="24" t="s">
        <v>288</v>
      </c>
      <c r="H91" s="124">
        <f t="shared" si="5"/>
        <v>3716513.92</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0</v>
      </c>
      <c r="H96" s="124">
        <f t="shared" si="5"/>
        <v>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0</v>
      </c>
      <c r="E103" s="86">
        <f>SUM(E93:E102)</f>
        <v>0</v>
      </c>
      <c r="F103" s="86">
        <f>SUM(F93:F102)</f>
        <v>0</v>
      </c>
      <c r="G103" s="86">
        <f>SUM(G93:G102)</f>
        <v>0</v>
      </c>
      <c r="H103" s="86">
        <f t="shared" si="5"/>
        <v>0</v>
      </c>
    </row>
    <row r="104" spans="1:8" ht="12.75" thickTop="1" thickBot="1" x14ac:dyDescent="0.25">
      <c r="A104" s="33" t="s">
        <v>761</v>
      </c>
      <c r="C104" s="86">
        <f>C63+C81+C91+C103</f>
        <v>73323896.280000001</v>
      </c>
      <c r="D104" s="86">
        <f>D63+D81+D91+D103</f>
        <v>2452523.88</v>
      </c>
      <c r="E104" s="86">
        <f>E63+E81+E91+E103</f>
        <v>1466971.8499999999</v>
      </c>
      <c r="F104" s="86">
        <f>F63+F81+F91+F103</f>
        <v>0</v>
      </c>
      <c r="G104" s="86">
        <f>G63+G81+G103</f>
        <v>0</v>
      </c>
      <c r="H104" s="86">
        <f t="shared" si="5"/>
        <v>77243392.00999999</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32278079.230000004</v>
      </c>
      <c r="D109" s="24" t="s">
        <v>288</v>
      </c>
      <c r="E109" s="95">
        <f>('DOE25'!L277)+('DOE25'!L296)+('DOE25'!L315)</f>
        <v>351030.64999999997</v>
      </c>
      <c r="F109" s="24" t="s">
        <v>288</v>
      </c>
      <c r="G109" s="24" t="s">
        <v>288</v>
      </c>
      <c r="H109" s="124">
        <f t="shared" ref="H109:H115" si="6">SUM(C109:G109)</f>
        <v>32629109.880000003</v>
      </c>
    </row>
    <row r="110" spans="1:8" x14ac:dyDescent="0.2">
      <c r="A110" t="s">
        <v>198</v>
      </c>
      <c r="B110" s="32" t="s">
        <v>199</v>
      </c>
      <c r="C110" s="95">
        <f>('DOE25'!L199)+('DOE25'!L217)+('DOE25'!L235)</f>
        <v>13506348.5</v>
      </c>
      <c r="D110" s="24" t="s">
        <v>288</v>
      </c>
      <c r="E110" s="95">
        <f>('DOE25'!L278)+('DOE25'!L297)+('DOE25'!L316)</f>
        <v>636214.99</v>
      </c>
      <c r="F110" s="24" t="s">
        <v>288</v>
      </c>
      <c r="G110" s="24" t="s">
        <v>288</v>
      </c>
      <c r="H110" s="124">
        <f t="shared" si="6"/>
        <v>14142563.49</v>
      </c>
    </row>
    <row r="111" spans="1:8" x14ac:dyDescent="0.2">
      <c r="A111" t="s">
        <v>200</v>
      </c>
      <c r="B111" s="32" t="s">
        <v>165</v>
      </c>
      <c r="C111" s="95">
        <f>('DOE25'!L200)+('DOE25'!L218)+('DOE25'!L236)</f>
        <v>105427.79999999999</v>
      </c>
      <c r="D111" s="24" t="s">
        <v>288</v>
      </c>
      <c r="E111" s="95">
        <f>('DOE25'!L279)+('DOE25'!L298)+('DOE25'!L317)</f>
        <v>0</v>
      </c>
      <c r="F111" s="24" t="s">
        <v>288</v>
      </c>
      <c r="G111" s="24" t="s">
        <v>288</v>
      </c>
      <c r="H111" s="124">
        <f t="shared" si="6"/>
        <v>105427.79999999999</v>
      </c>
    </row>
    <row r="112" spans="1:8" x14ac:dyDescent="0.2">
      <c r="A112" t="s">
        <v>201</v>
      </c>
      <c r="B112" s="32" t="s">
        <v>167</v>
      </c>
      <c r="C112" s="95">
        <f>('DOE25'!L201)+('DOE25'!L219)+('DOE25'!L237)</f>
        <v>1290829.9100000001</v>
      </c>
      <c r="D112" s="24" t="s">
        <v>288</v>
      </c>
      <c r="E112" s="95">
        <f>+('DOE25'!L280)+('DOE25'!L299)+('DOE25'!L318)</f>
        <v>0</v>
      </c>
      <c r="F112" s="24" t="s">
        <v>288</v>
      </c>
      <c r="G112" s="24" t="s">
        <v>288</v>
      </c>
      <c r="H112" s="124">
        <f t="shared" si="6"/>
        <v>1290829.9100000001</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20678.990000000002</v>
      </c>
      <c r="D114" s="24" t="s">
        <v>288</v>
      </c>
      <c r="E114" s="95">
        <f>+ SUM('DOE25'!L334:L336)</f>
        <v>12242.73</v>
      </c>
      <c r="F114" s="24" t="s">
        <v>288</v>
      </c>
      <c r="G114" s="24" t="s">
        <v>288</v>
      </c>
      <c r="H114" s="124">
        <f t="shared" si="6"/>
        <v>32921.72</v>
      </c>
    </row>
    <row r="115" spans="1:8" ht="12.75" thickTop="1" thickBot="1" x14ac:dyDescent="0.25">
      <c r="A115" s="33" t="s">
        <v>205</v>
      </c>
      <c r="C115" s="86">
        <f>SUM(C109:C114)</f>
        <v>47201364.43</v>
      </c>
      <c r="D115" s="86">
        <f>SUM(D109:D114)</f>
        <v>0</v>
      </c>
      <c r="E115" s="86">
        <f>SUM(E109:E114)</f>
        <v>999488.36999999988</v>
      </c>
      <c r="F115" s="86">
        <f>SUM(F109:F114)</f>
        <v>0</v>
      </c>
      <c r="G115" s="86">
        <f>SUM(G109:G114)</f>
        <v>0</v>
      </c>
      <c r="H115" s="86">
        <f t="shared" si="6"/>
        <v>48200852.799999997</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5832777.6099999994</v>
      </c>
      <c r="D118" s="24" t="s">
        <v>288</v>
      </c>
      <c r="E118" s="95">
        <f>+('DOE25'!L282)+('DOE25'!L301)+('DOE25'!L320)</f>
        <v>261867.57</v>
      </c>
      <c r="F118" s="24" t="s">
        <v>288</v>
      </c>
      <c r="G118" s="24" t="s">
        <v>288</v>
      </c>
      <c r="H118" s="124">
        <f t="shared" ref="H118:H145" si="7">SUM(C118:G118)</f>
        <v>6094645.1799999997</v>
      </c>
    </row>
    <row r="119" spans="1:8" x14ac:dyDescent="0.2">
      <c r="A119" t="s">
        <v>208</v>
      </c>
      <c r="B119" s="32" t="s">
        <v>209</v>
      </c>
      <c r="C119" s="95">
        <f>('DOE25'!L204)+('DOE25'!L222)+('DOE25'!L240)</f>
        <v>1672447.5500000003</v>
      </c>
      <c r="D119" s="24" t="s">
        <v>288</v>
      </c>
      <c r="E119" s="95">
        <f>+('DOE25'!L283)+('DOE25'!L302)+('DOE25'!L321)</f>
        <v>106929.9</v>
      </c>
      <c r="F119" s="24" t="s">
        <v>288</v>
      </c>
      <c r="G119" s="24" t="s">
        <v>288</v>
      </c>
      <c r="H119" s="124">
        <f t="shared" si="7"/>
        <v>1779377.4500000002</v>
      </c>
    </row>
    <row r="120" spans="1:8" x14ac:dyDescent="0.2">
      <c r="A120" t="s">
        <v>210</v>
      </c>
      <c r="B120" s="32" t="s">
        <v>211</v>
      </c>
      <c r="C120" s="95">
        <f>('DOE25'!L205)+('DOE25'!L223)+('DOE25'!L241)</f>
        <v>1119599.3599999999</v>
      </c>
      <c r="D120" s="24" t="s">
        <v>288</v>
      </c>
      <c r="E120" s="95">
        <f>+('DOE25'!L284)+('DOE25'!L303)+('DOE25'!L322)</f>
        <v>3216.75</v>
      </c>
      <c r="F120" s="24" t="s">
        <v>288</v>
      </c>
      <c r="G120" s="24" t="s">
        <v>288</v>
      </c>
      <c r="H120" s="124">
        <f t="shared" si="7"/>
        <v>1122816.1099999999</v>
      </c>
    </row>
    <row r="121" spans="1:8" x14ac:dyDescent="0.2">
      <c r="A121" t="s">
        <v>212</v>
      </c>
      <c r="B121" s="32" t="s">
        <v>213</v>
      </c>
      <c r="C121" s="95">
        <f>('DOE25'!L206)+('DOE25'!L224)+('DOE25'!L242)</f>
        <v>5178456.9399999995</v>
      </c>
      <c r="D121" s="24" t="s">
        <v>288</v>
      </c>
      <c r="E121" s="95">
        <f>+('DOE25'!L285)+('DOE25'!L304)+('DOE25'!L323)</f>
        <v>0</v>
      </c>
      <c r="F121" s="24" t="s">
        <v>288</v>
      </c>
      <c r="G121" s="24" t="s">
        <v>288</v>
      </c>
      <c r="H121" s="124">
        <f t="shared" si="7"/>
        <v>5178456.9399999995</v>
      </c>
    </row>
    <row r="122" spans="1:8" x14ac:dyDescent="0.2">
      <c r="A122" t="s">
        <v>214</v>
      </c>
      <c r="B122" s="32" t="s">
        <v>215</v>
      </c>
      <c r="C122" s="95">
        <f>('DOE25'!L207)+('DOE25'!L225)+('DOE25'!L243)</f>
        <v>881798.98</v>
      </c>
      <c r="D122" s="24" t="s">
        <v>288</v>
      </c>
      <c r="E122" s="95">
        <f>+('DOE25'!L286)+('DOE25'!L305)+('DOE25'!L324)</f>
        <v>0</v>
      </c>
      <c r="F122" s="24" t="s">
        <v>288</v>
      </c>
      <c r="G122" s="24" t="s">
        <v>288</v>
      </c>
      <c r="H122" s="124">
        <f t="shared" si="7"/>
        <v>881798.98</v>
      </c>
    </row>
    <row r="123" spans="1:8" x14ac:dyDescent="0.2">
      <c r="A123" t="s">
        <v>216</v>
      </c>
      <c r="B123" s="32" t="s">
        <v>217</v>
      </c>
      <c r="C123" s="95">
        <f>('DOE25'!L208)+('DOE25'!L226)+('DOE25'!L244)</f>
        <v>5749755.5800000001</v>
      </c>
      <c r="D123" s="24" t="s">
        <v>288</v>
      </c>
      <c r="E123" s="95">
        <f>+('DOE25'!L287)+('DOE25'!L306)+('DOE25'!L325)</f>
        <v>31426</v>
      </c>
      <c r="F123" s="24" t="s">
        <v>288</v>
      </c>
      <c r="G123" s="24" t="s">
        <v>288</v>
      </c>
      <c r="H123" s="124">
        <f t="shared" si="7"/>
        <v>5781181.5800000001</v>
      </c>
    </row>
    <row r="124" spans="1:8" x14ac:dyDescent="0.2">
      <c r="A124" t="s">
        <v>218</v>
      </c>
      <c r="B124" s="32" t="s">
        <v>219</v>
      </c>
      <c r="C124" s="95">
        <f>('DOE25'!L209)+('DOE25'!L227)+('DOE25'!L245+'DOE25'!L255)</f>
        <v>3944933.42</v>
      </c>
      <c r="D124" s="24" t="s">
        <v>288</v>
      </c>
      <c r="E124" s="95">
        <f>+('DOE25'!L288)+('DOE25'!L307)+('DOE25'!L326)</f>
        <v>4299.1899999999996</v>
      </c>
      <c r="F124" s="24" t="s">
        <v>288</v>
      </c>
      <c r="G124" s="24" t="s">
        <v>288</v>
      </c>
      <c r="H124" s="124">
        <f t="shared" si="7"/>
        <v>3949232.61</v>
      </c>
    </row>
    <row r="125" spans="1:8" x14ac:dyDescent="0.2">
      <c r="A125" t="s">
        <v>220</v>
      </c>
      <c r="B125" s="32" t="s">
        <v>221</v>
      </c>
      <c r="C125" s="95">
        <f>('DOE25'!L210)+('DOE25'!L228)+('DOE25'!L246)</f>
        <v>166070.40000000002</v>
      </c>
      <c r="D125" s="24" t="s">
        <v>288</v>
      </c>
      <c r="E125" s="95">
        <f>+('DOE25'!L289)+('DOE25'!L308)+('DOE25'!L327)</f>
        <v>487.14</v>
      </c>
      <c r="F125" s="24" t="s">
        <v>288</v>
      </c>
      <c r="G125" s="24" t="s">
        <v>288</v>
      </c>
      <c r="H125" s="124">
        <f t="shared" si="7"/>
        <v>166557.54000000004</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2004769.65</v>
      </c>
      <c r="E127" s="24" t="s">
        <v>288</v>
      </c>
      <c r="F127" s="24" t="s">
        <v>288</v>
      </c>
      <c r="G127" s="24" t="s">
        <v>288</v>
      </c>
      <c r="H127" s="124">
        <f t="shared" si="7"/>
        <v>2004769.65</v>
      </c>
    </row>
    <row r="128" spans="1:8" ht="12.75" thickTop="1" thickBot="1" x14ac:dyDescent="0.25">
      <c r="A128" s="33" t="s">
        <v>226</v>
      </c>
      <c r="C128" s="86">
        <f>SUM(C118:C127)</f>
        <v>24545839.839999996</v>
      </c>
      <c r="D128" s="86">
        <f>SUM(D118:D127)</f>
        <v>2004769.65</v>
      </c>
      <c r="E128" s="86">
        <f>SUM(E118:E127)</f>
        <v>408226.55</v>
      </c>
      <c r="F128" s="86">
        <f>SUM(F118:F127)</f>
        <v>0</v>
      </c>
      <c r="G128" s="86">
        <f>SUM(G118:G127)</f>
        <v>0</v>
      </c>
      <c r="H128" s="86">
        <f t="shared" si="7"/>
        <v>26958836.039999995</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59256.93</v>
      </c>
      <c r="F130" s="129">
        <f>SUM('DOE25'!L375:'DOE25'!L381)</f>
        <v>0</v>
      </c>
      <c r="G130" s="24" t="s">
        <v>288</v>
      </c>
      <c r="H130" s="124">
        <f t="shared" si="7"/>
        <v>59256.93</v>
      </c>
    </row>
    <row r="131" spans="1:8" x14ac:dyDescent="0.2">
      <c r="A131" t="s">
        <v>229</v>
      </c>
      <c r="B131" s="32">
        <v>5110</v>
      </c>
      <c r="C131" s="95">
        <f>'DOE25'!L261</f>
        <v>1930000</v>
      </c>
      <c r="D131" s="24" t="s">
        <v>288</v>
      </c>
      <c r="E131" s="129">
        <f>'DOE25'!L342</f>
        <v>0</v>
      </c>
      <c r="F131" s="24" t="s">
        <v>288</v>
      </c>
      <c r="G131" s="24" t="s">
        <v>288</v>
      </c>
      <c r="H131" s="124">
        <f t="shared" si="7"/>
        <v>1930000</v>
      </c>
    </row>
    <row r="132" spans="1:8" x14ac:dyDescent="0.2">
      <c r="A132" t="s">
        <v>230</v>
      </c>
      <c r="B132" s="32">
        <v>5120</v>
      </c>
      <c r="C132" s="95">
        <f>'DOE25'!L262</f>
        <v>981340</v>
      </c>
      <c r="D132" s="24" t="s">
        <v>288</v>
      </c>
      <c r="E132" s="129">
        <f>'DOE25'!L343</f>
        <v>0</v>
      </c>
      <c r="F132" s="24" t="s">
        <v>288</v>
      </c>
      <c r="G132" s="24" t="s">
        <v>288</v>
      </c>
      <c r="H132" s="124">
        <f t="shared" si="7"/>
        <v>981340</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0</v>
      </c>
      <c r="D138" s="24" t="s">
        <v>288</v>
      </c>
      <c r="E138" s="24" t="s">
        <v>288</v>
      </c>
      <c r="F138" s="24" t="s">
        <v>288</v>
      </c>
      <c r="G138" s="24" t="s">
        <v>288</v>
      </c>
      <c r="H138" s="124">
        <f t="shared" si="7"/>
        <v>0</v>
      </c>
    </row>
    <row r="139" spans="1:8" x14ac:dyDescent="0.2">
      <c r="A139" t="s">
        <v>239</v>
      </c>
      <c r="B139" s="32">
        <v>5252</v>
      </c>
      <c r="C139" s="95">
        <f>'DOE25'!L402</f>
        <v>0</v>
      </c>
      <c r="D139" s="24" t="s">
        <v>288</v>
      </c>
      <c r="E139" s="24" t="s">
        <v>288</v>
      </c>
      <c r="F139" s="24" t="s">
        <v>288</v>
      </c>
      <c r="G139" s="24" t="s">
        <v>288</v>
      </c>
      <c r="H139" s="124">
        <f t="shared" si="7"/>
        <v>0</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0</v>
      </c>
      <c r="D141" s="24" t="s">
        <v>288</v>
      </c>
      <c r="E141" s="24" t="s">
        <v>288</v>
      </c>
      <c r="F141" s="24" t="s">
        <v>288</v>
      </c>
      <c r="G141" s="24" t="s">
        <v>288</v>
      </c>
      <c r="H141" s="124">
        <f t="shared" si="7"/>
        <v>0</v>
      </c>
    </row>
    <row r="142" spans="1:8" x14ac:dyDescent="0.2">
      <c r="A142" t="s">
        <v>241</v>
      </c>
      <c r="B142" s="32">
        <v>5310</v>
      </c>
      <c r="C142" s="129">
        <f>'DOE25'!L269</f>
        <v>84284.23</v>
      </c>
      <c r="D142" s="24" t="s">
        <v>288</v>
      </c>
      <c r="E142" s="129">
        <f>'DOE25'!L350</f>
        <v>0</v>
      </c>
      <c r="F142" s="24" t="s">
        <v>288</v>
      </c>
      <c r="G142" s="24" t="s">
        <v>288</v>
      </c>
      <c r="H142" s="124">
        <f t="shared" si="7"/>
        <v>84284.23</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2995624.23</v>
      </c>
      <c r="D144" s="141">
        <f>SUM(D130:D143)</f>
        <v>0</v>
      </c>
      <c r="E144" s="141">
        <f>SUM(E130:E143)</f>
        <v>59256.93</v>
      </c>
      <c r="F144" s="141">
        <f>SUM(F130:F143)</f>
        <v>0</v>
      </c>
      <c r="G144" s="141">
        <f>SUM(G130:G143)</f>
        <v>0</v>
      </c>
      <c r="H144" s="141">
        <f t="shared" si="7"/>
        <v>3054881.16</v>
      </c>
    </row>
    <row r="145" spans="1:9" ht="12.75" thickTop="1" thickBot="1" x14ac:dyDescent="0.25">
      <c r="A145" s="33" t="s">
        <v>244</v>
      </c>
      <c r="C145" s="86">
        <f>(C115+C128+C144)</f>
        <v>74742828.5</v>
      </c>
      <c r="D145" s="86">
        <f>(D115+D128+D144)</f>
        <v>2004769.65</v>
      </c>
      <c r="E145" s="86">
        <f>(E115+E128+E144)</f>
        <v>1466971.8499999999</v>
      </c>
      <c r="F145" s="86">
        <f>(F115+F128+F144)</f>
        <v>0</v>
      </c>
      <c r="G145" s="86">
        <f>(G115+G128+G144)</f>
        <v>0</v>
      </c>
      <c r="H145" s="86">
        <f t="shared" si="7"/>
        <v>78214570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15</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800000</v>
      </c>
      <c r="C154" s="137">
        <f>'DOE25'!G494</f>
        <v>32715000</v>
      </c>
      <c r="D154" s="137">
        <f>'DOE25'!H494</f>
        <v>0</v>
      </c>
      <c r="E154" s="137">
        <f>'DOE25'!I494</f>
        <v>0</v>
      </c>
      <c r="F154" s="137">
        <f>'DOE25'!J494</f>
        <v>0</v>
      </c>
      <c r="G154" s="24" t="s">
        <v>288</v>
      </c>
    </row>
    <row r="155" spans="1:9" x14ac:dyDescent="0.2">
      <c r="A155" s="136" t="s">
        <v>31</v>
      </c>
      <c r="B155" s="137">
        <f>'DOE25'!F495</f>
        <v>4.5199999999999996</v>
      </c>
      <c r="C155" s="137">
        <f>'DOE25'!G495</f>
        <v>2.63</v>
      </c>
      <c r="D155" s="137">
        <f>'DOE25'!H495</f>
        <v>0</v>
      </c>
      <c r="E155" s="137">
        <f>'DOE25'!I495</f>
        <v>0</v>
      </c>
      <c r="F155" s="137">
        <f>'DOE25'!J495</f>
        <v>0</v>
      </c>
      <c r="G155" s="24" t="s">
        <v>288</v>
      </c>
    </row>
    <row r="156" spans="1:9" x14ac:dyDescent="0.2">
      <c r="A156" s="22" t="s">
        <v>32</v>
      </c>
      <c r="B156" s="137">
        <f>'DOE25'!F496</f>
        <v>240000</v>
      </c>
      <c r="C156" s="137">
        <f>'DOE25'!G496</f>
        <v>20930000</v>
      </c>
      <c r="D156" s="137">
        <f>'DOE25'!H496</f>
        <v>0</v>
      </c>
      <c r="E156" s="137">
        <f>'DOE25'!I496</f>
        <v>0</v>
      </c>
      <c r="F156" s="137">
        <f>'DOE25'!J496</f>
        <v>0</v>
      </c>
      <c r="G156" s="138">
        <f>SUM(B156:F156)</f>
        <v>21170000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40000</v>
      </c>
      <c r="C158" s="137">
        <f>'DOE25'!G498</f>
        <v>1890000</v>
      </c>
      <c r="D158" s="137">
        <f>'DOE25'!H498</f>
        <v>0</v>
      </c>
      <c r="E158" s="137">
        <f>'DOE25'!I498</f>
        <v>0</v>
      </c>
      <c r="F158" s="137">
        <f>'DOE25'!J498</f>
        <v>0</v>
      </c>
      <c r="G158" s="138">
        <f t="shared" si="8"/>
        <v>1930000</v>
      </c>
    </row>
    <row r="159" spans="1:9" x14ac:dyDescent="0.2">
      <c r="A159" s="22" t="s">
        <v>35</v>
      </c>
      <c r="B159" s="137">
        <f>'DOE25'!F499</f>
        <v>200000</v>
      </c>
      <c r="C159" s="137">
        <f>'DOE25'!G499</f>
        <v>19040000</v>
      </c>
      <c r="D159" s="137">
        <f>'DOE25'!H499</f>
        <v>0</v>
      </c>
      <c r="E159" s="137">
        <f>'DOE25'!I499</f>
        <v>0</v>
      </c>
      <c r="F159" s="137">
        <f>'DOE25'!J499</f>
        <v>0</v>
      </c>
      <c r="G159" s="138">
        <f t="shared" si="8"/>
        <v>19240000</v>
      </c>
    </row>
    <row r="160" spans="1:9" x14ac:dyDescent="0.2">
      <c r="A160" s="22" t="s">
        <v>36</v>
      </c>
      <c r="B160" s="137">
        <f>'DOE25'!F500</f>
        <v>23085</v>
      </c>
      <c r="C160" s="137">
        <f>'DOE25'!G500</f>
        <v>3844500</v>
      </c>
      <c r="D160" s="137">
        <f>'DOE25'!H500</f>
        <v>0</v>
      </c>
      <c r="E160" s="137">
        <f>'DOE25'!I500</f>
        <v>0</v>
      </c>
      <c r="F160" s="137">
        <f>'DOE25'!J500</f>
        <v>0</v>
      </c>
      <c r="G160" s="138">
        <f t="shared" si="8"/>
        <v>3867585</v>
      </c>
    </row>
    <row r="161" spans="1:7" x14ac:dyDescent="0.2">
      <c r="A161" s="22" t="s">
        <v>37</v>
      </c>
      <c r="B161" s="137">
        <f>'DOE25'!F501</f>
        <v>223085</v>
      </c>
      <c r="C161" s="137">
        <f>'DOE25'!G501</f>
        <v>22884500</v>
      </c>
      <c r="D161" s="137">
        <f>'DOE25'!H501</f>
        <v>0</v>
      </c>
      <c r="E161" s="137">
        <f>'DOE25'!I501</f>
        <v>0</v>
      </c>
      <c r="F161" s="137">
        <f>'DOE25'!J501</f>
        <v>0</v>
      </c>
      <c r="G161" s="138">
        <f t="shared" si="8"/>
        <v>23107585</v>
      </c>
    </row>
    <row r="162" spans="1:7" x14ac:dyDescent="0.2">
      <c r="A162" s="22" t="s">
        <v>38</v>
      </c>
      <c r="B162" s="137">
        <f>'DOE25'!F502</f>
        <v>40000</v>
      </c>
      <c r="C162" s="137">
        <f>'DOE25'!G502</f>
        <v>1990000</v>
      </c>
      <c r="D162" s="137">
        <f>'DOE25'!H502</f>
        <v>0</v>
      </c>
      <c r="E162" s="137">
        <f>'DOE25'!I502</f>
        <v>0</v>
      </c>
      <c r="F162" s="137">
        <f>'DOE25'!J502</f>
        <v>0</v>
      </c>
      <c r="G162" s="138">
        <f t="shared" si="8"/>
        <v>2030000</v>
      </c>
    </row>
    <row r="163" spans="1:7" x14ac:dyDescent="0.2">
      <c r="A163" s="22" t="s">
        <v>39</v>
      </c>
      <c r="B163" s="137">
        <f>'DOE25'!F503</f>
        <v>8290</v>
      </c>
      <c r="C163" s="137">
        <f>'DOE25'!G503</f>
        <v>874250</v>
      </c>
      <c r="D163" s="137">
        <f>'DOE25'!H503</f>
        <v>0</v>
      </c>
      <c r="E163" s="137">
        <f>'DOE25'!I503</f>
        <v>0</v>
      </c>
      <c r="F163" s="137">
        <f>'DOE25'!J503</f>
        <v>0</v>
      </c>
      <c r="G163" s="138">
        <f t="shared" si="8"/>
        <v>882540</v>
      </c>
    </row>
    <row r="164" spans="1:7" x14ac:dyDescent="0.2">
      <c r="A164" s="22" t="s">
        <v>246</v>
      </c>
      <c r="B164" s="137">
        <f>'DOE25'!F504</f>
        <v>48290</v>
      </c>
      <c r="C164" s="137">
        <f>'DOE25'!G504</f>
        <v>2864250</v>
      </c>
      <c r="D164" s="137">
        <f>'DOE25'!H504</f>
        <v>0</v>
      </c>
      <c r="E164" s="137">
        <f>'DOE25'!I504</f>
        <v>0</v>
      </c>
      <c r="F164" s="137">
        <f>'DOE25'!J504</f>
        <v>0</v>
      </c>
      <c r="G164" s="138">
        <f t="shared" si="8"/>
        <v>2912540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8" t="s">
        <v>736</v>
      </c>
      <c r="B1" s="388"/>
      <c r="C1" s="388"/>
      <c r="D1" s="388"/>
    </row>
    <row r="2" spans="1:4" x14ac:dyDescent="0.2">
      <c r="A2" s="186" t="s">
        <v>713</v>
      </c>
      <c r="B2" s="185" t="str">
        <f>'DOE25'!A2</f>
        <v>Bedford</v>
      </c>
    </row>
    <row r="3" spans="1:4" x14ac:dyDescent="0.2">
      <c r="B3" s="187" t="s">
        <v>1799</v>
      </c>
    </row>
    <row r="4" spans="1:4" x14ac:dyDescent="0.2">
      <c r="B4" t="s">
        <v>61</v>
      </c>
      <c r="C4" s="178">
        <f>IF('DOE25'!F666+'DOE25'!F671=0,0,ROUND('DOE25'!F673,0))</f>
        <v>16680</v>
      </c>
    </row>
    <row r="5" spans="1:4" x14ac:dyDescent="0.2">
      <c r="B5" t="s">
        <v>700</v>
      </c>
      <c r="C5" s="178">
        <f>IF('DOE25'!G666+'DOE25'!G671=0,0,ROUND('DOE25'!G673,0))</f>
        <v>16689</v>
      </c>
    </row>
    <row r="6" spans="1:4" x14ac:dyDescent="0.2">
      <c r="B6" t="s">
        <v>62</v>
      </c>
      <c r="C6" s="178">
        <f>IF('DOE25'!H666+'DOE25'!H671=0,0,ROUND('DOE25'!H673,0))</f>
        <v>16354</v>
      </c>
    </row>
    <row r="7" spans="1:4" x14ac:dyDescent="0.2">
      <c r="B7" t="s">
        <v>701</v>
      </c>
      <c r="C7" s="178">
        <f>IF('DOE25'!I666+'DOE25'!I671=0,0,ROUND('DOE25'!I673,0))</f>
        <v>16569</v>
      </c>
    </row>
    <row r="9" spans="1:4" x14ac:dyDescent="0.2">
      <c r="A9" s="186" t="s">
        <v>94</v>
      </c>
      <c r="B9" s="187" t="s">
        <v>1800</v>
      </c>
      <c r="C9" s="180" t="s">
        <v>720</v>
      </c>
      <c r="D9" s="180" t="s">
        <v>721</v>
      </c>
    </row>
    <row r="10" spans="1:4" x14ac:dyDescent="0.2">
      <c r="A10">
        <v>1100</v>
      </c>
      <c r="B10" t="s">
        <v>702</v>
      </c>
      <c r="C10" s="178">
        <f>ROUND('DOE25'!L198+'DOE25'!L216+'DOE25'!L234+'DOE25'!L277+'DOE25'!L296+'DOE25'!L315,0)</f>
        <v>32629110</v>
      </c>
      <c r="D10" s="181">
        <f>ROUND((C10/$C$28)*100,1)</f>
        <v>43.1</v>
      </c>
    </row>
    <row r="11" spans="1:4" x14ac:dyDescent="0.2">
      <c r="A11">
        <v>1200</v>
      </c>
      <c r="B11" t="s">
        <v>703</v>
      </c>
      <c r="C11" s="178">
        <f>ROUND('DOE25'!L199+'DOE25'!L217+'DOE25'!L235+'DOE25'!L278+'DOE25'!L297+'DOE25'!L316,0)</f>
        <v>14142563</v>
      </c>
      <c r="D11" s="181">
        <f>ROUND((C11/$C$28)*100,1)</f>
        <v>18.7</v>
      </c>
    </row>
    <row r="12" spans="1:4" x14ac:dyDescent="0.2">
      <c r="A12">
        <v>1300</v>
      </c>
      <c r="B12" t="s">
        <v>704</v>
      </c>
      <c r="C12" s="178">
        <f>ROUND('DOE25'!L200+'DOE25'!L218+'DOE25'!L236+'DOE25'!L279+'DOE25'!L298+'DOE25'!L317,0)</f>
        <v>105428</v>
      </c>
      <c r="D12" s="181">
        <f>ROUND((C12/$C$28)*100,1)</f>
        <v>0.1</v>
      </c>
    </row>
    <row r="13" spans="1:4" x14ac:dyDescent="0.2">
      <c r="A13">
        <v>1400</v>
      </c>
      <c r="B13" t="s">
        <v>705</v>
      </c>
      <c r="C13" s="178">
        <f>ROUND('DOE25'!L201+'DOE25'!L219+'DOE25'!L237+'DOE25'!L280+'DOE25'!L299+'DOE25'!L318,0)</f>
        <v>1290830</v>
      </c>
      <c r="D13" s="181">
        <f>ROUND((C13/$C$28)*100,1)</f>
        <v>1.7</v>
      </c>
    </row>
    <row r="14" spans="1:4" x14ac:dyDescent="0.2">
      <c r="D14" s="181"/>
    </row>
    <row r="15" spans="1:4" x14ac:dyDescent="0.2">
      <c r="A15">
        <v>2100</v>
      </c>
      <c r="B15" t="s">
        <v>706</v>
      </c>
      <c r="C15" s="178">
        <f>ROUND('DOE25'!L203+'DOE25'!L221+'DOE25'!L239+'DOE25'!L282+'DOE25'!L301+'DOE25'!L320,0)</f>
        <v>6094645</v>
      </c>
      <c r="D15" s="181">
        <f t="shared" ref="D15:D27" si="0">ROUND((C15/$C$28)*100,1)</f>
        <v>8</v>
      </c>
    </row>
    <row r="16" spans="1:4" x14ac:dyDescent="0.2">
      <c r="A16">
        <v>2200</v>
      </c>
      <c r="B16" t="s">
        <v>707</v>
      </c>
      <c r="C16" s="178">
        <f>ROUND('DOE25'!L204+'DOE25'!L222+'DOE25'!L240+'DOE25'!L283+'DOE25'!L302+'DOE25'!L321,0)</f>
        <v>1779377</v>
      </c>
      <c r="D16" s="181">
        <f t="shared" si="0"/>
        <v>2.2999999999999998</v>
      </c>
    </row>
    <row r="17" spans="1:4" x14ac:dyDescent="0.2">
      <c r="A17" s="182" t="s">
        <v>723</v>
      </c>
      <c r="B17" t="s">
        <v>738</v>
      </c>
      <c r="C17" s="178">
        <f>ROUND('DOE25'!L205+'DOE25'!L210+'DOE25'!L223+'DOE25'!L228+'DOE25'!L241+'DOE25'!L246+'DOE25'!L284+'DOE25'!L289+'DOE25'!L303+'DOE25'!L308+'DOE25'!L322+'DOE25'!L327,0)</f>
        <v>1289374</v>
      </c>
      <c r="D17" s="181">
        <f t="shared" si="0"/>
        <v>1.7</v>
      </c>
    </row>
    <row r="18" spans="1:4" x14ac:dyDescent="0.2">
      <c r="A18">
        <v>2400</v>
      </c>
      <c r="B18" t="s">
        <v>711</v>
      </c>
      <c r="C18" s="178">
        <f>ROUND('DOE25'!L206+'DOE25'!L224+'DOE25'!L242+'DOE25'!L285+'DOE25'!L304+'DOE25'!L323,0)</f>
        <v>5178457</v>
      </c>
      <c r="D18" s="181">
        <f t="shared" si="0"/>
        <v>6.8</v>
      </c>
    </row>
    <row r="19" spans="1:4" x14ac:dyDescent="0.2">
      <c r="A19">
        <v>2500</v>
      </c>
      <c r="B19" t="s">
        <v>708</v>
      </c>
      <c r="C19" s="178">
        <f>ROUND('DOE25'!L207+'DOE25'!L225+'DOE25'!L243+'DOE25'!L286+'DOE25'!L305+'DOE25'!L324,0)</f>
        <v>881799</v>
      </c>
      <c r="D19" s="181">
        <f t="shared" si="0"/>
        <v>1.2</v>
      </c>
    </row>
    <row r="20" spans="1:4" x14ac:dyDescent="0.2">
      <c r="A20">
        <v>2600</v>
      </c>
      <c r="B20" t="s">
        <v>709</v>
      </c>
      <c r="C20" s="178">
        <f>ROUND('DOE25'!L208+'DOE25'!L226+'DOE25'!L244+'DOE25'!L287+'DOE25'!L306+'DOE25'!L325,0)</f>
        <v>5781182</v>
      </c>
      <c r="D20" s="181">
        <f t="shared" si="0"/>
        <v>7.6</v>
      </c>
    </row>
    <row r="21" spans="1:4" x14ac:dyDescent="0.2">
      <c r="A21">
        <v>2700</v>
      </c>
      <c r="B21" t="s">
        <v>710</v>
      </c>
      <c r="C21" s="178">
        <f>ROUND('DOE25'!L209+'DOE25'!L227+'DOE25'!L245+'DOE25'!L288+'DOE25'!L307+'DOE25'!L326,0)</f>
        <v>3949233</v>
      </c>
      <c r="D21" s="181">
        <f t="shared" si="0"/>
        <v>5.2</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32922</v>
      </c>
      <c r="D24" s="181">
        <f t="shared" si="0"/>
        <v>0</v>
      </c>
    </row>
    <row r="25" spans="1:4" x14ac:dyDescent="0.2">
      <c r="A25">
        <v>5120</v>
      </c>
      <c r="B25" t="s">
        <v>716</v>
      </c>
      <c r="C25" s="178">
        <f>ROUND('DOE25'!L262+'DOE25'!L343,0)</f>
        <v>981340</v>
      </c>
      <c r="D25" s="181">
        <f t="shared" si="0"/>
        <v>1.3</v>
      </c>
    </row>
    <row r="26" spans="1:4" x14ac:dyDescent="0.2">
      <c r="A26" s="182" t="s">
        <v>717</v>
      </c>
      <c r="B26" t="s">
        <v>718</v>
      </c>
      <c r="C26" s="178">
        <f>'DOE25'!L269+'DOE25'!L270+'DOE25'!L350+'DOE25'!L351</f>
        <v>84284.23</v>
      </c>
      <c r="D26" s="181">
        <f t="shared" si="0"/>
        <v>0.1</v>
      </c>
    </row>
    <row r="27" spans="1:4" x14ac:dyDescent="0.2">
      <c r="A27">
        <v>3100</v>
      </c>
      <c r="B27" t="s">
        <v>11</v>
      </c>
      <c r="C27" s="178">
        <f>ROUND('DOE25'!L363-'DOE25'!L362,0)-SUM('DOE25'!G97:G110)</f>
        <v>1527578.91</v>
      </c>
      <c r="D27" s="181">
        <f t="shared" si="0"/>
        <v>2</v>
      </c>
    </row>
    <row r="28" spans="1:4" x14ac:dyDescent="0.2">
      <c r="B28" s="186" t="s">
        <v>719</v>
      </c>
      <c r="C28" s="179">
        <f>SUM(C10:C27)</f>
        <v>75748123.140000001</v>
      </c>
      <c r="D28" s="183">
        <f>ROUND(SUM(D10:D27),0)</f>
        <v>100</v>
      </c>
    </row>
    <row r="29" spans="1:4" x14ac:dyDescent="0.2">
      <c r="A29">
        <v>4000</v>
      </c>
      <c r="B29" t="s">
        <v>724</v>
      </c>
      <c r="C29" s="178">
        <f>ROUND('DOE25'!L256+'DOE25'!L337+'DOE25'!L375+'DOE25'!L376+'DOE25'!L377+'DOE25'!L378+'DOE25'!L379+'DOE25'!L380+'DOE25'!L381,0)</f>
        <v>59257</v>
      </c>
    </row>
    <row r="30" spans="1:4" x14ac:dyDescent="0.2">
      <c r="B30" s="186" t="s">
        <v>725</v>
      </c>
      <c r="C30" s="179">
        <f>SUM(C28:C29)</f>
        <v>75807380.140000001</v>
      </c>
    </row>
    <row r="31" spans="1:4" x14ac:dyDescent="0.2">
      <c r="B31" s="33"/>
      <c r="C31" s="179"/>
    </row>
    <row r="32" spans="1:4" x14ac:dyDescent="0.2">
      <c r="A32">
        <v>5100</v>
      </c>
      <c r="B32" s="33" t="s">
        <v>726</v>
      </c>
      <c r="C32" s="179">
        <f>ROUND('DOE25'!L261+'DOE25'!L342,0)</f>
        <v>1930000</v>
      </c>
    </row>
    <row r="34" spans="1:4" x14ac:dyDescent="0.2">
      <c r="A34" s="186" t="s">
        <v>94</v>
      </c>
      <c r="B34" s="187" t="s">
        <v>1801</v>
      </c>
      <c r="C34" s="180" t="s">
        <v>720</v>
      </c>
      <c r="D34" s="180" t="s">
        <v>721</v>
      </c>
    </row>
    <row r="35" spans="1:4" x14ac:dyDescent="0.2">
      <c r="A35">
        <v>1100</v>
      </c>
      <c r="B35" s="184" t="s">
        <v>727</v>
      </c>
      <c r="C35" s="178">
        <f>ROUND('DOE25'!F60+'DOE25'!G60+'DOE25'!H60+'DOE25'!I60+'DOE25'!J60,0)</f>
        <v>51419456</v>
      </c>
      <c r="D35" s="181">
        <f t="shared" ref="D35:D40" si="1">ROUND((C35/$C$41)*100,1)</f>
        <v>67</v>
      </c>
    </row>
    <row r="36" spans="1:4" x14ac:dyDescent="0.2">
      <c r="B36" s="184" t="s">
        <v>739</v>
      </c>
      <c r="C36" s="178">
        <f>SUM('DOE25'!F112:J112)-SUM('DOE25'!G97:G110)+('DOE25'!F175+'DOE25'!F176+'DOE25'!I175+'DOE25'!I176)-C35</f>
        <v>2143630.6499999985</v>
      </c>
      <c r="D36" s="181">
        <f t="shared" si="1"/>
        <v>2.8</v>
      </c>
    </row>
    <row r="37" spans="1:4" x14ac:dyDescent="0.2">
      <c r="A37" s="182" t="s">
        <v>835</v>
      </c>
      <c r="B37" s="184" t="s">
        <v>728</v>
      </c>
      <c r="C37" s="178">
        <f>ROUND('DOE25'!F117+'DOE25'!F118,0)</f>
        <v>17924319</v>
      </c>
      <c r="D37" s="181">
        <f t="shared" si="1"/>
        <v>23.3</v>
      </c>
    </row>
    <row r="38" spans="1:4" x14ac:dyDescent="0.2">
      <c r="A38" s="182" t="s">
        <v>734</v>
      </c>
      <c r="B38" s="184" t="s">
        <v>729</v>
      </c>
      <c r="C38" s="178">
        <f>ROUND(SUM('DOE25'!F140:J140)-SUM('DOE25'!F117:F119),0)</f>
        <v>1562282</v>
      </c>
      <c r="D38" s="181">
        <f t="shared" si="1"/>
        <v>2</v>
      </c>
    </row>
    <row r="39" spans="1:4" x14ac:dyDescent="0.2">
      <c r="A39">
        <v>4000</v>
      </c>
      <c r="B39" s="184" t="s">
        <v>730</v>
      </c>
      <c r="C39" s="178">
        <f>ROUND('DOE25'!F170+'DOE25'!G170+'DOE25'!H170+'DOE25'!I170,0)</f>
        <v>3716514</v>
      </c>
      <c r="D39" s="181">
        <f t="shared" si="1"/>
        <v>4.8</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76766201.650000006</v>
      </c>
      <c r="D41" s="183">
        <f>SUM(D35:D40)</f>
        <v>99.899999999999991</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9" t="s">
        <v>766</v>
      </c>
      <c r="B1" s="400"/>
      <c r="C1" s="400"/>
      <c r="D1" s="400"/>
      <c r="E1" s="400"/>
      <c r="F1" s="400"/>
      <c r="G1" s="400"/>
      <c r="H1" s="400"/>
      <c r="I1" s="400"/>
      <c r="J1" s="212"/>
      <c r="K1" s="212"/>
      <c r="L1" s="212"/>
      <c r="M1" s="213"/>
    </row>
    <row r="2" spans="1:26" ht="12.75" x14ac:dyDescent="0.2">
      <c r="A2" s="405" t="s">
        <v>763</v>
      </c>
      <c r="B2" s="406"/>
      <c r="C2" s="406"/>
      <c r="D2" s="406"/>
      <c r="E2" s="406"/>
      <c r="F2" s="403" t="str">
        <f>'DOE25'!A2</f>
        <v>Bedford</v>
      </c>
      <c r="G2" s="404"/>
      <c r="H2" s="404"/>
      <c r="I2" s="404"/>
      <c r="J2" s="52"/>
      <c r="K2" s="52"/>
      <c r="L2" s="52"/>
      <c r="M2" s="214"/>
    </row>
    <row r="3" spans="1:26" x14ac:dyDescent="0.2">
      <c r="A3" s="215" t="s">
        <v>764</v>
      </c>
      <c r="B3" s="216" t="s">
        <v>765</v>
      </c>
      <c r="C3" s="401" t="s">
        <v>767</v>
      </c>
      <c r="D3" s="401"/>
      <c r="E3" s="401"/>
      <c r="F3" s="401"/>
      <c r="G3" s="401"/>
      <c r="H3" s="401"/>
      <c r="I3" s="401"/>
      <c r="J3" s="401"/>
      <c r="K3" s="401"/>
      <c r="L3" s="401"/>
      <c r="M3" s="402"/>
    </row>
    <row r="4" spans="1:26" x14ac:dyDescent="0.2">
      <c r="A4" s="217"/>
      <c r="B4" s="218"/>
      <c r="C4" s="390"/>
      <c r="D4" s="390"/>
      <c r="E4" s="390"/>
      <c r="F4" s="390"/>
      <c r="G4" s="390"/>
      <c r="H4" s="390"/>
      <c r="I4" s="390"/>
      <c r="J4" s="390"/>
      <c r="K4" s="390"/>
      <c r="L4" s="390"/>
      <c r="M4" s="391"/>
      <c r="N4" s="126"/>
      <c r="O4" s="126"/>
      <c r="P4" s="126"/>
      <c r="Q4" s="126"/>
      <c r="R4" s="126"/>
      <c r="S4" s="126"/>
      <c r="T4" s="126"/>
      <c r="U4" s="126"/>
      <c r="V4" s="126"/>
      <c r="W4" s="126"/>
      <c r="X4" s="126"/>
      <c r="Y4" s="126"/>
      <c r="Z4" s="126"/>
    </row>
    <row r="5" spans="1:26" x14ac:dyDescent="0.2">
      <c r="A5" s="217"/>
      <c r="B5" s="218"/>
      <c r="C5" s="390"/>
      <c r="D5" s="390"/>
      <c r="E5" s="390"/>
      <c r="F5" s="390"/>
      <c r="G5" s="390"/>
      <c r="H5" s="390"/>
      <c r="I5" s="390"/>
      <c r="J5" s="390"/>
      <c r="K5" s="390"/>
      <c r="L5" s="390"/>
      <c r="M5" s="391"/>
      <c r="N5" s="126"/>
      <c r="O5" s="126"/>
      <c r="P5" s="126"/>
      <c r="Q5" s="126"/>
      <c r="R5" s="126"/>
      <c r="S5" s="126"/>
      <c r="T5" s="126"/>
      <c r="U5" s="126"/>
      <c r="V5" s="126"/>
      <c r="W5" s="126"/>
      <c r="X5" s="126"/>
      <c r="Y5" s="126"/>
      <c r="Z5" s="126"/>
    </row>
    <row r="6" spans="1:26" x14ac:dyDescent="0.2">
      <c r="A6" s="217"/>
      <c r="B6" s="218"/>
      <c r="C6" s="390"/>
      <c r="D6" s="390"/>
      <c r="E6" s="390"/>
      <c r="F6" s="390"/>
      <c r="G6" s="390"/>
      <c r="H6" s="390"/>
      <c r="I6" s="390"/>
      <c r="J6" s="390"/>
      <c r="K6" s="390"/>
      <c r="L6" s="390"/>
      <c r="M6" s="391"/>
      <c r="N6" s="126"/>
      <c r="O6" s="126"/>
      <c r="P6" s="126"/>
      <c r="Q6" s="126"/>
      <c r="R6" s="126"/>
      <c r="S6" s="126"/>
      <c r="T6" s="126"/>
      <c r="U6" s="126"/>
      <c r="V6" s="126"/>
      <c r="W6" s="126"/>
      <c r="X6" s="126"/>
      <c r="Y6" s="126"/>
      <c r="Z6" s="126"/>
    </row>
    <row r="7" spans="1:26" x14ac:dyDescent="0.2">
      <c r="A7" s="217"/>
      <c r="B7" s="218"/>
      <c r="C7" s="390"/>
      <c r="D7" s="390"/>
      <c r="E7" s="390"/>
      <c r="F7" s="390"/>
      <c r="G7" s="390"/>
      <c r="H7" s="390"/>
      <c r="I7" s="390"/>
      <c r="J7" s="390"/>
      <c r="K7" s="390"/>
      <c r="L7" s="390"/>
      <c r="M7" s="391"/>
      <c r="N7" s="126"/>
      <c r="O7" s="126"/>
      <c r="P7" s="126"/>
      <c r="Q7" s="126"/>
      <c r="R7" s="126"/>
      <c r="S7" s="126"/>
      <c r="T7" s="126"/>
      <c r="U7" s="126"/>
      <c r="V7" s="126"/>
      <c r="W7" s="126"/>
      <c r="X7" s="126"/>
      <c r="Y7" s="126"/>
      <c r="Z7" s="126"/>
    </row>
    <row r="8" spans="1:26" x14ac:dyDescent="0.2">
      <c r="A8" s="217"/>
      <c r="B8" s="218"/>
      <c r="C8" s="390"/>
      <c r="D8" s="390"/>
      <c r="E8" s="390"/>
      <c r="F8" s="390"/>
      <c r="G8" s="390"/>
      <c r="H8" s="390"/>
      <c r="I8" s="390"/>
      <c r="J8" s="390"/>
      <c r="K8" s="390"/>
      <c r="L8" s="390"/>
      <c r="M8" s="391"/>
      <c r="N8" s="126"/>
      <c r="O8" s="126"/>
      <c r="P8" s="126"/>
      <c r="Q8" s="126"/>
      <c r="R8" s="126"/>
      <c r="S8" s="126"/>
      <c r="T8" s="126"/>
      <c r="U8" s="126"/>
      <c r="V8" s="126"/>
      <c r="W8" s="126"/>
      <c r="X8" s="126"/>
      <c r="Y8" s="126"/>
      <c r="Z8" s="126"/>
    </row>
    <row r="9" spans="1:26" x14ac:dyDescent="0.2">
      <c r="A9" s="217"/>
      <c r="B9" s="218"/>
      <c r="C9" s="390"/>
      <c r="D9" s="390"/>
      <c r="E9" s="390"/>
      <c r="F9" s="390"/>
      <c r="G9" s="390"/>
      <c r="H9" s="390"/>
      <c r="I9" s="390"/>
      <c r="J9" s="390"/>
      <c r="K9" s="390"/>
      <c r="L9" s="390"/>
      <c r="M9" s="391"/>
      <c r="N9" s="126"/>
      <c r="O9" s="126"/>
      <c r="P9" s="126"/>
      <c r="Q9" s="126"/>
      <c r="R9" s="126"/>
      <c r="S9" s="126"/>
      <c r="T9" s="126"/>
      <c r="U9" s="126"/>
      <c r="V9" s="126"/>
      <c r="W9" s="126"/>
      <c r="X9" s="126"/>
      <c r="Y9" s="126"/>
      <c r="Z9" s="126"/>
    </row>
    <row r="10" spans="1:26" x14ac:dyDescent="0.2">
      <c r="A10" s="217"/>
      <c r="B10" s="218"/>
      <c r="C10" s="390"/>
      <c r="D10" s="390"/>
      <c r="E10" s="390"/>
      <c r="F10" s="390"/>
      <c r="G10" s="390"/>
      <c r="H10" s="390"/>
      <c r="I10" s="390"/>
      <c r="J10" s="390"/>
      <c r="K10" s="390"/>
      <c r="L10" s="390"/>
      <c r="M10" s="391"/>
      <c r="N10" s="126"/>
      <c r="O10" s="126"/>
      <c r="P10" s="126"/>
      <c r="Q10" s="126"/>
      <c r="R10" s="126"/>
      <c r="S10" s="126"/>
      <c r="T10" s="126"/>
      <c r="U10" s="126"/>
      <c r="V10" s="126"/>
      <c r="W10" s="126"/>
      <c r="X10" s="126"/>
      <c r="Y10" s="126"/>
      <c r="Z10" s="126"/>
    </row>
    <row r="11" spans="1:26" x14ac:dyDescent="0.2">
      <c r="A11" s="217"/>
      <c r="B11" s="218"/>
      <c r="C11" s="390"/>
      <c r="D11" s="390"/>
      <c r="E11" s="390"/>
      <c r="F11" s="390"/>
      <c r="G11" s="390"/>
      <c r="H11" s="390"/>
      <c r="I11" s="390"/>
      <c r="J11" s="390"/>
      <c r="K11" s="390"/>
      <c r="L11" s="390"/>
      <c r="M11" s="391"/>
      <c r="N11" s="126"/>
      <c r="O11" s="126"/>
      <c r="P11" s="126"/>
      <c r="Q11" s="126"/>
      <c r="R11" s="126"/>
      <c r="S11" s="126"/>
      <c r="T11" s="126"/>
      <c r="U11" s="126"/>
      <c r="V11" s="126"/>
      <c r="W11" s="126"/>
      <c r="X11" s="126"/>
      <c r="Y11" s="126"/>
      <c r="Z11" s="126"/>
    </row>
    <row r="12" spans="1:26" x14ac:dyDescent="0.2">
      <c r="A12" s="217"/>
      <c r="B12" s="218"/>
      <c r="C12" s="390"/>
      <c r="D12" s="390"/>
      <c r="E12" s="390"/>
      <c r="F12" s="390"/>
      <c r="G12" s="390"/>
      <c r="H12" s="390"/>
      <c r="I12" s="390"/>
      <c r="J12" s="390"/>
      <c r="K12" s="390"/>
      <c r="L12" s="390"/>
      <c r="M12" s="391"/>
      <c r="N12" s="126"/>
      <c r="O12" s="126"/>
      <c r="P12" s="126"/>
      <c r="Q12" s="126"/>
      <c r="R12" s="126"/>
      <c r="S12" s="126"/>
      <c r="T12" s="126"/>
      <c r="U12" s="126"/>
      <c r="V12" s="126"/>
      <c r="W12" s="126"/>
      <c r="X12" s="126"/>
      <c r="Y12" s="126"/>
      <c r="Z12" s="126"/>
    </row>
    <row r="13" spans="1:26" x14ac:dyDescent="0.2">
      <c r="A13" s="217"/>
      <c r="B13" s="218"/>
      <c r="C13" s="390"/>
      <c r="D13" s="390"/>
      <c r="E13" s="390"/>
      <c r="F13" s="390"/>
      <c r="G13" s="390"/>
      <c r="H13" s="390"/>
      <c r="I13" s="390"/>
      <c r="J13" s="390"/>
      <c r="K13" s="390"/>
      <c r="L13" s="390"/>
      <c r="M13" s="391"/>
      <c r="N13" s="126"/>
      <c r="O13" s="126"/>
      <c r="P13" s="126"/>
      <c r="Q13" s="126"/>
      <c r="R13" s="126"/>
      <c r="S13" s="126"/>
      <c r="T13" s="126"/>
      <c r="U13" s="126"/>
      <c r="V13" s="126"/>
      <c r="W13" s="126"/>
      <c r="X13" s="126"/>
      <c r="Y13" s="126"/>
      <c r="Z13" s="126"/>
    </row>
    <row r="14" spans="1:26" x14ac:dyDescent="0.2">
      <c r="A14" s="217"/>
      <c r="B14" s="218"/>
      <c r="C14" s="390"/>
      <c r="D14" s="390"/>
      <c r="E14" s="390"/>
      <c r="F14" s="390"/>
      <c r="G14" s="390"/>
      <c r="H14" s="390"/>
      <c r="I14" s="390"/>
      <c r="J14" s="390"/>
      <c r="K14" s="390"/>
      <c r="L14" s="390"/>
      <c r="M14" s="391"/>
      <c r="N14" s="126"/>
      <c r="O14" s="126"/>
      <c r="P14" s="126"/>
      <c r="Q14" s="126"/>
      <c r="R14" s="126"/>
      <c r="S14" s="126"/>
      <c r="T14" s="126"/>
      <c r="U14" s="126"/>
      <c r="V14" s="126"/>
      <c r="W14" s="126"/>
      <c r="X14" s="126"/>
      <c r="Y14" s="126"/>
      <c r="Z14" s="126"/>
    </row>
    <row r="15" spans="1:26" x14ac:dyDescent="0.2">
      <c r="A15" s="217"/>
      <c r="B15" s="218"/>
      <c r="C15" s="390"/>
      <c r="D15" s="390"/>
      <c r="E15" s="390"/>
      <c r="F15" s="390"/>
      <c r="G15" s="390"/>
      <c r="H15" s="390"/>
      <c r="I15" s="390"/>
      <c r="J15" s="390"/>
      <c r="K15" s="390"/>
      <c r="L15" s="390"/>
      <c r="M15" s="391"/>
      <c r="N15" s="126"/>
      <c r="O15" s="126"/>
      <c r="P15" s="126"/>
      <c r="Q15" s="126"/>
      <c r="R15" s="126"/>
      <c r="S15" s="126"/>
      <c r="T15" s="126"/>
      <c r="U15" s="126"/>
      <c r="V15" s="126"/>
      <c r="W15" s="126"/>
      <c r="X15" s="126"/>
      <c r="Y15" s="126"/>
      <c r="Z15" s="126"/>
    </row>
    <row r="16" spans="1:26" x14ac:dyDescent="0.2">
      <c r="A16" s="217"/>
      <c r="B16" s="218"/>
      <c r="C16" s="390"/>
      <c r="D16" s="390"/>
      <c r="E16" s="390"/>
      <c r="F16" s="390"/>
      <c r="G16" s="390"/>
      <c r="H16" s="390"/>
      <c r="I16" s="390"/>
      <c r="J16" s="390"/>
      <c r="K16" s="390"/>
      <c r="L16" s="390"/>
      <c r="M16" s="391"/>
      <c r="N16" s="126"/>
      <c r="O16" s="126"/>
      <c r="P16" s="126"/>
      <c r="Q16" s="126"/>
      <c r="R16" s="126"/>
      <c r="S16" s="126"/>
      <c r="T16" s="126"/>
      <c r="U16" s="126"/>
      <c r="V16" s="126"/>
      <c r="W16" s="126"/>
      <c r="X16" s="126"/>
      <c r="Y16" s="126"/>
      <c r="Z16" s="126"/>
    </row>
    <row r="17" spans="1:256" x14ac:dyDescent="0.2">
      <c r="A17" s="217"/>
      <c r="B17" s="218"/>
      <c r="C17" s="390"/>
      <c r="D17" s="390"/>
      <c r="E17" s="390"/>
      <c r="F17" s="390"/>
      <c r="G17" s="390"/>
      <c r="H17" s="390"/>
      <c r="I17" s="390"/>
      <c r="J17" s="390"/>
      <c r="K17" s="390"/>
      <c r="L17" s="390"/>
      <c r="M17" s="391"/>
      <c r="N17" s="126"/>
      <c r="O17" s="126"/>
      <c r="P17" s="126"/>
      <c r="Q17" s="126"/>
      <c r="R17" s="126"/>
      <c r="S17" s="126"/>
      <c r="T17" s="126"/>
      <c r="U17" s="126"/>
      <c r="V17" s="126"/>
      <c r="W17" s="126"/>
      <c r="X17" s="126"/>
      <c r="Y17" s="126"/>
      <c r="Z17" s="126"/>
    </row>
    <row r="18" spans="1:256" x14ac:dyDescent="0.2">
      <c r="A18" s="217"/>
      <c r="B18" s="218"/>
      <c r="C18" s="390"/>
      <c r="D18" s="390"/>
      <c r="E18" s="390"/>
      <c r="F18" s="390"/>
      <c r="G18" s="390"/>
      <c r="H18" s="390"/>
      <c r="I18" s="390"/>
      <c r="J18" s="390"/>
      <c r="K18" s="390"/>
      <c r="L18" s="390"/>
      <c r="M18" s="391"/>
      <c r="N18" s="126"/>
      <c r="O18" s="126"/>
      <c r="P18" s="126"/>
      <c r="Q18" s="126"/>
      <c r="R18" s="126"/>
      <c r="S18" s="126"/>
      <c r="T18" s="126"/>
      <c r="U18" s="126"/>
      <c r="V18" s="126"/>
      <c r="W18" s="126"/>
      <c r="X18" s="126"/>
      <c r="Y18" s="126"/>
      <c r="Z18" s="126"/>
    </row>
    <row r="19" spans="1:256" x14ac:dyDescent="0.2">
      <c r="A19" s="217"/>
      <c r="B19" s="218"/>
      <c r="C19" s="390"/>
      <c r="D19" s="390"/>
      <c r="E19" s="390"/>
      <c r="F19" s="390"/>
      <c r="G19" s="390"/>
      <c r="H19" s="390"/>
      <c r="I19" s="390"/>
      <c r="J19" s="390"/>
      <c r="K19" s="390"/>
      <c r="L19" s="390"/>
      <c r="M19" s="391"/>
      <c r="N19" s="126"/>
      <c r="O19" s="126"/>
      <c r="P19" s="126"/>
      <c r="Q19" s="126"/>
      <c r="R19" s="126"/>
      <c r="S19" s="126"/>
      <c r="T19" s="126"/>
      <c r="U19" s="126"/>
      <c r="V19" s="126"/>
      <c r="W19" s="126"/>
      <c r="X19" s="126"/>
      <c r="Y19" s="126"/>
      <c r="Z19" s="126"/>
    </row>
    <row r="20" spans="1:256" x14ac:dyDescent="0.2">
      <c r="A20" s="217"/>
      <c r="B20" s="218"/>
      <c r="C20" s="390"/>
      <c r="D20" s="390"/>
      <c r="E20" s="390"/>
      <c r="F20" s="390"/>
      <c r="G20" s="390"/>
      <c r="H20" s="390"/>
      <c r="I20" s="390"/>
      <c r="J20" s="390"/>
      <c r="K20" s="390"/>
      <c r="L20" s="390"/>
      <c r="M20" s="391"/>
      <c r="N20" s="126"/>
      <c r="O20" s="126"/>
      <c r="P20" s="126"/>
      <c r="Q20" s="126"/>
      <c r="R20" s="126"/>
      <c r="S20" s="126"/>
      <c r="T20" s="126"/>
      <c r="U20" s="126"/>
      <c r="V20" s="126"/>
      <c r="W20" s="126"/>
      <c r="X20" s="126"/>
      <c r="Y20" s="126"/>
      <c r="Z20" s="126"/>
    </row>
    <row r="21" spans="1:256" x14ac:dyDescent="0.2">
      <c r="A21" s="217"/>
      <c r="B21" s="218"/>
      <c r="C21" s="390"/>
      <c r="D21" s="390"/>
      <c r="E21" s="390"/>
      <c r="F21" s="390"/>
      <c r="G21" s="390"/>
      <c r="H21" s="390"/>
      <c r="I21" s="390"/>
      <c r="J21" s="390"/>
      <c r="K21" s="390"/>
      <c r="L21" s="390"/>
      <c r="M21" s="391"/>
      <c r="N21" s="126"/>
      <c r="O21" s="126"/>
      <c r="P21" s="126"/>
      <c r="Q21" s="126"/>
      <c r="R21" s="126"/>
      <c r="S21" s="126"/>
      <c r="T21" s="126"/>
      <c r="U21" s="126"/>
      <c r="V21" s="126"/>
      <c r="W21" s="126"/>
      <c r="X21" s="126"/>
      <c r="Y21" s="126"/>
      <c r="Z21" s="126"/>
    </row>
    <row r="22" spans="1:256" x14ac:dyDescent="0.2">
      <c r="A22" s="217"/>
      <c r="B22" s="218"/>
      <c r="C22" s="390"/>
      <c r="D22" s="390"/>
      <c r="E22" s="390"/>
      <c r="F22" s="390"/>
      <c r="G22" s="390"/>
      <c r="H22" s="390"/>
      <c r="I22" s="390"/>
      <c r="J22" s="390"/>
      <c r="K22" s="390"/>
      <c r="L22" s="390"/>
      <c r="M22" s="391"/>
      <c r="N22" s="126"/>
      <c r="O22" s="126"/>
      <c r="P22" s="126"/>
      <c r="Q22" s="126"/>
      <c r="R22" s="126"/>
      <c r="S22" s="126"/>
      <c r="T22" s="126"/>
      <c r="U22" s="126"/>
      <c r="V22" s="126"/>
      <c r="W22" s="126"/>
      <c r="X22" s="126"/>
      <c r="Y22" s="126"/>
      <c r="Z22" s="126"/>
    </row>
    <row r="23" spans="1:256" x14ac:dyDescent="0.2">
      <c r="A23" s="217"/>
      <c r="B23" s="218"/>
      <c r="C23" s="390"/>
      <c r="D23" s="390"/>
      <c r="E23" s="390"/>
      <c r="F23" s="390"/>
      <c r="G23" s="390"/>
      <c r="H23" s="390"/>
      <c r="I23" s="390"/>
      <c r="J23" s="390"/>
      <c r="K23" s="390"/>
      <c r="L23" s="390"/>
      <c r="M23" s="391"/>
      <c r="N23" s="126"/>
      <c r="O23" s="126"/>
      <c r="P23" s="126"/>
      <c r="Q23" s="126"/>
      <c r="R23" s="126"/>
      <c r="S23" s="126"/>
      <c r="T23" s="126"/>
      <c r="U23" s="126"/>
      <c r="V23" s="126"/>
      <c r="W23" s="126"/>
      <c r="X23" s="126"/>
      <c r="Y23" s="126"/>
      <c r="Z23" s="126"/>
    </row>
    <row r="24" spans="1:256" x14ac:dyDescent="0.2">
      <c r="A24" s="217"/>
      <c r="B24" s="218"/>
      <c r="C24" s="390"/>
      <c r="D24" s="390"/>
      <c r="E24" s="390"/>
      <c r="F24" s="390"/>
      <c r="G24" s="390"/>
      <c r="H24" s="390"/>
      <c r="I24" s="390"/>
      <c r="J24" s="390"/>
      <c r="K24" s="390"/>
      <c r="L24" s="390"/>
      <c r="M24" s="391"/>
      <c r="N24" s="126"/>
      <c r="O24" s="126"/>
      <c r="P24" s="126"/>
      <c r="Q24" s="126"/>
      <c r="R24" s="126"/>
      <c r="S24" s="126"/>
      <c r="T24" s="126"/>
      <c r="U24" s="126"/>
      <c r="V24" s="126"/>
      <c r="W24" s="126"/>
      <c r="X24" s="126"/>
      <c r="Y24" s="126"/>
      <c r="Z24" s="126"/>
    </row>
    <row r="25" spans="1:256" x14ac:dyDescent="0.2">
      <c r="A25" s="217"/>
      <c r="B25" s="218"/>
      <c r="C25" s="390"/>
      <c r="D25" s="390"/>
      <c r="E25" s="390"/>
      <c r="F25" s="390"/>
      <c r="G25" s="390"/>
      <c r="H25" s="390"/>
      <c r="I25" s="390"/>
      <c r="J25" s="390"/>
      <c r="K25" s="390"/>
      <c r="L25" s="390"/>
      <c r="M25" s="391"/>
      <c r="N25" s="126"/>
      <c r="O25" s="126"/>
      <c r="P25" s="126"/>
      <c r="Q25" s="126"/>
      <c r="R25" s="126"/>
      <c r="S25" s="126"/>
      <c r="T25" s="126"/>
      <c r="U25" s="126"/>
      <c r="V25" s="126"/>
      <c r="W25" s="126"/>
      <c r="X25" s="126"/>
      <c r="Y25" s="126"/>
      <c r="Z25" s="126"/>
    </row>
    <row r="26" spans="1:256" x14ac:dyDescent="0.2">
      <c r="A26" s="217"/>
      <c r="B26" s="218"/>
      <c r="C26" s="390"/>
      <c r="D26" s="390"/>
      <c r="E26" s="390"/>
      <c r="F26" s="390"/>
      <c r="G26" s="390"/>
      <c r="H26" s="390"/>
      <c r="I26" s="390"/>
      <c r="J26" s="390"/>
      <c r="K26" s="390"/>
      <c r="L26" s="390"/>
      <c r="M26" s="391"/>
      <c r="N26" s="126"/>
      <c r="O26" s="126"/>
      <c r="P26" s="126"/>
      <c r="Q26" s="126"/>
      <c r="R26" s="126"/>
      <c r="S26" s="126"/>
      <c r="T26" s="126"/>
      <c r="U26" s="126"/>
      <c r="V26" s="126"/>
      <c r="W26" s="126"/>
      <c r="X26" s="126"/>
      <c r="Y26" s="126"/>
      <c r="Z26" s="126"/>
    </row>
    <row r="27" spans="1:256" x14ac:dyDescent="0.2">
      <c r="A27" s="217"/>
      <c r="B27" s="218"/>
      <c r="C27" s="390"/>
      <c r="D27" s="390"/>
      <c r="E27" s="390"/>
      <c r="F27" s="390"/>
      <c r="G27" s="390"/>
      <c r="H27" s="390"/>
      <c r="I27" s="390"/>
      <c r="J27" s="390"/>
      <c r="K27" s="390"/>
      <c r="L27" s="390"/>
      <c r="M27" s="391"/>
      <c r="N27" s="126"/>
      <c r="O27" s="126"/>
      <c r="P27" s="126"/>
      <c r="Q27" s="126"/>
      <c r="R27" s="126"/>
      <c r="S27" s="126"/>
      <c r="T27" s="126"/>
      <c r="U27" s="126"/>
      <c r="V27" s="126"/>
      <c r="W27" s="126"/>
      <c r="X27" s="126"/>
      <c r="Y27" s="126"/>
      <c r="Z27" s="126"/>
    </row>
    <row r="28" spans="1:256" x14ac:dyDescent="0.2">
      <c r="A28" s="217"/>
      <c r="B28" s="218"/>
      <c r="C28" s="390"/>
      <c r="D28" s="390"/>
      <c r="E28" s="390"/>
      <c r="F28" s="390"/>
      <c r="G28" s="390"/>
      <c r="H28" s="390"/>
      <c r="I28" s="390"/>
      <c r="J28" s="390"/>
      <c r="K28" s="390"/>
      <c r="L28" s="390"/>
      <c r="M28" s="391"/>
      <c r="N28" s="126"/>
      <c r="O28" s="126"/>
      <c r="P28" s="126"/>
      <c r="Q28" s="126"/>
      <c r="R28" s="126"/>
      <c r="S28" s="126"/>
      <c r="T28" s="126"/>
      <c r="U28" s="126"/>
      <c r="V28" s="126"/>
      <c r="W28" s="126"/>
      <c r="X28" s="126"/>
      <c r="Y28" s="126"/>
      <c r="Z28" s="126"/>
    </row>
    <row r="29" spans="1:256" x14ac:dyDescent="0.2">
      <c r="A29" s="217"/>
      <c r="B29" s="218"/>
      <c r="C29" s="390"/>
      <c r="D29" s="390"/>
      <c r="E29" s="390"/>
      <c r="F29" s="390"/>
      <c r="G29" s="390"/>
      <c r="H29" s="390"/>
      <c r="I29" s="390"/>
      <c r="J29" s="390"/>
      <c r="K29" s="390"/>
      <c r="L29" s="390"/>
      <c r="M29" s="391"/>
      <c r="N29" s="210"/>
      <c r="O29" s="210"/>
      <c r="P29" s="396"/>
      <c r="Q29" s="396"/>
      <c r="R29" s="396"/>
      <c r="S29" s="396"/>
      <c r="T29" s="396"/>
      <c r="U29" s="396"/>
      <c r="V29" s="396"/>
      <c r="W29" s="396"/>
      <c r="X29" s="396"/>
      <c r="Y29" s="396"/>
      <c r="Z29" s="396"/>
      <c r="AA29" s="206"/>
      <c r="AB29" s="206"/>
      <c r="AC29" s="395"/>
      <c r="AD29" s="395"/>
      <c r="AE29" s="395"/>
      <c r="AF29" s="395"/>
      <c r="AG29" s="395"/>
      <c r="AH29" s="395"/>
      <c r="AI29" s="395"/>
      <c r="AJ29" s="395"/>
      <c r="AK29" s="395"/>
      <c r="AL29" s="395"/>
      <c r="AM29" s="395"/>
      <c r="AN29" s="206"/>
      <c r="AO29" s="206"/>
      <c r="AP29" s="395"/>
      <c r="AQ29" s="395"/>
      <c r="AR29" s="395"/>
      <c r="AS29" s="395"/>
      <c r="AT29" s="395"/>
      <c r="AU29" s="395"/>
      <c r="AV29" s="395"/>
      <c r="AW29" s="395"/>
      <c r="AX29" s="395"/>
      <c r="AY29" s="395"/>
      <c r="AZ29" s="395"/>
      <c r="BA29" s="206"/>
      <c r="BB29" s="206"/>
      <c r="BC29" s="395"/>
      <c r="BD29" s="395"/>
      <c r="BE29" s="395"/>
      <c r="BF29" s="395"/>
      <c r="BG29" s="395"/>
      <c r="BH29" s="395"/>
      <c r="BI29" s="395"/>
      <c r="BJ29" s="395"/>
      <c r="BK29" s="395"/>
      <c r="BL29" s="395"/>
      <c r="BM29" s="395"/>
      <c r="BN29" s="206"/>
      <c r="BO29" s="206"/>
      <c r="BP29" s="395"/>
      <c r="BQ29" s="395"/>
      <c r="BR29" s="395"/>
      <c r="BS29" s="395"/>
      <c r="BT29" s="395"/>
      <c r="BU29" s="395"/>
      <c r="BV29" s="395"/>
      <c r="BW29" s="395"/>
      <c r="BX29" s="395"/>
      <c r="BY29" s="395"/>
      <c r="BZ29" s="395"/>
      <c r="CA29" s="206"/>
      <c r="CB29" s="206"/>
      <c r="CC29" s="395"/>
      <c r="CD29" s="395"/>
      <c r="CE29" s="395"/>
      <c r="CF29" s="395"/>
      <c r="CG29" s="395"/>
      <c r="CH29" s="395"/>
      <c r="CI29" s="395"/>
      <c r="CJ29" s="395"/>
      <c r="CK29" s="395"/>
      <c r="CL29" s="395"/>
      <c r="CM29" s="395"/>
      <c r="CN29" s="206"/>
      <c r="CO29" s="206"/>
      <c r="CP29" s="395"/>
      <c r="CQ29" s="395"/>
      <c r="CR29" s="395"/>
      <c r="CS29" s="395"/>
      <c r="CT29" s="395"/>
      <c r="CU29" s="395"/>
      <c r="CV29" s="395"/>
      <c r="CW29" s="395"/>
      <c r="CX29" s="395"/>
      <c r="CY29" s="395"/>
      <c r="CZ29" s="395"/>
      <c r="DA29" s="206"/>
      <c r="DB29" s="206"/>
      <c r="DC29" s="395"/>
      <c r="DD29" s="395"/>
      <c r="DE29" s="395"/>
      <c r="DF29" s="395"/>
      <c r="DG29" s="395"/>
      <c r="DH29" s="395"/>
      <c r="DI29" s="395"/>
      <c r="DJ29" s="395"/>
      <c r="DK29" s="395"/>
      <c r="DL29" s="395"/>
      <c r="DM29" s="395"/>
      <c r="DN29" s="206"/>
      <c r="DO29" s="206"/>
      <c r="DP29" s="395"/>
      <c r="DQ29" s="395"/>
      <c r="DR29" s="395"/>
      <c r="DS29" s="395"/>
      <c r="DT29" s="395"/>
      <c r="DU29" s="395"/>
      <c r="DV29" s="395"/>
      <c r="DW29" s="395"/>
      <c r="DX29" s="395"/>
      <c r="DY29" s="395"/>
      <c r="DZ29" s="395"/>
      <c r="EA29" s="206"/>
      <c r="EB29" s="206"/>
      <c r="EC29" s="395"/>
      <c r="ED29" s="395"/>
      <c r="EE29" s="395"/>
      <c r="EF29" s="395"/>
      <c r="EG29" s="395"/>
      <c r="EH29" s="395"/>
      <c r="EI29" s="395"/>
      <c r="EJ29" s="395"/>
      <c r="EK29" s="395"/>
      <c r="EL29" s="395"/>
      <c r="EM29" s="395"/>
      <c r="EN29" s="206"/>
      <c r="EO29" s="206"/>
      <c r="EP29" s="395"/>
      <c r="EQ29" s="395"/>
      <c r="ER29" s="395"/>
      <c r="ES29" s="395"/>
      <c r="ET29" s="395"/>
      <c r="EU29" s="395"/>
      <c r="EV29" s="395"/>
      <c r="EW29" s="395"/>
      <c r="EX29" s="395"/>
      <c r="EY29" s="395"/>
      <c r="EZ29" s="395"/>
      <c r="FA29" s="206"/>
      <c r="FB29" s="206"/>
      <c r="FC29" s="395"/>
      <c r="FD29" s="395"/>
      <c r="FE29" s="395"/>
      <c r="FF29" s="395"/>
      <c r="FG29" s="395"/>
      <c r="FH29" s="395"/>
      <c r="FI29" s="395"/>
      <c r="FJ29" s="395"/>
      <c r="FK29" s="395"/>
      <c r="FL29" s="395"/>
      <c r="FM29" s="395"/>
      <c r="FN29" s="206"/>
      <c r="FO29" s="206"/>
      <c r="FP29" s="395"/>
      <c r="FQ29" s="395"/>
      <c r="FR29" s="395"/>
      <c r="FS29" s="395"/>
      <c r="FT29" s="395"/>
      <c r="FU29" s="395"/>
      <c r="FV29" s="395"/>
      <c r="FW29" s="395"/>
      <c r="FX29" s="395"/>
      <c r="FY29" s="395"/>
      <c r="FZ29" s="395"/>
      <c r="GA29" s="206"/>
      <c r="GB29" s="206"/>
      <c r="GC29" s="395"/>
      <c r="GD29" s="395"/>
      <c r="GE29" s="395"/>
      <c r="GF29" s="395"/>
      <c r="GG29" s="395"/>
      <c r="GH29" s="395"/>
      <c r="GI29" s="395"/>
      <c r="GJ29" s="395"/>
      <c r="GK29" s="395"/>
      <c r="GL29" s="395"/>
      <c r="GM29" s="395"/>
      <c r="GN29" s="206"/>
      <c r="GO29" s="206"/>
      <c r="GP29" s="395"/>
      <c r="GQ29" s="395"/>
      <c r="GR29" s="395"/>
      <c r="GS29" s="395"/>
      <c r="GT29" s="395"/>
      <c r="GU29" s="395"/>
      <c r="GV29" s="395"/>
      <c r="GW29" s="395"/>
      <c r="GX29" s="395"/>
      <c r="GY29" s="395"/>
      <c r="GZ29" s="395"/>
      <c r="HA29" s="206"/>
      <c r="HB29" s="206"/>
      <c r="HC29" s="395"/>
      <c r="HD29" s="395"/>
      <c r="HE29" s="395"/>
      <c r="HF29" s="395"/>
      <c r="HG29" s="395"/>
      <c r="HH29" s="395"/>
      <c r="HI29" s="395"/>
      <c r="HJ29" s="395"/>
      <c r="HK29" s="395"/>
      <c r="HL29" s="395"/>
      <c r="HM29" s="395"/>
      <c r="HN29" s="206"/>
      <c r="HO29" s="206"/>
      <c r="HP29" s="395"/>
      <c r="HQ29" s="395"/>
      <c r="HR29" s="395"/>
      <c r="HS29" s="395"/>
      <c r="HT29" s="395"/>
      <c r="HU29" s="395"/>
      <c r="HV29" s="395"/>
      <c r="HW29" s="395"/>
      <c r="HX29" s="395"/>
      <c r="HY29" s="395"/>
      <c r="HZ29" s="395"/>
      <c r="IA29" s="206"/>
      <c r="IB29" s="206"/>
      <c r="IC29" s="395"/>
      <c r="ID29" s="395"/>
      <c r="IE29" s="395"/>
      <c r="IF29" s="395"/>
      <c r="IG29" s="395"/>
      <c r="IH29" s="395"/>
      <c r="II29" s="395"/>
      <c r="IJ29" s="395"/>
      <c r="IK29" s="395"/>
      <c r="IL29" s="395"/>
      <c r="IM29" s="395"/>
      <c r="IN29" s="206"/>
      <c r="IO29" s="206"/>
      <c r="IP29" s="395"/>
      <c r="IQ29" s="395"/>
      <c r="IR29" s="395"/>
      <c r="IS29" s="395"/>
      <c r="IT29" s="395"/>
      <c r="IU29" s="395"/>
      <c r="IV29" s="395"/>
    </row>
    <row r="30" spans="1:256" x14ac:dyDescent="0.2">
      <c r="A30" s="217"/>
      <c r="B30" s="218"/>
      <c r="C30" s="390"/>
      <c r="D30" s="390"/>
      <c r="E30" s="390"/>
      <c r="F30" s="390"/>
      <c r="G30" s="390"/>
      <c r="H30" s="390"/>
      <c r="I30" s="390"/>
      <c r="J30" s="390"/>
      <c r="K30" s="390"/>
      <c r="L30" s="390"/>
      <c r="M30" s="391"/>
      <c r="N30" s="210"/>
      <c r="O30" s="210"/>
      <c r="P30" s="396"/>
      <c r="Q30" s="396"/>
      <c r="R30" s="396"/>
      <c r="S30" s="396"/>
      <c r="T30" s="396"/>
      <c r="U30" s="396"/>
      <c r="V30" s="396"/>
      <c r="W30" s="396"/>
      <c r="X30" s="396"/>
      <c r="Y30" s="396"/>
      <c r="Z30" s="396"/>
      <c r="AA30" s="206"/>
      <c r="AB30" s="206"/>
      <c r="AC30" s="395"/>
      <c r="AD30" s="395"/>
      <c r="AE30" s="395"/>
      <c r="AF30" s="395"/>
      <c r="AG30" s="395"/>
      <c r="AH30" s="395"/>
      <c r="AI30" s="395"/>
      <c r="AJ30" s="395"/>
      <c r="AK30" s="395"/>
      <c r="AL30" s="395"/>
      <c r="AM30" s="395"/>
      <c r="AN30" s="206"/>
      <c r="AO30" s="206"/>
      <c r="AP30" s="395"/>
      <c r="AQ30" s="395"/>
      <c r="AR30" s="395"/>
      <c r="AS30" s="395"/>
      <c r="AT30" s="395"/>
      <c r="AU30" s="395"/>
      <c r="AV30" s="395"/>
      <c r="AW30" s="395"/>
      <c r="AX30" s="395"/>
      <c r="AY30" s="395"/>
      <c r="AZ30" s="395"/>
      <c r="BA30" s="206"/>
      <c r="BB30" s="206"/>
      <c r="BC30" s="395"/>
      <c r="BD30" s="395"/>
      <c r="BE30" s="395"/>
      <c r="BF30" s="395"/>
      <c r="BG30" s="395"/>
      <c r="BH30" s="395"/>
      <c r="BI30" s="395"/>
      <c r="BJ30" s="395"/>
      <c r="BK30" s="395"/>
      <c r="BL30" s="395"/>
      <c r="BM30" s="395"/>
      <c r="BN30" s="206"/>
      <c r="BO30" s="206"/>
      <c r="BP30" s="395"/>
      <c r="BQ30" s="395"/>
      <c r="BR30" s="395"/>
      <c r="BS30" s="395"/>
      <c r="BT30" s="395"/>
      <c r="BU30" s="395"/>
      <c r="BV30" s="395"/>
      <c r="BW30" s="395"/>
      <c r="BX30" s="395"/>
      <c r="BY30" s="395"/>
      <c r="BZ30" s="395"/>
      <c r="CA30" s="206"/>
      <c r="CB30" s="206"/>
      <c r="CC30" s="395"/>
      <c r="CD30" s="395"/>
      <c r="CE30" s="395"/>
      <c r="CF30" s="395"/>
      <c r="CG30" s="395"/>
      <c r="CH30" s="395"/>
      <c r="CI30" s="395"/>
      <c r="CJ30" s="395"/>
      <c r="CK30" s="395"/>
      <c r="CL30" s="395"/>
      <c r="CM30" s="395"/>
      <c r="CN30" s="206"/>
      <c r="CO30" s="206"/>
      <c r="CP30" s="395"/>
      <c r="CQ30" s="395"/>
      <c r="CR30" s="395"/>
      <c r="CS30" s="395"/>
      <c r="CT30" s="395"/>
      <c r="CU30" s="395"/>
      <c r="CV30" s="395"/>
      <c r="CW30" s="395"/>
      <c r="CX30" s="395"/>
      <c r="CY30" s="395"/>
      <c r="CZ30" s="395"/>
      <c r="DA30" s="206"/>
      <c r="DB30" s="206"/>
      <c r="DC30" s="395"/>
      <c r="DD30" s="395"/>
      <c r="DE30" s="395"/>
      <c r="DF30" s="395"/>
      <c r="DG30" s="395"/>
      <c r="DH30" s="395"/>
      <c r="DI30" s="395"/>
      <c r="DJ30" s="395"/>
      <c r="DK30" s="395"/>
      <c r="DL30" s="395"/>
      <c r="DM30" s="395"/>
      <c r="DN30" s="206"/>
      <c r="DO30" s="206"/>
      <c r="DP30" s="395"/>
      <c r="DQ30" s="395"/>
      <c r="DR30" s="395"/>
      <c r="DS30" s="395"/>
      <c r="DT30" s="395"/>
      <c r="DU30" s="395"/>
      <c r="DV30" s="395"/>
      <c r="DW30" s="395"/>
      <c r="DX30" s="395"/>
      <c r="DY30" s="395"/>
      <c r="DZ30" s="395"/>
      <c r="EA30" s="206"/>
      <c r="EB30" s="206"/>
      <c r="EC30" s="395"/>
      <c r="ED30" s="395"/>
      <c r="EE30" s="395"/>
      <c r="EF30" s="395"/>
      <c r="EG30" s="395"/>
      <c r="EH30" s="395"/>
      <c r="EI30" s="395"/>
      <c r="EJ30" s="395"/>
      <c r="EK30" s="395"/>
      <c r="EL30" s="395"/>
      <c r="EM30" s="395"/>
      <c r="EN30" s="206"/>
      <c r="EO30" s="206"/>
      <c r="EP30" s="395"/>
      <c r="EQ30" s="395"/>
      <c r="ER30" s="395"/>
      <c r="ES30" s="395"/>
      <c r="ET30" s="395"/>
      <c r="EU30" s="395"/>
      <c r="EV30" s="395"/>
      <c r="EW30" s="395"/>
      <c r="EX30" s="395"/>
      <c r="EY30" s="395"/>
      <c r="EZ30" s="395"/>
      <c r="FA30" s="206"/>
      <c r="FB30" s="206"/>
      <c r="FC30" s="395"/>
      <c r="FD30" s="395"/>
      <c r="FE30" s="395"/>
      <c r="FF30" s="395"/>
      <c r="FG30" s="395"/>
      <c r="FH30" s="395"/>
      <c r="FI30" s="395"/>
      <c r="FJ30" s="395"/>
      <c r="FK30" s="395"/>
      <c r="FL30" s="395"/>
      <c r="FM30" s="395"/>
      <c r="FN30" s="206"/>
      <c r="FO30" s="206"/>
      <c r="FP30" s="395"/>
      <c r="FQ30" s="395"/>
      <c r="FR30" s="395"/>
      <c r="FS30" s="395"/>
      <c r="FT30" s="395"/>
      <c r="FU30" s="395"/>
      <c r="FV30" s="395"/>
      <c r="FW30" s="395"/>
      <c r="FX30" s="395"/>
      <c r="FY30" s="395"/>
      <c r="FZ30" s="395"/>
      <c r="GA30" s="206"/>
      <c r="GB30" s="206"/>
      <c r="GC30" s="395"/>
      <c r="GD30" s="395"/>
      <c r="GE30" s="395"/>
      <c r="GF30" s="395"/>
      <c r="GG30" s="395"/>
      <c r="GH30" s="395"/>
      <c r="GI30" s="395"/>
      <c r="GJ30" s="395"/>
      <c r="GK30" s="395"/>
      <c r="GL30" s="395"/>
      <c r="GM30" s="395"/>
      <c r="GN30" s="206"/>
      <c r="GO30" s="206"/>
      <c r="GP30" s="395"/>
      <c r="GQ30" s="395"/>
      <c r="GR30" s="395"/>
      <c r="GS30" s="395"/>
      <c r="GT30" s="395"/>
      <c r="GU30" s="395"/>
      <c r="GV30" s="395"/>
      <c r="GW30" s="395"/>
      <c r="GX30" s="395"/>
      <c r="GY30" s="395"/>
      <c r="GZ30" s="395"/>
      <c r="HA30" s="206"/>
      <c r="HB30" s="206"/>
      <c r="HC30" s="395"/>
      <c r="HD30" s="395"/>
      <c r="HE30" s="395"/>
      <c r="HF30" s="395"/>
      <c r="HG30" s="395"/>
      <c r="HH30" s="395"/>
      <c r="HI30" s="395"/>
      <c r="HJ30" s="395"/>
      <c r="HK30" s="395"/>
      <c r="HL30" s="395"/>
      <c r="HM30" s="395"/>
      <c r="HN30" s="206"/>
      <c r="HO30" s="206"/>
      <c r="HP30" s="395"/>
      <c r="HQ30" s="395"/>
      <c r="HR30" s="395"/>
      <c r="HS30" s="395"/>
      <c r="HT30" s="395"/>
      <c r="HU30" s="395"/>
      <c r="HV30" s="395"/>
      <c r="HW30" s="395"/>
      <c r="HX30" s="395"/>
      <c r="HY30" s="395"/>
      <c r="HZ30" s="395"/>
      <c r="IA30" s="206"/>
      <c r="IB30" s="206"/>
      <c r="IC30" s="395"/>
      <c r="ID30" s="395"/>
      <c r="IE30" s="395"/>
      <c r="IF30" s="395"/>
      <c r="IG30" s="395"/>
      <c r="IH30" s="395"/>
      <c r="II30" s="395"/>
      <c r="IJ30" s="395"/>
      <c r="IK30" s="395"/>
      <c r="IL30" s="395"/>
      <c r="IM30" s="395"/>
      <c r="IN30" s="206"/>
      <c r="IO30" s="206"/>
      <c r="IP30" s="395"/>
      <c r="IQ30" s="395"/>
      <c r="IR30" s="395"/>
      <c r="IS30" s="395"/>
      <c r="IT30" s="395"/>
      <c r="IU30" s="395"/>
      <c r="IV30" s="395"/>
    </row>
    <row r="31" spans="1:256" x14ac:dyDescent="0.2">
      <c r="A31" s="217"/>
      <c r="B31" s="218"/>
      <c r="C31" s="390"/>
      <c r="D31" s="390"/>
      <c r="E31" s="390"/>
      <c r="F31" s="390"/>
      <c r="G31" s="390"/>
      <c r="H31" s="390"/>
      <c r="I31" s="390"/>
      <c r="J31" s="390"/>
      <c r="K31" s="390"/>
      <c r="L31" s="390"/>
      <c r="M31" s="391"/>
      <c r="N31" s="210"/>
      <c r="O31" s="210"/>
      <c r="P31" s="396"/>
      <c r="Q31" s="396"/>
      <c r="R31" s="396"/>
      <c r="S31" s="396"/>
      <c r="T31" s="396"/>
      <c r="U31" s="396"/>
      <c r="V31" s="396"/>
      <c r="W31" s="396"/>
      <c r="X31" s="396"/>
      <c r="Y31" s="396"/>
      <c r="Z31" s="396"/>
      <c r="AA31" s="206"/>
      <c r="AB31" s="206"/>
      <c r="AC31" s="395"/>
      <c r="AD31" s="395"/>
      <c r="AE31" s="395"/>
      <c r="AF31" s="395"/>
      <c r="AG31" s="395"/>
      <c r="AH31" s="395"/>
      <c r="AI31" s="395"/>
      <c r="AJ31" s="395"/>
      <c r="AK31" s="395"/>
      <c r="AL31" s="395"/>
      <c r="AM31" s="395"/>
      <c r="AN31" s="206"/>
      <c r="AO31" s="206"/>
      <c r="AP31" s="395"/>
      <c r="AQ31" s="395"/>
      <c r="AR31" s="395"/>
      <c r="AS31" s="395"/>
      <c r="AT31" s="395"/>
      <c r="AU31" s="395"/>
      <c r="AV31" s="395"/>
      <c r="AW31" s="395"/>
      <c r="AX31" s="395"/>
      <c r="AY31" s="395"/>
      <c r="AZ31" s="395"/>
      <c r="BA31" s="206"/>
      <c r="BB31" s="206"/>
      <c r="BC31" s="395"/>
      <c r="BD31" s="395"/>
      <c r="BE31" s="395"/>
      <c r="BF31" s="395"/>
      <c r="BG31" s="395"/>
      <c r="BH31" s="395"/>
      <c r="BI31" s="395"/>
      <c r="BJ31" s="395"/>
      <c r="BK31" s="395"/>
      <c r="BL31" s="395"/>
      <c r="BM31" s="395"/>
      <c r="BN31" s="206"/>
      <c r="BO31" s="206"/>
      <c r="BP31" s="395"/>
      <c r="BQ31" s="395"/>
      <c r="BR31" s="395"/>
      <c r="BS31" s="395"/>
      <c r="BT31" s="395"/>
      <c r="BU31" s="395"/>
      <c r="BV31" s="395"/>
      <c r="BW31" s="395"/>
      <c r="BX31" s="395"/>
      <c r="BY31" s="395"/>
      <c r="BZ31" s="395"/>
      <c r="CA31" s="206"/>
      <c r="CB31" s="206"/>
      <c r="CC31" s="395"/>
      <c r="CD31" s="395"/>
      <c r="CE31" s="395"/>
      <c r="CF31" s="395"/>
      <c r="CG31" s="395"/>
      <c r="CH31" s="395"/>
      <c r="CI31" s="395"/>
      <c r="CJ31" s="395"/>
      <c r="CK31" s="395"/>
      <c r="CL31" s="395"/>
      <c r="CM31" s="395"/>
      <c r="CN31" s="206"/>
      <c r="CO31" s="206"/>
      <c r="CP31" s="395"/>
      <c r="CQ31" s="395"/>
      <c r="CR31" s="395"/>
      <c r="CS31" s="395"/>
      <c r="CT31" s="395"/>
      <c r="CU31" s="395"/>
      <c r="CV31" s="395"/>
      <c r="CW31" s="395"/>
      <c r="CX31" s="395"/>
      <c r="CY31" s="395"/>
      <c r="CZ31" s="395"/>
      <c r="DA31" s="206"/>
      <c r="DB31" s="206"/>
      <c r="DC31" s="395"/>
      <c r="DD31" s="395"/>
      <c r="DE31" s="395"/>
      <c r="DF31" s="395"/>
      <c r="DG31" s="395"/>
      <c r="DH31" s="395"/>
      <c r="DI31" s="395"/>
      <c r="DJ31" s="395"/>
      <c r="DK31" s="395"/>
      <c r="DL31" s="395"/>
      <c r="DM31" s="395"/>
      <c r="DN31" s="206"/>
      <c r="DO31" s="206"/>
      <c r="DP31" s="395"/>
      <c r="DQ31" s="395"/>
      <c r="DR31" s="395"/>
      <c r="DS31" s="395"/>
      <c r="DT31" s="395"/>
      <c r="DU31" s="395"/>
      <c r="DV31" s="395"/>
      <c r="DW31" s="395"/>
      <c r="DX31" s="395"/>
      <c r="DY31" s="395"/>
      <c r="DZ31" s="395"/>
      <c r="EA31" s="206"/>
      <c r="EB31" s="206"/>
      <c r="EC31" s="395"/>
      <c r="ED31" s="395"/>
      <c r="EE31" s="395"/>
      <c r="EF31" s="395"/>
      <c r="EG31" s="395"/>
      <c r="EH31" s="395"/>
      <c r="EI31" s="395"/>
      <c r="EJ31" s="395"/>
      <c r="EK31" s="395"/>
      <c r="EL31" s="395"/>
      <c r="EM31" s="395"/>
      <c r="EN31" s="206"/>
      <c r="EO31" s="206"/>
      <c r="EP31" s="395"/>
      <c r="EQ31" s="395"/>
      <c r="ER31" s="395"/>
      <c r="ES31" s="395"/>
      <c r="ET31" s="395"/>
      <c r="EU31" s="395"/>
      <c r="EV31" s="395"/>
      <c r="EW31" s="395"/>
      <c r="EX31" s="395"/>
      <c r="EY31" s="395"/>
      <c r="EZ31" s="395"/>
      <c r="FA31" s="206"/>
      <c r="FB31" s="206"/>
      <c r="FC31" s="395"/>
      <c r="FD31" s="395"/>
      <c r="FE31" s="395"/>
      <c r="FF31" s="395"/>
      <c r="FG31" s="395"/>
      <c r="FH31" s="395"/>
      <c r="FI31" s="395"/>
      <c r="FJ31" s="395"/>
      <c r="FK31" s="395"/>
      <c r="FL31" s="395"/>
      <c r="FM31" s="395"/>
      <c r="FN31" s="206"/>
      <c r="FO31" s="206"/>
      <c r="FP31" s="395"/>
      <c r="FQ31" s="395"/>
      <c r="FR31" s="395"/>
      <c r="FS31" s="395"/>
      <c r="FT31" s="395"/>
      <c r="FU31" s="395"/>
      <c r="FV31" s="395"/>
      <c r="FW31" s="395"/>
      <c r="FX31" s="395"/>
      <c r="FY31" s="395"/>
      <c r="FZ31" s="395"/>
      <c r="GA31" s="206"/>
      <c r="GB31" s="206"/>
      <c r="GC31" s="395"/>
      <c r="GD31" s="395"/>
      <c r="GE31" s="395"/>
      <c r="GF31" s="395"/>
      <c r="GG31" s="395"/>
      <c r="GH31" s="395"/>
      <c r="GI31" s="395"/>
      <c r="GJ31" s="395"/>
      <c r="GK31" s="395"/>
      <c r="GL31" s="395"/>
      <c r="GM31" s="395"/>
      <c r="GN31" s="206"/>
      <c r="GO31" s="206"/>
      <c r="GP31" s="395"/>
      <c r="GQ31" s="395"/>
      <c r="GR31" s="395"/>
      <c r="GS31" s="395"/>
      <c r="GT31" s="395"/>
      <c r="GU31" s="395"/>
      <c r="GV31" s="395"/>
      <c r="GW31" s="395"/>
      <c r="GX31" s="395"/>
      <c r="GY31" s="395"/>
      <c r="GZ31" s="395"/>
      <c r="HA31" s="206"/>
      <c r="HB31" s="206"/>
      <c r="HC31" s="395"/>
      <c r="HD31" s="395"/>
      <c r="HE31" s="395"/>
      <c r="HF31" s="395"/>
      <c r="HG31" s="395"/>
      <c r="HH31" s="395"/>
      <c r="HI31" s="395"/>
      <c r="HJ31" s="395"/>
      <c r="HK31" s="395"/>
      <c r="HL31" s="395"/>
      <c r="HM31" s="395"/>
      <c r="HN31" s="206"/>
      <c r="HO31" s="206"/>
      <c r="HP31" s="395"/>
      <c r="HQ31" s="395"/>
      <c r="HR31" s="395"/>
      <c r="HS31" s="395"/>
      <c r="HT31" s="395"/>
      <c r="HU31" s="395"/>
      <c r="HV31" s="395"/>
      <c r="HW31" s="395"/>
      <c r="HX31" s="395"/>
      <c r="HY31" s="395"/>
      <c r="HZ31" s="395"/>
      <c r="IA31" s="206"/>
      <c r="IB31" s="206"/>
      <c r="IC31" s="395"/>
      <c r="ID31" s="395"/>
      <c r="IE31" s="395"/>
      <c r="IF31" s="395"/>
      <c r="IG31" s="395"/>
      <c r="IH31" s="395"/>
      <c r="II31" s="395"/>
      <c r="IJ31" s="395"/>
      <c r="IK31" s="395"/>
      <c r="IL31" s="395"/>
      <c r="IM31" s="395"/>
      <c r="IN31" s="206"/>
      <c r="IO31" s="206"/>
      <c r="IP31" s="395"/>
      <c r="IQ31" s="395"/>
      <c r="IR31" s="395"/>
      <c r="IS31" s="395"/>
      <c r="IT31" s="395"/>
      <c r="IU31" s="395"/>
      <c r="IV31" s="395"/>
    </row>
    <row r="32" spans="1:256" x14ac:dyDescent="0.2">
      <c r="A32" s="217"/>
      <c r="B32" s="218"/>
      <c r="C32" s="390"/>
      <c r="D32" s="390"/>
      <c r="E32" s="390"/>
      <c r="F32" s="390"/>
      <c r="G32" s="390"/>
      <c r="H32" s="390"/>
      <c r="I32" s="390"/>
      <c r="J32" s="390"/>
      <c r="K32" s="390"/>
      <c r="L32" s="390"/>
      <c r="M32" s="391"/>
      <c r="N32" s="222"/>
      <c r="O32" s="222"/>
      <c r="P32" s="397"/>
      <c r="Q32" s="397"/>
      <c r="R32" s="397"/>
      <c r="S32" s="397"/>
      <c r="T32" s="397"/>
      <c r="U32" s="397"/>
      <c r="V32" s="397"/>
      <c r="W32" s="397"/>
      <c r="X32" s="397"/>
      <c r="Y32" s="397"/>
      <c r="Z32" s="398"/>
      <c r="AA32" s="217"/>
      <c r="AB32" s="218"/>
      <c r="AC32" s="390"/>
      <c r="AD32" s="390"/>
      <c r="AE32" s="390"/>
      <c r="AF32" s="390"/>
      <c r="AG32" s="390"/>
      <c r="AH32" s="390"/>
      <c r="AI32" s="390"/>
      <c r="AJ32" s="390"/>
      <c r="AK32" s="390"/>
      <c r="AL32" s="390"/>
      <c r="AM32" s="391"/>
      <c r="AN32" s="217"/>
      <c r="AO32" s="218"/>
      <c r="AP32" s="390"/>
      <c r="AQ32" s="390"/>
      <c r="AR32" s="390"/>
      <c r="AS32" s="390"/>
      <c r="AT32" s="390"/>
      <c r="AU32" s="390"/>
      <c r="AV32" s="390"/>
      <c r="AW32" s="390"/>
      <c r="AX32" s="390"/>
      <c r="AY32" s="390"/>
      <c r="AZ32" s="391"/>
      <c r="BA32" s="217"/>
      <c r="BB32" s="218"/>
      <c r="BC32" s="390"/>
      <c r="BD32" s="390"/>
      <c r="BE32" s="390"/>
      <c r="BF32" s="390"/>
      <c r="BG32" s="390"/>
      <c r="BH32" s="390"/>
      <c r="BI32" s="390"/>
      <c r="BJ32" s="390"/>
      <c r="BK32" s="390"/>
      <c r="BL32" s="390"/>
      <c r="BM32" s="391"/>
      <c r="BN32" s="217"/>
      <c r="BO32" s="218"/>
      <c r="BP32" s="390"/>
      <c r="BQ32" s="390"/>
      <c r="BR32" s="390"/>
      <c r="BS32" s="390"/>
      <c r="BT32" s="390"/>
      <c r="BU32" s="390"/>
      <c r="BV32" s="390"/>
      <c r="BW32" s="390"/>
      <c r="BX32" s="390"/>
      <c r="BY32" s="390"/>
      <c r="BZ32" s="391"/>
      <c r="CA32" s="217"/>
      <c r="CB32" s="218"/>
      <c r="CC32" s="390"/>
      <c r="CD32" s="390"/>
      <c r="CE32" s="390"/>
      <c r="CF32" s="390"/>
      <c r="CG32" s="390"/>
      <c r="CH32" s="390"/>
      <c r="CI32" s="390"/>
      <c r="CJ32" s="390"/>
      <c r="CK32" s="390"/>
      <c r="CL32" s="390"/>
      <c r="CM32" s="391"/>
      <c r="CN32" s="217"/>
      <c r="CO32" s="218"/>
      <c r="CP32" s="390"/>
      <c r="CQ32" s="390"/>
      <c r="CR32" s="390"/>
      <c r="CS32" s="390"/>
      <c r="CT32" s="390"/>
      <c r="CU32" s="390"/>
      <c r="CV32" s="390"/>
      <c r="CW32" s="390"/>
      <c r="CX32" s="390"/>
      <c r="CY32" s="390"/>
      <c r="CZ32" s="391"/>
      <c r="DA32" s="217"/>
      <c r="DB32" s="218"/>
      <c r="DC32" s="390"/>
      <c r="DD32" s="390"/>
      <c r="DE32" s="390"/>
      <c r="DF32" s="390"/>
      <c r="DG32" s="390"/>
      <c r="DH32" s="390"/>
      <c r="DI32" s="390"/>
      <c r="DJ32" s="390"/>
      <c r="DK32" s="390"/>
      <c r="DL32" s="390"/>
      <c r="DM32" s="391"/>
      <c r="DN32" s="217"/>
      <c r="DO32" s="218"/>
      <c r="DP32" s="390"/>
      <c r="DQ32" s="390"/>
      <c r="DR32" s="390"/>
      <c r="DS32" s="390"/>
      <c r="DT32" s="390"/>
      <c r="DU32" s="390"/>
      <c r="DV32" s="390"/>
      <c r="DW32" s="390"/>
      <c r="DX32" s="390"/>
      <c r="DY32" s="390"/>
      <c r="DZ32" s="391"/>
      <c r="EA32" s="217"/>
      <c r="EB32" s="218"/>
      <c r="EC32" s="390"/>
      <c r="ED32" s="390"/>
      <c r="EE32" s="390"/>
      <c r="EF32" s="390"/>
      <c r="EG32" s="390"/>
      <c r="EH32" s="390"/>
      <c r="EI32" s="390"/>
      <c r="EJ32" s="390"/>
      <c r="EK32" s="390"/>
      <c r="EL32" s="390"/>
      <c r="EM32" s="391"/>
      <c r="EN32" s="217"/>
      <c r="EO32" s="218"/>
      <c r="EP32" s="390"/>
      <c r="EQ32" s="390"/>
      <c r="ER32" s="390"/>
      <c r="ES32" s="390"/>
      <c r="ET32" s="390"/>
      <c r="EU32" s="390"/>
      <c r="EV32" s="390"/>
      <c r="EW32" s="390"/>
      <c r="EX32" s="390"/>
      <c r="EY32" s="390"/>
      <c r="EZ32" s="391"/>
      <c r="FA32" s="217"/>
      <c r="FB32" s="218"/>
      <c r="FC32" s="390"/>
      <c r="FD32" s="390"/>
      <c r="FE32" s="390"/>
      <c r="FF32" s="390"/>
      <c r="FG32" s="390"/>
      <c r="FH32" s="390"/>
      <c r="FI32" s="390"/>
      <c r="FJ32" s="390"/>
      <c r="FK32" s="390"/>
      <c r="FL32" s="390"/>
      <c r="FM32" s="391"/>
      <c r="FN32" s="217"/>
      <c r="FO32" s="218"/>
      <c r="FP32" s="390"/>
      <c r="FQ32" s="390"/>
      <c r="FR32" s="390"/>
      <c r="FS32" s="390"/>
      <c r="FT32" s="390"/>
      <c r="FU32" s="390"/>
      <c r="FV32" s="390"/>
      <c r="FW32" s="390"/>
      <c r="FX32" s="390"/>
      <c r="FY32" s="390"/>
      <c r="FZ32" s="391"/>
      <c r="GA32" s="217"/>
      <c r="GB32" s="218"/>
      <c r="GC32" s="390"/>
      <c r="GD32" s="390"/>
      <c r="GE32" s="390"/>
      <c r="GF32" s="390"/>
      <c r="GG32" s="390"/>
      <c r="GH32" s="390"/>
      <c r="GI32" s="390"/>
      <c r="GJ32" s="390"/>
      <c r="GK32" s="390"/>
      <c r="GL32" s="390"/>
      <c r="GM32" s="391"/>
      <c r="GN32" s="217"/>
      <c r="GO32" s="218"/>
      <c r="GP32" s="390"/>
      <c r="GQ32" s="390"/>
      <c r="GR32" s="390"/>
      <c r="GS32" s="390"/>
      <c r="GT32" s="390"/>
      <c r="GU32" s="390"/>
      <c r="GV32" s="390"/>
      <c r="GW32" s="390"/>
      <c r="GX32" s="390"/>
      <c r="GY32" s="390"/>
      <c r="GZ32" s="391"/>
      <c r="HA32" s="217"/>
      <c r="HB32" s="218"/>
      <c r="HC32" s="390"/>
      <c r="HD32" s="390"/>
      <c r="HE32" s="390"/>
      <c r="HF32" s="390"/>
      <c r="HG32" s="390"/>
      <c r="HH32" s="390"/>
      <c r="HI32" s="390"/>
      <c r="HJ32" s="390"/>
      <c r="HK32" s="390"/>
      <c r="HL32" s="390"/>
      <c r="HM32" s="391"/>
      <c r="HN32" s="217"/>
      <c r="HO32" s="218"/>
      <c r="HP32" s="390"/>
      <c r="HQ32" s="390"/>
      <c r="HR32" s="390"/>
      <c r="HS32" s="390"/>
      <c r="HT32" s="390"/>
      <c r="HU32" s="390"/>
      <c r="HV32" s="390"/>
      <c r="HW32" s="390"/>
      <c r="HX32" s="390"/>
      <c r="HY32" s="390"/>
      <c r="HZ32" s="391"/>
      <c r="IA32" s="217"/>
      <c r="IB32" s="218"/>
      <c r="IC32" s="390"/>
      <c r="ID32" s="390"/>
      <c r="IE32" s="390"/>
      <c r="IF32" s="390"/>
      <c r="IG32" s="390"/>
      <c r="IH32" s="390"/>
      <c r="II32" s="390"/>
      <c r="IJ32" s="390"/>
      <c r="IK32" s="390"/>
      <c r="IL32" s="390"/>
      <c r="IM32" s="391"/>
      <c r="IN32" s="217"/>
      <c r="IO32" s="218"/>
      <c r="IP32" s="390"/>
      <c r="IQ32" s="390"/>
      <c r="IR32" s="390"/>
      <c r="IS32" s="390"/>
      <c r="IT32" s="390"/>
      <c r="IU32" s="390"/>
      <c r="IV32" s="390"/>
    </row>
    <row r="33" spans="1:256" x14ac:dyDescent="0.2">
      <c r="A33" s="217"/>
      <c r="B33" s="218"/>
      <c r="C33" s="390"/>
      <c r="D33" s="390"/>
      <c r="E33" s="390"/>
      <c r="F33" s="390"/>
      <c r="G33" s="390"/>
      <c r="H33" s="390"/>
      <c r="I33" s="390"/>
      <c r="J33" s="390"/>
      <c r="K33" s="390"/>
      <c r="L33" s="390"/>
      <c r="M33" s="391"/>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90"/>
      <c r="D34" s="390"/>
      <c r="E34" s="390"/>
      <c r="F34" s="390"/>
      <c r="G34" s="390"/>
      <c r="H34" s="390"/>
      <c r="I34" s="390"/>
      <c r="J34" s="390"/>
      <c r="K34" s="390"/>
      <c r="L34" s="390"/>
      <c r="M34" s="391"/>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90"/>
      <c r="D35" s="390"/>
      <c r="E35" s="390"/>
      <c r="F35" s="390"/>
      <c r="G35" s="390"/>
      <c r="H35" s="390"/>
      <c r="I35" s="390"/>
      <c r="J35" s="390"/>
      <c r="K35" s="390"/>
      <c r="L35" s="390"/>
      <c r="M35" s="391"/>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90"/>
      <c r="D36" s="390"/>
      <c r="E36" s="390"/>
      <c r="F36" s="390"/>
      <c r="G36" s="390"/>
      <c r="H36" s="390"/>
      <c r="I36" s="390"/>
      <c r="J36" s="390"/>
      <c r="K36" s="390"/>
      <c r="L36" s="390"/>
      <c r="M36" s="391"/>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90"/>
      <c r="D37" s="390"/>
      <c r="E37" s="390"/>
      <c r="F37" s="390"/>
      <c r="G37" s="390"/>
      <c r="H37" s="390"/>
      <c r="I37" s="390"/>
      <c r="J37" s="390"/>
      <c r="K37" s="390"/>
      <c r="L37" s="390"/>
      <c r="M37" s="391"/>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90"/>
      <c r="D38" s="390"/>
      <c r="E38" s="390"/>
      <c r="F38" s="390"/>
      <c r="G38" s="390"/>
      <c r="H38" s="390"/>
      <c r="I38" s="390"/>
      <c r="J38" s="390"/>
      <c r="K38" s="390"/>
      <c r="L38" s="390"/>
      <c r="M38" s="391"/>
      <c r="N38" s="210"/>
      <c r="O38" s="210"/>
      <c r="P38" s="396"/>
      <c r="Q38" s="396"/>
      <c r="R38" s="396"/>
      <c r="S38" s="396"/>
      <c r="T38" s="396"/>
      <c r="U38" s="396"/>
      <c r="V38" s="396"/>
      <c r="W38" s="396"/>
      <c r="X38" s="396"/>
      <c r="Y38" s="396"/>
      <c r="Z38" s="396"/>
      <c r="AA38" s="206"/>
      <c r="AB38" s="206"/>
      <c r="AC38" s="395"/>
      <c r="AD38" s="395"/>
      <c r="AE38" s="395"/>
      <c r="AF38" s="395"/>
      <c r="AG38" s="395"/>
      <c r="AH38" s="395"/>
      <c r="AI38" s="395"/>
      <c r="AJ38" s="395"/>
      <c r="AK38" s="395"/>
      <c r="AL38" s="395"/>
      <c r="AM38" s="395"/>
      <c r="AN38" s="206"/>
      <c r="AO38" s="206"/>
      <c r="AP38" s="395"/>
      <c r="AQ38" s="395"/>
      <c r="AR38" s="395"/>
      <c r="AS38" s="395"/>
      <c r="AT38" s="395"/>
      <c r="AU38" s="395"/>
      <c r="AV38" s="395"/>
      <c r="AW38" s="395"/>
      <c r="AX38" s="395"/>
      <c r="AY38" s="395"/>
      <c r="AZ38" s="395"/>
      <c r="BA38" s="206"/>
      <c r="BB38" s="206"/>
      <c r="BC38" s="395"/>
      <c r="BD38" s="395"/>
      <c r="BE38" s="395"/>
      <c r="BF38" s="395"/>
      <c r="BG38" s="395"/>
      <c r="BH38" s="395"/>
      <c r="BI38" s="395"/>
      <c r="BJ38" s="395"/>
      <c r="BK38" s="395"/>
      <c r="BL38" s="395"/>
      <c r="BM38" s="395"/>
      <c r="BN38" s="206"/>
      <c r="BO38" s="206"/>
      <c r="BP38" s="395"/>
      <c r="BQ38" s="395"/>
      <c r="BR38" s="395"/>
      <c r="BS38" s="395"/>
      <c r="BT38" s="395"/>
      <c r="BU38" s="395"/>
      <c r="BV38" s="395"/>
      <c r="BW38" s="395"/>
      <c r="BX38" s="395"/>
      <c r="BY38" s="395"/>
      <c r="BZ38" s="395"/>
      <c r="CA38" s="206"/>
      <c r="CB38" s="206"/>
      <c r="CC38" s="395"/>
      <c r="CD38" s="395"/>
      <c r="CE38" s="395"/>
      <c r="CF38" s="395"/>
      <c r="CG38" s="395"/>
      <c r="CH38" s="395"/>
      <c r="CI38" s="395"/>
      <c r="CJ38" s="395"/>
      <c r="CK38" s="395"/>
      <c r="CL38" s="395"/>
      <c r="CM38" s="395"/>
      <c r="CN38" s="206"/>
      <c r="CO38" s="206"/>
      <c r="CP38" s="395"/>
      <c r="CQ38" s="395"/>
      <c r="CR38" s="395"/>
      <c r="CS38" s="395"/>
      <c r="CT38" s="395"/>
      <c r="CU38" s="395"/>
      <c r="CV38" s="395"/>
      <c r="CW38" s="395"/>
      <c r="CX38" s="395"/>
      <c r="CY38" s="395"/>
      <c r="CZ38" s="395"/>
      <c r="DA38" s="206"/>
      <c r="DB38" s="206"/>
      <c r="DC38" s="395"/>
      <c r="DD38" s="395"/>
      <c r="DE38" s="395"/>
      <c r="DF38" s="395"/>
      <c r="DG38" s="395"/>
      <c r="DH38" s="395"/>
      <c r="DI38" s="395"/>
      <c r="DJ38" s="395"/>
      <c r="DK38" s="395"/>
      <c r="DL38" s="395"/>
      <c r="DM38" s="395"/>
      <c r="DN38" s="206"/>
      <c r="DO38" s="206"/>
      <c r="DP38" s="395"/>
      <c r="DQ38" s="395"/>
      <c r="DR38" s="395"/>
      <c r="DS38" s="395"/>
      <c r="DT38" s="395"/>
      <c r="DU38" s="395"/>
      <c r="DV38" s="395"/>
      <c r="DW38" s="395"/>
      <c r="DX38" s="395"/>
      <c r="DY38" s="395"/>
      <c r="DZ38" s="395"/>
      <c r="EA38" s="206"/>
      <c r="EB38" s="206"/>
      <c r="EC38" s="395"/>
      <c r="ED38" s="395"/>
      <c r="EE38" s="395"/>
      <c r="EF38" s="395"/>
      <c r="EG38" s="395"/>
      <c r="EH38" s="395"/>
      <c r="EI38" s="395"/>
      <c r="EJ38" s="395"/>
      <c r="EK38" s="395"/>
      <c r="EL38" s="395"/>
      <c r="EM38" s="395"/>
      <c r="EN38" s="206"/>
      <c r="EO38" s="206"/>
      <c r="EP38" s="395"/>
      <c r="EQ38" s="395"/>
      <c r="ER38" s="395"/>
      <c r="ES38" s="395"/>
      <c r="ET38" s="395"/>
      <c r="EU38" s="395"/>
      <c r="EV38" s="395"/>
      <c r="EW38" s="395"/>
      <c r="EX38" s="395"/>
      <c r="EY38" s="395"/>
      <c r="EZ38" s="395"/>
      <c r="FA38" s="206"/>
      <c r="FB38" s="206"/>
      <c r="FC38" s="395"/>
      <c r="FD38" s="395"/>
      <c r="FE38" s="395"/>
      <c r="FF38" s="395"/>
      <c r="FG38" s="395"/>
      <c r="FH38" s="395"/>
      <c r="FI38" s="395"/>
      <c r="FJ38" s="395"/>
      <c r="FK38" s="395"/>
      <c r="FL38" s="395"/>
      <c r="FM38" s="395"/>
      <c r="FN38" s="206"/>
      <c r="FO38" s="206"/>
      <c r="FP38" s="395"/>
      <c r="FQ38" s="395"/>
      <c r="FR38" s="395"/>
      <c r="FS38" s="395"/>
      <c r="FT38" s="395"/>
      <c r="FU38" s="395"/>
      <c r="FV38" s="395"/>
      <c r="FW38" s="395"/>
      <c r="FX38" s="395"/>
      <c r="FY38" s="395"/>
      <c r="FZ38" s="395"/>
      <c r="GA38" s="206"/>
      <c r="GB38" s="206"/>
      <c r="GC38" s="395"/>
      <c r="GD38" s="395"/>
      <c r="GE38" s="395"/>
      <c r="GF38" s="395"/>
      <c r="GG38" s="395"/>
      <c r="GH38" s="395"/>
      <c r="GI38" s="395"/>
      <c r="GJ38" s="395"/>
      <c r="GK38" s="395"/>
      <c r="GL38" s="395"/>
      <c r="GM38" s="395"/>
      <c r="GN38" s="206"/>
      <c r="GO38" s="206"/>
      <c r="GP38" s="395"/>
      <c r="GQ38" s="395"/>
      <c r="GR38" s="395"/>
      <c r="GS38" s="395"/>
      <c r="GT38" s="395"/>
      <c r="GU38" s="395"/>
      <c r="GV38" s="395"/>
      <c r="GW38" s="395"/>
      <c r="GX38" s="395"/>
      <c r="GY38" s="395"/>
      <c r="GZ38" s="395"/>
      <c r="HA38" s="206"/>
      <c r="HB38" s="206"/>
      <c r="HC38" s="395"/>
      <c r="HD38" s="395"/>
      <c r="HE38" s="395"/>
      <c r="HF38" s="395"/>
      <c r="HG38" s="395"/>
      <c r="HH38" s="395"/>
      <c r="HI38" s="395"/>
      <c r="HJ38" s="395"/>
      <c r="HK38" s="395"/>
      <c r="HL38" s="395"/>
      <c r="HM38" s="395"/>
      <c r="HN38" s="206"/>
      <c r="HO38" s="206"/>
      <c r="HP38" s="395"/>
      <c r="HQ38" s="395"/>
      <c r="HR38" s="395"/>
      <c r="HS38" s="395"/>
      <c r="HT38" s="395"/>
      <c r="HU38" s="395"/>
      <c r="HV38" s="395"/>
      <c r="HW38" s="395"/>
      <c r="HX38" s="395"/>
      <c r="HY38" s="395"/>
      <c r="HZ38" s="395"/>
      <c r="IA38" s="206"/>
      <c r="IB38" s="206"/>
      <c r="IC38" s="395"/>
      <c r="ID38" s="395"/>
      <c r="IE38" s="395"/>
      <c r="IF38" s="395"/>
      <c r="IG38" s="395"/>
      <c r="IH38" s="395"/>
      <c r="II38" s="395"/>
      <c r="IJ38" s="395"/>
      <c r="IK38" s="395"/>
      <c r="IL38" s="395"/>
      <c r="IM38" s="395"/>
      <c r="IN38" s="206"/>
      <c r="IO38" s="206"/>
      <c r="IP38" s="395"/>
      <c r="IQ38" s="395"/>
      <c r="IR38" s="395"/>
      <c r="IS38" s="395"/>
      <c r="IT38" s="395"/>
      <c r="IU38" s="395"/>
      <c r="IV38" s="395"/>
    </row>
    <row r="39" spans="1:256" x14ac:dyDescent="0.2">
      <c r="A39" s="217"/>
      <c r="B39" s="218"/>
      <c r="C39" s="390"/>
      <c r="D39" s="390"/>
      <c r="E39" s="390"/>
      <c r="F39" s="390"/>
      <c r="G39" s="390"/>
      <c r="H39" s="390"/>
      <c r="I39" s="390"/>
      <c r="J39" s="390"/>
      <c r="K39" s="390"/>
      <c r="L39" s="390"/>
      <c r="M39" s="391"/>
      <c r="N39" s="210"/>
      <c r="O39" s="210"/>
      <c r="P39" s="396"/>
      <c r="Q39" s="396"/>
      <c r="R39" s="396"/>
      <c r="S39" s="396"/>
      <c r="T39" s="396"/>
      <c r="U39" s="396"/>
      <c r="V39" s="396"/>
      <c r="W39" s="396"/>
      <c r="X39" s="396"/>
      <c r="Y39" s="396"/>
      <c r="Z39" s="396"/>
      <c r="AA39" s="206"/>
      <c r="AB39" s="206"/>
      <c r="AC39" s="395"/>
      <c r="AD39" s="395"/>
      <c r="AE39" s="395"/>
      <c r="AF39" s="395"/>
      <c r="AG39" s="395"/>
      <c r="AH39" s="395"/>
      <c r="AI39" s="395"/>
      <c r="AJ39" s="395"/>
      <c r="AK39" s="395"/>
      <c r="AL39" s="395"/>
      <c r="AM39" s="395"/>
      <c r="AN39" s="206"/>
      <c r="AO39" s="206"/>
      <c r="AP39" s="395"/>
      <c r="AQ39" s="395"/>
      <c r="AR39" s="395"/>
      <c r="AS39" s="395"/>
      <c r="AT39" s="395"/>
      <c r="AU39" s="395"/>
      <c r="AV39" s="395"/>
      <c r="AW39" s="395"/>
      <c r="AX39" s="395"/>
      <c r="AY39" s="395"/>
      <c r="AZ39" s="395"/>
      <c r="BA39" s="206"/>
      <c r="BB39" s="206"/>
      <c r="BC39" s="395"/>
      <c r="BD39" s="395"/>
      <c r="BE39" s="395"/>
      <c r="BF39" s="395"/>
      <c r="BG39" s="395"/>
      <c r="BH39" s="395"/>
      <c r="BI39" s="395"/>
      <c r="BJ39" s="395"/>
      <c r="BK39" s="395"/>
      <c r="BL39" s="395"/>
      <c r="BM39" s="395"/>
      <c r="BN39" s="206"/>
      <c r="BO39" s="206"/>
      <c r="BP39" s="395"/>
      <c r="BQ39" s="395"/>
      <c r="BR39" s="395"/>
      <c r="BS39" s="395"/>
      <c r="BT39" s="395"/>
      <c r="BU39" s="395"/>
      <c r="BV39" s="395"/>
      <c r="BW39" s="395"/>
      <c r="BX39" s="395"/>
      <c r="BY39" s="395"/>
      <c r="BZ39" s="395"/>
      <c r="CA39" s="206"/>
      <c r="CB39" s="206"/>
      <c r="CC39" s="395"/>
      <c r="CD39" s="395"/>
      <c r="CE39" s="395"/>
      <c r="CF39" s="395"/>
      <c r="CG39" s="395"/>
      <c r="CH39" s="395"/>
      <c r="CI39" s="395"/>
      <c r="CJ39" s="395"/>
      <c r="CK39" s="395"/>
      <c r="CL39" s="395"/>
      <c r="CM39" s="395"/>
      <c r="CN39" s="206"/>
      <c r="CO39" s="206"/>
      <c r="CP39" s="395"/>
      <c r="CQ39" s="395"/>
      <c r="CR39" s="395"/>
      <c r="CS39" s="395"/>
      <c r="CT39" s="395"/>
      <c r="CU39" s="395"/>
      <c r="CV39" s="395"/>
      <c r="CW39" s="395"/>
      <c r="CX39" s="395"/>
      <c r="CY39" s="395"/>
      <c r="CZ39" s="395"/>
      <c r="DA39" s="206"/>
      <c r="DB39" s="206"/>
      <c r="DC39" s="395"/>
      <c r="DD39" s="395"/>
      <c r="DE39" s="395"/>
      <c r="DF39" s="395"/>
      <c r="DG39" s="395"/>
      <c r="DH39" s="395"/>
      <c r="DI39" s="395"/>
      <c r="DJ39" s="395"/>
      <c r="DK39" s="395"/>
      <c r="DL39" s="395"/>
      <c r="DM39" s="395"/>
      <c r="DN39" s="206"/>
      <c r="DO39" s="206"/>
      <c r="DP39" s="395"/>
      <c r="DQ39" s="395"/>
      <c r="DR39" s="395"/>
      <c r="DS39" s="395"/>
      <c r="DT39" s="395"/>
      <c r="DU39" s="395"/>
      <c r="DV39" s="395"/>
      <c r="DW39" s="395"/>
      <c r="DX39" s="395"/>
      <c r="DY39" s="395"/>
      <c r="DZ39" s="395"/>
      <c r="EA39" s="206"/>
      <c r="EB39" s="206"/>
      <c r="EC39" s="395"/>
      <c r="ED39" s="395"/>
      <c r="EE39" s="395"/>
      <c r="EF39" s="395"/>
      <c r="EG39" s="395"/>
      <c r="EH39" s="395"/>
      <c r="EI39" s="395"/>
      <c r="EJ39" s="395"/>
      <c r="EK39" s="395"/>
      <c r="EL39" s="395"/>
      <c r="EM39" s="395"/>
      <c r="EN39" s="206"/>
      <c r="EO39" s="206"/>
      <c r="EP39" s="395"/>
      <c r="EQ39" s="395"/>
      <c r="ER39" s="395"/>
      <c r="ES39" s="395"/>
      <c r="ET39" s="395"/>
      <c r="EU39" s="395"/>
      <c r="EV39" s="395"/>
      <c r="EW39" s="395"/>
      <c r="EX39" s="395"/>
      <c r="EY39" s="395"/>
      <c r="EZ39" s="395"/>
      <c r="FA39" s="206"/>
      <c r="FB39" s="206"/>
      <c r="FC39" s="395"/>
      <c r="FD39" s="395"/>
      <c r="FE39" s="395"/>
      <c r="FF39" s="395"/>
      <c r="FG39" s="395"/>
      <c r="FH39" s="395"/>
      <c r="FI39" s="395"/>
      <c r="FJ39" s="395"/>
      <c r="FK39" s="395"/>
      <c r="FL39" s="395"/>
      <c r="FM39" s="395"/>
      <c r="FN39" s="206"/>
      <c r="FO39" s="206"/>
      <c r="FP39" s="395"/>
      <c r="FQ39" s="395"/>
      <c r="FR39" s="395"/>
      <c r="FS39" s="395"/>
      <c r="FT39" s="395"/>
      <c r="FU39" s="395"/>
      <c r="FV39" s="395"/>
      <c r="FW39" s="395"/>
      <c r="FX39" s="395"/>
      <c r="FY39" s="395"/>
      <c r="FZ39" s="395"/>
      <c r="GA39" s="206"/>
      <c r="GB39" s="206"/>
      <c r="GC39" s="395"/>
      <c r="GD39" s="395"/>
      <c r="GE39" s="395"/>
      <c r="GF39" s="395"/>
      <c r="GG39" s="395"/>
      <c r="GH39" s="395"/>
      <c r="GI39" s="395"/>
      <c r="GJ39" s="395"/>
      <c r="GK39" s="395"/>
      <c r="GL39" s="395"/>
      <c r="GM39" s="395"/>
      <c r="GN39" s="206"/>
      <c r="GO39" s="206"/>
      <c r="GP39" s="395"/>
      <c r="GQ39" s="395"/>
      <c r="GR39" s="395"/>
      <c r="GS39" s="395"/>
      <c r="GT39" s="395"/>
      <c r="GU39" s="395"/>
      <c r="GV39" s="395"/>
      <c r="GW39" s="395"/>
      <c r="GX39" s="395"/>
      <c r="GY39" s="395"/>
      <c r="GZ39" s="395"/>
      <c r="HA39" s="206"/>
      <c r="HB39" s="206"/>
      <c r="HC39" s="395"/>
      <c r="HD39" s="395"/>
      <c r="HE39" s="395"/>
      <c r="HF39" s="395"/>
      <c r="HG39" s="395"/>
      <c r="HH39" s="395"/>
      <c r="HI39" s="395"/>
      <c r="HJ39" s="395"/>
      <c r="HK39" s="395"/>
      <c r="HL39" s="395"/>
      <c r="HM39" s="395"/>
      <c r="HN39" s="206"/>
      <c r="HO39" s="206"/>
      <c r="HP39" s="395"/>
      <c r="HQ39" s="395"/>
      <c r="HR39" s="395"/>
      <c r="HS39" s="395"/>
      <c r="HT39" s="395"/>
      <c r="HU39" s="395"/>
      <c r="HV39" s="395"/>
      <c r="HW39" s="395"/>
      <c r="HX39" s="395"/>
      <c r="HY39" s="395"/>
      <c r="HZ39" s="395"/>
      <c r="IA39" s="206"/>
      <c r="IB39" s="206"/>
      <c r="IC39" s="395"/>
      <c r="ID39" s="395"/>
      <c r="IE39" s="395"/>
      <c r="IF39" s="395"/>
      <c r="IG39" s="395"/>
      <c r="IH39" s="395"/>
      <c r="II39" s="395"/>
      <c r="IJ39" s="395"/>
      <c r="IK39" s="395"/>
      <c r="IL39" s="395"/>
      <c r="IM39" s="395"/>
      <c r="IN39" s="206"/>
      <c r="IO39" s="206"/>
      <c r="IP39" s="395"/>
      <c r="IQ39" s="395"/>
      <c r="IR39" s="395"/>
      <c r="IS39" s="395"/>
      <c r="IT39" s="395"/>
      <c r="IU39" s="395"/>
      <c r="IV39" s="395"/>
    </row>
    <row r="40" spans="1:256" x14ac:dyDescent="0.2">
      <c r="A40" s="217"/>
      <c r="B40" s="218"/>
      <c r="C40" s="390"/>
      <c r="D40" s="390"/>
      <c r="E40" s="390"/>
      <c r="F40" s="390"/>
      <c r="G40" s="390"/>
      <c r="H40" s="390"/>
      <c r="I40" s="390"/>
      <c r="J40" s="390"/>
      <c r="K40" s="390"/>
      <c r="L40" s="390"/>
      <c r="M40" s="391"/>
      <c r="N40" s="210"/>
      <c r="O40" s="210"/>
      <c r="P40" s="396"/>
      <c r="Q40" s="396"/>
      <c r="R40" s="396"/>
      <c r="S40" s="396"/>
      <c r="T40" s="396"/>
      <c r="U40" s="396"/>
      <c r="V40" s="396"/>
      <c r="W40" s="396"/>
      <c r="X40" s="396"/>
      <c r="Y40" s="396"/>
      <c r="Z40" s="396"/>
      <c r="AA40" s="206"/>
      <c r="AB40" s="206"/>
      <c r="AC40" s="395"/>
      <c r="AD40" s="395"/>
      <c r="AE40" s="395"/>
      <c r="AF40" s="395"/>
      <c r="AG40" s="395"/>
      <c r="AH40" s="395"/>
      <c r="AI40" s="395"/>
      <c r="AJ40" s="395"/>
      <c r="AK40" s="395"/>
      <c r="AL40" s="395"/>
      <c r="AM40" s="395"/>
      <c r="AN40" s="206"/>
      <c r="AO40" s="206"/>
      <c r="AP40" s="395"/>
      <c r="AQ40" s="395"/>
      <c r="AR40" s="395"/>
      <c r="AS40" s="395"/>
      <c r="AT40" s="395"/>
      <c r="AU40" s="395"/>
      <c r="AV40" s="395"/>
      <c r="AW40" s="395"/>
      <c r="AX40" s="395"/>
      <c r="AY40" s="395"/>
      <c r="AZ40" s="395"/>
      <c r="BA40" s="206"/>
      <c r="BB40" s="206"/>
      <c r="BC40" s="395"/>
      <c r="BD40" s="395"/>
      <c r="BE40" s="395"/>
      <c r="BF40" s="395"/>
      <c r="BG40" s="395"/>
      <c r="BH40" s="395"/>
      <c r="BI40" s="395"/>
      <c r="BJ40" s="395"/>
      <c r="BK40" s="395"/>
      <c r="BL40" s="395"/>
      <c r="BM40" s="395"/>
      <c r="BN40" s="206"/>
      <c r="BO40" s="206"/>
      <c r="BP40" s="395"/>
      <c r="BQ40" s="395"/>
      <c r="BR40" s="395"/>
      <c r="BS40" s="395"/>
      <c r="BT40" s="395"/>
      <c r="BU40" s="395"/>
      <c r="BV40" s="395"/>
      <c r="BW40" s="395"/>
      <c r="BX40" s="395"/>
      <c r="BY40" s="395"/>
      <c r="BZ40" s="395"/>
      <c r="CA40" s="206"/>
      <c r="CB40" s="206"/>
      <c r="CC40" s="395"/>
      <c r="CD40" s="395"/>
      <c r="CE40" s="395"/>
      <c r="CF40" s="395"/>
      <c r="CG40" s="395"/>
      <c r="CH40" s="395"/>
      <c r="CI40" s="395"/>
      <c r="CJ40" s="395"/>
      <c r="CK40" s="395"/>
      <c r="CL40" s="395"/>
      <c r="CM40" s="395"/>
      <c r="CN40" s="206"/>
      <c r="CO40" s="206"/>
      <c r="CP40" s="395"/>
      <c r="CQ40" s="395"/>
      <c r="CR40" s="395"/>
      <c r="CS40" s="395"/>
      <c r="CT40" s="395"/>
      <c r="CU40" s="395"/>
      <c r="CV40" s="395"/>
      <c r="CW40" s="395"/>
      <c r="CX40" s="395"/>
      <c r="CY40" s="395"/>
      <c r="CZ40" s="395"/>
      <c r="DA40" s="206"/>
      <c r="DB40" s="206"/>
      <c r="DC40" s="395"/>
      <c r="DD40" s="395"/>
      <c r="DE40" s="395"/>
      <c r="DF40" s="395"/>
      <c r="DG40" s="395"/>
      <c r="DH40" s="395"/>
      <c r="DI40" s="395"/>
      <c r="DJ40" s="395"/>
      <c r="DK40" s="395"/>
      <c r="DL40" s="395"/>
      <c r="DM40" s="395"/>
      <c r="DN40" s="206"/>
      <c r="DO40" s="206"/>
      <c r="DP40" s="395"/>
      <c r="DQ40" s="395"/>
      <c r="DR40" s="395"/>
      <c r="DS40" s="395"/>
      <c r="DT40" s="395"/>
      <c r="DU40" s="395"/>
      <c r="DV40" s="395"/>
      <c r="DW40" s="395"/>
      <c r="DX40" s="395"/>
      <c r="DY40" s="395"/>
      <c r="DZ40" s="395"/>
      <c r="EA40" s="206"/>
      <c r="EB40" s="206"/>
      <c r="EC40" s="395"/>
      <c r="ED40" s="395"/>
      <c r="EE40" s="395"/>
      <c r="EF40" s="395"/>
      <c r="EG40" s="395"/>
      <c r="EH40" s="395"/>
      <c r="EI40" s="395"/>
      <c r="EJ40" s="395"/>
      <c r="EK40" s="395"/>
      <c r="EL40" s="395"/>
      <c r="EM40" s="395"/>
      <c r="EN40" s="206"/>
      <c r="EO40" s="206"/>
      <c r="EP40" s="395"/>
      <c r="EQ40" s="395"/>
      <c r="ER40" s="395"/>
      <c r="ES40" s="395"/>
      <c r="ET40" s="395"/>
      <c r="EU40" s="395"/>
      <c r="EV40" s="395"/>
      <c r="EW40" s="395"/>
      <c r="EX40" s="395"/>
      <c r="EY40" s="395"/>
      <c r="EZ40" s="395"/>
      <c r="FA40" s="206"/>
      <c r="FB40" s="206"/>
      <c r="FC40" s="395"/>
      <c r="FD40" s="395"/>
      <c r="FE40" s="395"/>
      <c r="FF40" s="395"/>
      <c r="FG40" s="395"/>
      <c r="FH40" s="395"/>
      <c r="FI40" s="395"/>
      <c r="FJ40" s="395"/>
      <c r="FK40" s="395"/>
      <c r="FL40" s="395"/>
      <c r="FM40" s="395"/>
      <c r="FN40" s="206"/>
      <c r="FO40" s="206"/>
      <c r="FP40" s="395"/>
      <c r="FQ40" s="395"/>
      <c r="FR40" s="395"/>
      <c r="FS40" s="395"/>
      <c r="FT40" s="395"/>
      <c r="FU40" s="395"/>
      <c r="FV40" s="395"/>
      <c r="FW40" s="395"/>
      <c r="FX40" s="395"/>
      <c r="FY40" s="395"/>
      <c r="FZ40" s="395"/>
      <c r="GA40" s="206"/>
      <c r="GB40" s="206"/>
      <c r="GC40" s="395"/>
      <c r="GD40" s="395"/>
      <c r="GE40" s="395"/>
      <c r="GF40" s="395"/>
      <c r="GG40" s="395"/>
      <c r="GH40" s="395"/>
      <c r="GI40" s="395"/>
      <c r="GJ40" s="395"/>
      <c r="GK40" s="395"/>
      <c r="GL40" s="395"/>
      <c r="GM40" s="395"/>
      <c r="GN40" s="206"/>
      <c r="GO40" s="206"/>
      <c r="GP40" s="395"/>
      <c r="GQ40" s="395"/>
      <c r="GR40" s="395"/>
      <c r="GS40" s="395"/>
      <c r="GT40" s="395"/>
      <c r="GU40" s="395"/>
      <c r="GV40" s="395"/>
      <c r="GW40" s="395"/>
      <c r="GX40" s="395"/>
      <c r="GY40" s="395"/>
      <c r="GZ40" s="395"/>
      <c r="HA40" s="206"/>
      <c r="HB40" s="206"/>
      <c r="HC40" s="395"/>
      <c r="HD40" s="395"/>
      <c r="HE40" s="395"/>
      <c r="HF40" s="395"/>
      <c r="HG40" s="395"/>
      <c r="HH40" s="395"/>
      <c r="HI40" s="395"/>
      <c r="HJ40" s="395"/>
      <c r="HK40" s="395"/>
      <c r="HL40" s="395"/>
      <c r="HM40" s="395"/>
      <c r="HN40" s="206"/>
      <c r="HO40" s="206"/>
      <c r="HP40" s="395"/>
      <c r="HQ40" s="395"/>
      <c r="HR40" s="395"/>
      <c r="HS40" s="395"/>
      <c r="HT40" s="395"/>
      <c r="HU40" s="395"/>
      <c r="HV40" s="395"/>
      <c r="HW40" s="395"/>
      <c r="HX40" s="395"/>
      <c r="HY40" s="395"/>
      <c r="HZ40" s="395"/>
      <c r="IA40" s="206"/>
      <c r="IB40" s="206"/>
      <c r="IC40" s="395"/>
      <c r="ID40" s="395"/>
      <c r="IE40" s="395"/>
      <c r="IF40" s="395"/>
      <c r="IG40" s="395"/>
      <c r="IH40" s="395"/>
      <c r="II40" s="395"/>
      <c r="IJ40" s="395"/>
      <c r="IK40" s="395"/>
      <c r="IL40" s="395"/>
      <c r="IM40" s="395"/>
      <c r="IN40" s="206"/>
      <c r="IO40" s="206"/>
      <c r="IP40" s="395"/>
      <c r="IQ40" s="395"/>
      <c r="IR40" s="395"/>
      <c r="IS40" s="395"/>
      <c r="IT40" s="395"/>
      <c r="IU40" s="395"/>
      <c r="IV40" s="395"/>
    </row>
    <row r="41" spans="1:256" x14ac:dyDescent="0.2">
      <c r="A41" s="217"/>
      <c r="B41" s="218"/>
      <c r="C41" s="390"/>
      <c r="D41" s="390"/>
      <c r="E41" s="390"/>
      <c r="F41" s="390"/>
      <c r="G41" s="390"/>
      <c r="H41" s="390"/>
      <c r="I41" s="390"/>
      <c r="J41" s="390"/>
      <c r="K41" s="390"/>
      <c r="L41" s="390"/>
      <c r="M41" s="391"/>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90"/>
      <c r="D42" s="390"/>
      <c r="E42" s="390"/>
      <c r="F42" s="390"/>
      <c r="G42" s="390"/>
      <c r="H42" s="390"/>
      <c r="I42" s="390"/>
      <c r="J42" s="390"/>
      <c r="K42" s="390"/>
      <c r="L42" s="390"/>
      <c r="M42" s="391"/>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90"/>
      <c r="D43" s="390"/>
      <c r="E43" s="390"/>
      <c r="F43" s="390"/>
      <c r="G43" s="390"/>
      <c r="H43" s="390"/>
      <c r="I43" s="390"/>
      <c r="J43" s="390"/>
      <c r="K43" s="390"/>
      <c r="L43" s="390"/>
      <c r="M43" s="391"/>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90"/>
      <c r="D44" s="390"/>
      <c r="E44" s="390"/>
      <c r="F44" s="390"/>
      <c r="G44" s="390"/>
      <c r="H44" s="390"/>
      <c r="I44" s="390"/>
      <c r="J44" s="390"/>
      <c r="K44" s="390"/>
      <c r="L44" s="390"/>
      <c r="M44" s="391"/>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90"/>
      <c r="D45" s="390"/>
      <c r="E45" s="390"/>
      <c r="F45" s="390"/>
      <c r="G45" s="390"/>
      <c r="H45" s="390"/>
      <c r="I45" s="390"/>
      <c r="J45" s="390"/>
      <c r="K45" s="390"/>
      <c r="L45" s="390"/>
      <c r="M45" s="391"/>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90"/>
      <c r="D46" s="390"/>
      <c r="E46" s="390"/>
      <c r="F46" s="390"/>
      <c r="G46" s="390"/>
      <c r="H46" s="390"/>
      <c r="I46" s="390"/>
      <c r="J46" s="390"/>
      <c r="K46" s="390"/>
      <c r="L46" s="390"/>
      <c r="M46" s="391"/>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90"/>
      <c r="D47" s="390"/>
      <c r="E47" s="390"/>
      <c r="F47" s="390"/>
      <c r="G47" s="390"/>
      <c r="H47" s="390"/>
      <c r="I47" s="390"/>
      <c r="J47" s="390"/>
      <c r="K47" s="390"/>
      <c r="L47" s="390"/>
      <c r="M47" s="391"/>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90"/>
      <c r="D48" s="390"/>
      <c r="E48" s="390"/>
      <c r="F48" s="390"/>
      <c r="G48" s="390"/>
      <c r="H48" s="390"/>
      <c r="I48" s="390"/>
      <c r="J48" s="390"/>
      <c r="K48" s="390"/>
      <c r="L48" s="390"/>
      <c r="M48" s="391"/>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90"/>
      <c r="D49" s="390"/>
      <c r="E49" s="390"/>
      <c r="F49" s="390"/>
      <c r="G49" s="390"/>
      <c r="H49" s="390"/>
      <c r="I49" s="390"/>
      <c r="J49" s="390"/>
      <c r="K49" s="390"/>
      <c r="L49" s="390"/>
      <c r="M49" s="391"/>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90"/>
      <c r="D50" s="390"/>
      <c r="E50" s="390"/>
      <c r="F50" s="390"/>
      <c r="G50" s="390"/>
      <c r="H50" s="390"/>
      <c r="I50" s="390"/>
      <c r="J50" s="390"/>
      <c r="K50" s="390"/>
      <c r="L50" s="390"/>
      <c r="M50" s="391"/>
      <c r="N50" s="126"/>
      <c r="O50" s="126"/>
      <c r="P50" s="126"/>
      <c r="Q50" s="126"/>
      <c r="R50" s="126"/>
      <c r="S50" s="126"/>
      <c r="T50" s="126"/>
      <c r="U50" s="126"/>
      <c r="V50" s="126"/>
      <c r="W50" s="126"/>
      <c r="X50" s="126"/>
      <c r="Y50" s="126"/>
      <c r="Z50" s="126"/>
    </row>
    <row r="51" spans="1:256" x14ac:dyDescent="0.2">
      <c r="A51" s="217"/>
      <c r="B51" s="218"/>
      <c r="C51" s="390"/>
      <c r="D51" s="390"/>
      <c r="E51" s="390"/>
      <c r="F51" s="390"/>
      <c r="G51" s="390"/>
      <c r="H51" s="390"/>
      <c r="I51" s="390"/>
      <c r="J51" s="390"/>
      <c r="K51" s="390"/>
      <c r="L51" s="390"/>
      <c r="M51" s="391"/>
      <c r="N51" s="126"/>
      <c r="O51" s="126"/>
      <c r="P51" s="126"/>
      <c r="Q51" s="126"/>
      <c r="R51" s="126"/>
      <c r="S51" s="126"/>
      <c r="T51" s="126"/>
      <c r="U51" s="126"/>
      <c r="V51" s="126"/>
      <c r="W51" s="126"/>
      <c r="X51" s="126"/>
      <c r="Y51" s="126"/>
      <c r="Z51" s="126"/>
    </row>
    <row r="52" spans="1:256" x14ac:dyDescent="0.2">
      <c r="A52" s="217"/>
      <c r="B52" s="218"/>
      <c r="C52" s="390"/>
      <c r="D52" s="390"/>
      <c r="E52" s="390"/>
      <c r="F52" s="390"/>
      <c r="G52" s="390"/>
      <c r="H52" s="390"/>
      <c r="I52" s="390"/>
      <c r="J52" s="390"/>
      <c r="K52" s="390"/>
      <c r="L52" s="390"/>
      <c r="M52" s="391"/>
      <c r="N52" s="126"/>
      <c r="O52" s="126"/>
      <c r="P52" s="126"/>
      <c r="Q52" s="126"/>
      <c r="R52" s="126"/>
      <c r="S52" s="126"/>
      <c r="T52" s="126"/>
      <c r="U52" s="126"/>
      <c r="V52" s="126"/>
      <c r="W52" s="126"/>
      <c r="X52" s="126"/>
      <c r="Y52" s="126"/>
      <c r="Z52" s="126"/>
    </row>
    <row r="53" spans="1:256" x14ac:dyDescent="0.2">
      <c r="A53" s="217"/>
      <c r="B53" s="218"/>
      <c r="C53" s="390"/>
      <c r="D53" s="390"/>
      <c r="E53" s="390"/>
      <c r="F53" s="390"/>
      <c r="G53" s="390"/>
      <c r="H53" s="390"/>
      <c r="I53" s="390"/>
      <c r="J53" s="390"/>
      <c r="K53" s="390"/>
      <c r="L53" s="390"/>
      <c r="M53" s="391"/>
      <c r="N53" s="126"/>
      <c r="O53" s="126"/>
      <c r="P53" s="126"/>
      <c r="Q53" s="126"/>
      <c r="R53" s="126"/>
      <c r="S53" s="126"/>
      <c r="T53" s="126"/>
      <c r="U53" s="126"/>
      <c r="V53" s="126"/>
      <c r="W53" s="126"/>
      <c r="X53" s="126"/>
      <c r="Y53" s="126"/>
      <c r="Z53" s="126"/>
    </row>
    <row r="54" spans="1:256" x14ac:dyDescent="0.2">
      <c r="A54" s="217"/>
      <c r="B54" s="218"/>
      <c r="C54" s="390"/>
      <c r="D54" s="390"/>
      <c r="E54" s="390"/>
      <c r="F54" s="390"/>
      <c r="G54" s="390"/>
      <c r="H54" s="390"/>
      <c r="I54" s="390"/>
      <c r="J54" s="390"/>
      <c r="K54" s="390"/>
      <c r="L54" s="390"/>
      <c r="M54" s="391"/>
      <c r="N54" s="126"/>
      <c r="O54" s="126"/>
      <c r="P54" s="126"/>
      <c r="Q54" s="126"/>
      <c r="R54" s="126"/>
      <c r="S54" s="126"/>
      <c r="T54" s="126"/>
      <c r="U54" s="126"/>
      <c r="V54" s="126"/>
      <c r="W54" s="126"/>
      <c r="X54" s="126"/>
      <c r="Y54" s="126"/>
      <c r="Z54" s="126"/>
    </row>
    <row r="55" spans="1:256" x14ac:dyDescent="0.2">
      <c r="A55" s="217"/>
      <c r="B55" s="218"/>
      <c r="C55" s="390"/>
      <c r="D55" s="390"/>
      <c r="E55" s="390"/>
      <c r="F55" s="390"/>
      <c r="G55" s="390"/>
      <c r="H55" s="390"/>
      <c r="I55" s="390"/>
      <c r="J55" s="390"/>
      <c r="K55" s="390"/>
      <c r="L55" s="390"/>
      <c r="M55" s="391"/>
      <c r="N55" s="126"/>
      <c r="O55" s="126"/>
      <c r="P55" s="126"/>
      <c r="Q55" s="126"/>
      <c r="R55" s="126"/>
      <c r="S55" s="126"/>
      <c r="T55" s="126"/>
      <c r="U55" s="126"/>
      <c r="V55" s="126"/>
      <c r="W55" s="126"/>
      <c r="X55" s="126"/>
      <c r="Y55" s="126"/>
      <c r="Z55" s="126"/>
    </row>
    <row r="56" spans="1:256" x14ac:dyDescent="0.2">
      <c r="A56" s="217"/>
      <c r="B56" s="218"/>
      <c r="C56" s="390"/>
      <c r="D56" s="390"/>
      <c r="E56" s="390"/>
      <c r="F56" s="390"/>
      <c r="G56" s="390"/>
      <c r="H56" s="390"/>
      <c r="I56" s="390"/>
      <c r="J56" s="390"/>
      <c r="K56" s="390"/>
      <c r="L56" s="390"/>
      <c r="M56" s="391"/>
      <c r="N56" s="126"/>
      <c r="O56" s="126"/>
      <c r="P56" s="126"/>
      <c r="Q56" s="126"/>
      <c r="R56" s="126"/>
      <c r="S56" s="126"/>
      <c r="T56" s="126"/>
      <c r="U56" s="126"/>
      <c r="V56" s="126"/>
      <c r="W56" s="126"/>
      <c r="X56" s="126"/>
      <c r="Y56" s="126"/>
      <c r="Z56" s="126"/>
    </row>
    <row r="57" spans="1:256" x14ac:dyDescent="0.2">
      <c r="A57" s="217"/>
      <c r="B57" s="218"/>
      <c r="C57" s="390"/>
      <c r="D57" s="390"/>
      <c r="E57" s="390"/>
      <c r="F57" s="390"/>
      <c r="G57" s="390"/>
      <c r="H57" s="390"/>
      <c r="I57" s="390"/>
      <c r="J57" s="390"/>
      <c r="K57" s="390"/>
      <c r="L57" s="390"/>
      <c r="M57" s="391"/>
      <c r="N57" s="126"/>
      <c r="O57" s="126"/>
      <c r="P57" s="126"/>
      <c r="Q57" s="126"/>
      <c r="R57" s="126"/>
      <c r="S57" s="126"/>
      <c r="T57" s="126"/>
      <c r="U57" s="126"/>
      <c r="V57" s="126"/>
      <c r="W57" s="126"/>
      <c r="X57" s="126"/>
      <c r="Y57" s="126"/>
      <c r="Z57" s="126"/>
    </row>
    <row r="58" spans="1:256" x14ac:dyDescent="0.2">
      <c r="A58" s="217"/>
      <c r="B58" s="218"/>
      <c r="C58" s="390"/>
      <c r="D58" s="390"/>
      <c r="E58" s="390"/>
      <c r="F58" s="390"/>
      <c r="G58" s="390"/>
      <c r="H58" s="390"/>
      <c r="I58" s="390"/>
      <c r="J58" s="390"/>
      <c r="K58" s="390"/>
      <c r="L58" s="390"/>
      <c r="M58" s="391"/>
      <c r="N58" s="126"/>
      <c r="O58" s="126"/>
      <c r="P58" s="126"/>
      <c r="Q58" s="126"/>
      <c r="R58" s="126"/>
      <c r="S58" s="126"/>
      <c r="T58" s="126"/>
      <c r="U58" s="126"/>
      <c r="V58" s="126"/>
      <c r="W58" s="126"/>
      <c r="X58" s="126"/>
      <c r="Y58" s="126"/>
      <c r="Z58" s="126"/>
    </row>
    <row r="59" spans="1:256" x14ac:dyDescent="0.2">
      <c r="A59" s="217"/>
      <c r="B59" s="218"/>
      <c r="C59" s="390"/>
      <c r="D59" s="390"/>
      <c r="E59" s="390"/>
      <c r="F59" s="390"/>
      <c r="G59" s="390"/>
      <c r="H59" s="390"/>
      <c r="I59" s="390"/>
      <c r="J59" s="390"/>
      <c r="K59" s="390"/>
      <c r="L59" s="390"/>
      <c r="M59" s="391"/>
    </row>
    <row r="60" spans="1:256" x14ac:dyDescent="0.2">
      <c r="A60" s="217"/>
      <c r="B60" s="218"/>
      <c r="C60" s="390"/>
      <c r="D60" s="390"/>
      <c r="E60" s="390"/>
      <c r="F60" s="390"/>
      <c r="G60" s="390"/>
      <c r="H60" s="390"/>
      <c r="I60" s="390"/>
      <c r="J60" s="390"/>
      <c r="K60" s="390"/>
      <c r="L60" s="390"/>
      <c r="M60" s="391"/>
    </row>
    <row r="61" spans="1:256" x14ac:dyDescent="0.2">
      <c r="A61" s="217"/>
      <c r="B61" s="218"/>
      <c r="C61" s="390"/>
      <c r="D61" s="390"/>
      <c r="E61" s="390"/>
      <c r="F61" s="390"/>
      <c r="G61" s="390"/>
      <c r="H61" s="390"/>
      <c r="I61" s="390"/>
      <c r="J61" s="390"/>
      <c r="K61" s="390"/>
      <c r="L61" s="390"/>
      <c r="M61" s="391"/>
    </row>
    <row r="62" spans="1:256" x14ac:dyDescent="0.2">
      <c r="A62" s="217"/>
      <c r="B62" s="218"/>
      <c r="C62" s="390"/>
      <c r="D62" s="390"/>
      <c r="E62" s="390"/>
      <c r="F62" s="390"/>
      <c r="G62" s="390"/>
      <c r="H62" s="390"/>
      <c r="I62" s="390"/>
      <c r="J62" s="390"/>
      <c r="K62" s="390"/>
      <c r="L62" s="390"/>
      <c r="M62" s="391"/>
    </row>
    <row r="63" spans="1:256" x14ac:dyDescent="0.2">
      <c r="A63" s="217"/>
      <c r="B63" s="218"/>
      <c r="C63" s="390"/>
      <c r="D63" s="390"/>
      <c r="E63" s="390"/>
      <c r="F63" s="390"/>
      <c r="G63" s="390"/>
      <c r="H63" s="390"/>
      <c r="I63" s="390"/>
      <c r="J63" s="390"/>
      <c r="K63" s="390"/>
      <c r="L63" s="390"/>
      <c r="M63" s="391"/>
    </row>
    <row r="64" spans="1:256" x14ac:dyDescent="0.2">
      <c r="A64" s="217"/>
      <c r="B64" s="218"/>
      <c r="C64" s="390"/>
      <c r="D64" s="390"/>
      <c r="E64" s="390"/>
      <c r="F64" s="390"/>
      <c r="G64" s="390"/>
      <c r="H64" s="390"/>
      <c r="I64" s="390"/>
      <c r="J64" s="390"/>
      <c r="K64" s="390"/>
      <c r="L64" s="390"/>
      <c r="M64" s="391"/>
    </row>
    <row r="65" spans="1:13" x14ac:dyDescent="0.2">
      <c r="A65" s="217"/>
      <c r="B65" s="218"/>
      <c r="C65" s="390"/>
      <c r="D65" s="390"/>
      <c r="E65" s="390"/>
      <c r="F65" s="390"/>
      <c r="G65" s="390"/>
      <c r="H65" s="390"/>
      <c r="I65" s="390"/>
      <c r="J65" s="390"/>
      <c r="K65" s="390"/>
      <c r="L65" s="390"/>
      <c r="M65" s="391"/>
    </row>
    <row r="66" spans="1:13" x14ac:dyDescent="0.2">
      <c r="A66" s="217"/>
      <c r="B66" s="218"/>
      <c r="C66" s="390"/>
      <c r="D66" s="390"/>
      <c r="E66" s="390"/>
      <c r="F66" s="390"/>
      <c r="G66" s="390"/>
      <c r="H66" s="390"/>
      <c r="I66" s="390"/>
      <c r="J66" s="390"/>
      <c r="K66" s="390"/>
      <c r="L66" s="390"/>
      <c r="M66" s="391"/>
    </row>
    <row r="67" spans="1:13" x14ac:dyDescent="0.2">
      <c r="A67" s="217"/>
      <c r="B67" s="218"/>
      <c r="C67" s="390"/>
      <c r="D67" s="390"/>
      <c r="E67" s="390"/>
      <c r="F67" s="390"/>
      <c r="G67" s="390"/>
      <c r="H67" s="390"/>
      <c r="I67" s="390"/>
      <c r="J67" s="390"/>
      <c r="K67" s="390"/>
      <c r="L67" s="390"/>
      <c r="M67" s="391"/>
    </row>
    <row r="68" spans="1:13" x14ac:dyDescent="0.2">
      <c r="A68" s="217"/>
      <c r="B68" s="218"/>
      <c r="C68" s="390"/>
      <c r="D68" s="390"/>
      <c r="E68" s="390"/>
      <c r="F68" s="390"/>
      <c r="G68" s="390"/>
      <c r="H68" s="390"/>
      <c r="I68" s="390"/>
      <c r="J68" s="390"/>
      <c r="K68" s="390"/>
      <c r="L68" s="390"/>
      <c r="M68" s="391"/>
    </row>
    <row r="69" spans="1:13" x14ac:dyDescent="0.2">
      <c r="A69" s="217"/>
      <c r="B69" s="218"/>
      <c r="C69" s="390"/>
      <c r="D69" s="390"/>
      <c r="E69" s="390"/>
      <c r="F69" s="390"/>
      <c r="G69" s="390"/>
      <c r="H69" s="390"/>
      <c r="I69" s="390"/>
      <c r="J69" s="390"/>
      <c r="K69" s="390"/>
      <c r="L69" s="390"/>
      <c r="M69" s="391"/>
    </row>
    <row r="70" spans="1:13" ht="12" thickBot="1" x14ac:dyDescent="0.25">
      <c r="A70" s="219"/>
      <c r="B70" s="220"/>
      <c r="C70" s="392"/>
      <c r="D70" s="392"/>
      <c r="E70" s="392"/>
      <c r="F70" s="392"/>
      <c r="G70" s="392"/>
      <c r="H70" s="392"/>
      <c r="I70" s="392"/>
      <c r="J70" s="392"/>
      <c r="K70" s="392"/>
      <c r="L70" s="392"/>
      <c r="M70" s="393"/>
    </row>
    <row r="71" spans="1:13" ht="12" thickTop="1" x14ac:dyDescent="0.2">
      <c r="A71" s="207"/>
      <c r="B71" s="207"/>
      <c r="C71" s="208"/>
      <c r="D71" s="208"/>
      <c r="E71" s="208"/>
      <c r="F71" s="208"/>
      <c r="G71" s="208"/>
      <c r="H71" s="208"/>
      <c r="I71" s="208"/>
      <c r="J71" s="208"/>
      <c r="K71" s="208"/>
      <c r="L71" s="208"/>
    </row>
    <row r="72" spans="1:13" ht="12.75" x14ac:dyDescent="0.2">
      <c r="A72" s="394" t="s">
        <v>832</v>
      </c>
      <c r="B72" s="394"/>
      <c r="C72" s="394"/>
      <c r="D72" s="394"/>
      <c r="E72" s="394"/>
      <c r="F72" s="126"/>
      <c r="G72" s="126"/>
      <c r="H72" s="126"/>
      <c r="I72" s="126"/>
      <c r="J72" s="126"/>
      <c r="K72" s="126"/>
      <c r="L72" s="126"/>
      <c r="M72" s="126"/>
    </row>
    <row r="73" spans="1:13" x14ac:dyDescent="0.2">
      <c r="A73" s="209" t="s">
        <v>764</v>
      </c>
      <c r="B73" s="209" t="s">
        <v>765</v>
      </c>
      <c r="C73" s="389"/>
      <c r="D73" s="389"/>
      <c r="E73" s="389"/>
      <c r="F73" s="389"/>
      <c r="G73" s="389"/>
      <c r="H73" s="389"/>
      <c r="I73" s="389"/>
      <c r="J73" s="389"/>
      <c r="K73" s="389"/>
      <c r="L73" s="389"/>
      <c r="M73" s="389"/>
    </row>
    <row r="74" spans="1:13" x14ac:dyDescent="0.2">
      <c r="A74" s="210"/>
      <c r="B74" s="210"/>
      <c r="C74" s="389"/>
      <c r="D74" s="389"/>
      <c r="E74" s="389"/>
      <c r="F74" s="389"/>
      <c r="G74" s="389"/>
      <c r="H74" s="389"/>
      <c r="I74" s="389"/>
      <c r="J74" s="389"/>
      <c r="K74" s="389"/>
      <c r="L74" s="389"/>
      <c r="M74" s="389"/>
    </row>
    <row r="75" spans="1:13" x14ac:dyDescent="0.2">
      <c r="A75" s="210"/>
      <c r="B75" s="210"/>
      <c r="C75" s="389"/>
      <c r="D75" s="389"/>
      <c r="E75" s="389"/>
      <c r="F75" s="389"/>
      <c r="G75" s="389"/>
      <c r="H75" s="389"/>
      <c r="I75" s="389"/>
      <c r="J75" s="389"/>
      <c r="K75" s="389"/>
      <c r="L75" s="389"/>
      <c r="M75" s="389"/>
    </row>
    <row r="76" spans="1:13" x14ac:dyDescent="0.2">
      <c r="A76" s="210"/>
      <c r="B76" s="210"/>
      <c r="C76" s="389"/>
      <c r="D76" s="389"/>
      <c r="E76" s="389"/>
      <c r="F76" s="389"/>
      <c r="G76" s="389"/>
      <c r="H76" s="389"/>
      <c r="I76" s="389"/>
      <c r="J76" s="389"/>
      <c r="K76" s="389"/>
      <c r="L76" s="389"/>
      <c r="M76" s="389"/>
    </row>
    <row r="77" spans="1:13" x14ac:dyDescent="0.2">
      <c r="A77" s="210"/>
      <c r="B77" s="210"/>
      <c r="C77" s="389"/>
      <c r="D77" s="389"/>
      <c r="E77" s="389"/>
      <c r="F77" s="389"/>
      <c r="G77" s="389"/>
      <c r="H77" s="389"/>
      <c r="I77" s="389"/>
      <c r="J77" s="389"/>
      <c r="K77" s="389"/>
      <c r="L77" s="389"/>
      <c r="M77" s="389"/>
    </row>
    <row r="78" spans="1:13" x14ac:dyDescent="0.2">
      <c r="A78" s="210"/>
      <c r="B78" s="210"/>
      <c r="C78" s="389"/>
      <c r="D78" s="389"/>
      <c r="E78" s="389"/>
      <c r="F78" s="389"/>
      <c r="G78" s="389"/>
      <c r="H78" s="389"/>
      <c r="I78" s="389"/>
      <c r="J78" s="389"/>
      <c r="K78" s="389"/>
      <c r="L78" s="389"/>
      <c r="M78" s="389"/>
    </row>
    <row r="79" spans="1:13" x14ac:dyDescent="0.2">
      <c r="A79" s="210"/>
      <c r="B79" s="210"/>
      <c r="C79" s="389"/>
      <c r="D79" s="389"/>
      <c r="E79" s="389"/>
      <c r="F79" s="389"/>
      <c r="G79" s="389"/>
      <c r="H79" s="389"/>
      <c r="I79" s="389"/>
      <c r="J79" s="389"/>
      <c r="K79" s="389"/>
      <c r="L79" s="389"/>
      <c r="M79" s="389"/>
    </row>
    <row r="80" spans="1:13" x14ac:dyDescent="0.2">
      <c r="A80" s="210"/>
      <c r="B80" s="210"/>
      <c r="C80" s="389"/>
      <c r="D80" s="389"/>
      <c r="E80" s="389"/>
      <c r="F80" s="389"/>
      <c r="G80" s="389"/>
      <c r="H80" s="389"/>
      <c r="I80" s="389"/>
      <c r="J80" s="389"/>
      <c r="K80" s="389"/>
      <c r="L80" s="389"/>
      <c r="M80" s="389"/>
    </row>
    <row r="81" spans="1:13" x14ac:dyDescent="0.2">
      <c r="A81" s="210"/>
      <c r="B81" s="210"/>
      <c r="C81" s="389"/>
      <c r="D81" s="389"/>
      <c r="E81" s="389"/>
      <c r="F81" s="389"/>
      <c r="G81" s="389"/>
      <c r="H81" s="389"/>
      <c r="I81" s="389"/>
      <c r="J81" s="389"/>
      <c r="K81" s="389"/>
      <c r="L81" s="389"/>
      <c r="M81" s="389"/>
    </row>
    <row r="82" spans="1:13" x14ac:dyDescent="0.2">
      <c r="A82" s="210"/>
      <c r="B82" s="210"/>
      <c r="C82" s="389"/>
      <c r="D82" s="389"/>
      <c r="E82" s="389"/>
      <c r="F82" s="389"/>
      <c r="G82" s="389"/>
      <c r="H82" s="389"/>
      <c r="I82" s="389"/>
      <c r="J82" s="389"/>
      <c r="K82" s="389"/>
      <c r="L82" s="389"/>
      <c r="M82" s="389"/>
    </row>
    <row r="83" spans="1:13" x14ac:dyDescent="0.2">
      <c r="A83" s="210"/>
      <c r="B83" s="210"/>
      <c r="C83" s="389"/>
      <c r="D83" s="389"/>
      <c r="E83" s="389"/>
      <c r="F83" s="389"/>
      <c r="G83" s="389"/>
      <c r="H83" s="389"/>
      <c r="I83" s="389"/>
      <c r="J83" s="389"/>
      <c r="K83" s="389"/>
      <c r="L83" s="389"/>
      <c r="M83" s="389"/>
    </row>
    <row r="84" spans="1:13" x14ac:dyDescent="0.2">
      <c r="A84" s="210"/>
      <c r="B84" s="210"/>
      <c r="C84" s="389"/>
      <c r="D84" s="389"/>
      <c r="E84" s="389"/>
      <c r="F84" s="389"/>
      <c r="G84" s="389"/>
      <c r="H84" s="389"/>
      <c r="I84" s="389"/>
      <c r="J84" s="389"/>
      <c r="K84" s="389"/>
      <c r="L84" s="389"/>
      <c r="M84" s="389"/>
    </row>
    <row r="85" spans="1:13" x14ac:dyDescent="0.2">
      <c r="A85" s="210"/>
      <c r="B85" s="210"/>
      <c r="C85" s="389"/>
      <c r="D85" s="389"/>
      <c r="E85" s="389"/>
      <c r="F85" s="389"/>
      <c r="G85" s="389"/>
      <c r="H85" s="389"/>
      <c r="I85" s="389"/>
      <c r="J85" s="389"/>
      <c r="K85" s="389"/>
      <c r="L85" s="389"/>
      <c r="M85" s="389"/>
    </row>
    <row r="86" spans="1:13" x14ac:dyDescent="0.2">
      <c r="A86" s="210"/>
      <c r="B86" s="210"/>
      <c r="C86" s="389"/>
      <c r="D86" s="389"/>
      <c r="E86" s="389"/>
      <c r="F86" s="389"/>
      <c r="G86" s="389"/>
      <c r="H86" s="389"/>
      <c r="I86" s="389"/>
      <c r="J86" s="389"/>
      <c r="K86" s="389"/>
      <c r="L86" s="389"/>
      <c r="M86" s="389"/>
    </row>
    <row r="87" spans="1:13" x14ac:dyDescent="0.2">
      <c r="A87" s="210"/>
      <c r="B87" s="210"/>
      <c r="C87" s="389"/>
      <c r="D87" s="389"/>
      <c r="E87" s="389"/>
      <c r="F87" s="389"/>
      <c r="G87" s="389"/>
      <c r="H87" s="389"/>
      <c r="I87" s="389"/>
      <c r="J87" s="389"/>
      <c r="K87" s="389"/>
      <c r="L87" s="389"/>
      <c r="M87" s="389"/>
    </row>
    <row r="88" spans="1:13" x14ac:dyDescent="0.2">
      <c r="A88" s="210"/>
      <c r="B88" s="210"/>
      <c r="C88" s="389"/>
      <c r="D88" s="389"/>
      <c r="E88" s="389"/>
      <c r="F88" s="389"/>
      <c r="G88" s="389"/>
      <c r="H88" s="389"/>
      <c r="I88" s="389"/>
      <c r="J88" s="389"/>
      <c r="K88" s="389"/>
      <c r="L88" s="389"/>
      <c r="M88" s="389"/>
    </row>
    <row r="89" spans="1:13" x14ac:dyDescent="0.2">
      <c r="A89" s="210"/>
      <c r="B89" s="210"/>
      <c r="C89" s="389"/>
      <c r="D89" s="389"/>
      <c r="E89" s="389"/>
      <c r="F89" s="389"/>
      <c r="G89" s="389"/>
      <c r="H89" s="389"/>
      <c r="I89" s="389"/>
      <c r="J89" s="389"/>
      <c r="K89" s="389"/>
      <c r="L89" s="389"/>
      <c r="M89" s="389"/>
    </row>
    <row r="90" spans="1:13" x14ac:dyDescent="0.2">
      <c r="A90" s="210"/>
      <c r="B90" s="210"/>
      <c r="C90" s="389"/>
      <c r="D90" s="389"/>
      <c r="E90" s="389"/>
      <c r="F90" s="389"/>
      <c r="G90" s="389"/>
      <c r="H90" s="389"/>
      <c r="I90" s="389"/>
      <c r="J90" s="389"/>
      <c r="K90" s="389"/>
      <c r="L90" s="389"/>
      <c r="M90" s="389"/>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184</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f>IFERROR(SMALL($T$4:$T$75,ROWS($T$4:T4)),"")</f>
        <v>59</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f>IFERROR(SMALL(AE4:$AE$100,ROWS($AE$4:AE4)),"")</f>
        <v>3</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f>IFERROR(SMALL($I$4:$I$325,ROWS($I$4:I5)),"")</f>
        <v>186</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f>IFERROR(SMALL($I$4:$I$325,ROWS($I$4:I6)),"")</f>
        <v>235</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f>IF('School Level Expenditures'!$B$2='School Tables'!W6,'School Tables'!AD6,"")</f>
        <v>3</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f>IFERROR(SMALL($I$4:$I$325,ROWS($I$4:I7)),"")</f>
        <v>251</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f>IF('School Level Expenditures'!$B$2='School Tables'!L62,'School Tables'!S62,"")</f>
        <v>59</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f>IF('School Level Expenditures'!$B$2=A187,'School Tables'!H187,"")</f>
        <v>184</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f>IF('School Level Expenditures'!$B$2=A189,'School Tables'!H189,"")</f>
        <v>186</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f>IF('School Level Expenditures'!$B$2=A238,'School Tables'!H238,"")</f>
        <v>235</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f>IF('School Level Expenditures'!$B$2=A254,'School Tables'!H254,"")</f>
        <v>251</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2022-06-03T13:02:42Z</cp:lastPrinted>
  <dcterms:created xsi:type="dcterms:W3CDTF">1997-12-04T19:04:30Z</dcterms:created>
  <dcterms:modified xsi:type="dcterms:W3CDTF">2022-12-19T12:56:12Z</dcterms:modified>
</cp:coreProperties>
</file>