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2B9F37B4-71A0-49AC-B55C-041A1D7E246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9" i="1" l="1"/>
  <c r="F15" i="13" l="1"/>
  <c r="H614" i="1" l="1"/>
  <c r="H613" i="1"/>
  <c r="H605" i="1"/>
  <c r="H524" i="1"/>
  <c r="H522" i="1"/>
  <c r="F223" i="1"/>
  <c r="F473" i="1"/>
  <c r="F205" i="1"/>
  <c r="F469" i="1"/>
  <c r="G460" i="1"/>
  <c r="G282" i="1" l="1"/>
  <c r="F282" i="1"/>
  <c r="I278" i="1"/>
  <c r="H282" i="1"/>
  <c r="J278" i="1"/>
  <c r="G278" i="1"/>
  <c r="F278" i="1"/>
  <c r="H278" i="1"/>
  <c r="H199" i="1"/>
  <c r="H203" i="1"/>
  <c r="J199" i="1"/>
  <c r="F241" i="1"/>
  <c r="H241" i="1"/>
  <c r="H235" i="1"/>
  <c r="H223" i="1"/>
  <c r="H217" i="1"/>
  <c r="H205" i="1"/>
  <c r="F160" i="1"/>
  <c r="F5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E120" i="2"/>
  <c r="E124"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H11" i="2" l="1"/>
  <c r="H97" i="2"/>
  <c r="H61" i="2"/>
  <c r="H26" i="2"/>
  <c r="H22" i="2"/>
  <c r="H113" i="2"/>
  <c r="H36" i="2"/>
  <c r="H43" i="2"/>
  <c r="H44" i="2"/>
  <c r="G477" i="1"/>
  <c r="H624" i="1" s="1"/>
  <c r="J624" i="1" s="1"/>
  <c r="D144" i="2"/>
  <c r="H96" i="2"/>
  <c r="H89" i="2"/>
  <c r="H72" i="2"/>
  <c r="H35" i="2"/>
  <c r="H34" i="2"/>
  <c r="H21" i="2"/>
  <c r="H13" i="2"/>
  <c r="H9" i="2"/>
  <c r="H57" i="2"/>
  <c r="E121" i="2"/>
  <c r="H58" i="2"/>
  <c r="H23" i="2"/>
  <c r="H121" i="2"/>
  <c r="H135" i="2"/>
  <c r="H93" i="2"/>
  <c r="H80" i="2"/>
  <c r="H77" i="2"/>
  <c r="H59" i="2"/>
  <c r="H132" i="2"/>
  <c r="H38" i="2"/>
  <c r="H48" i="2"/>
  <c r="H112" i="2"/>
  <c r="H94" i="2"/>
  <c r="H85" i="2"/>
  <c r="H69" i="2"/>
  <c r="H47" i="2"/>
  <c r="H30" i="2"/>
  <c r="H29" i="2"/>
  <c r="H28" i="2"/>
  <c r="H27" i="2"/>
  <c r="H25" i="2"/>
  <c r="H24" i="2"/>
  <c r="H17" i="2"/>
  <c r="H12" i="2"/>
  <c r="H8" i="2"/>
  <c r="J652" i="1"/>
  <c r="C110" i="2"/>
  <c r="C12" i="10"/>
  <c r="C120" i="2"/>
  <c r="H120" i="2" s="1"/>
  <c r="D6" i="13"/>
  <c r="C6" i="13" s="1"/>
  <c r="G62" i="2"/>
  <c r="H62" i="2" s="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G63" i="2" l="1"/>
  <c r="H103" i="2"/>
  <c r="D128" i="2"/>
  <c r="D145" i="2" s="1"/>
  <c r="H127" i="2"/>
  <c r="E128" i="2"/>
  <c r="B33" i="16"/>
  <c r="H134" i="2"/>
  <c r="H31" i="2"/>
  <c r="H42" i="2"/>
  <c r="H16" i="2"/>
  <c r="H50" i="2"/>
  <c r="H18" i="2"/>
  <c r="H118" i="2"/>
  <c r="F661" i="1"/>
  <c r="F665" i="1" s="1"/>
  <c r="F668" i="1" s="1"/>
  <c r="E115" i="2"/>
  <c r="H110" i="2"/>
  <c r="H91" i="2"/>
  <c r="C81" i="2"/>
  <c r="H81" i="2" s="1"/>
  <c r="H78" i="2"/>
  <c r="F144" i="2"/>
  <c r="H130" i="2"/>
  <c r="H661" i="1"/>
  <c r="H665" i="1" s="1"/>
  <c r="H668" i="1" s="1"/>
  <c r="H194" i="1"/>
  <c r="G630" i="1" s="1"/>
  <c r="J630" i="1" s="1"/>
  <c r="H649" i="1"/>
  <c r="J649" i="1" s="1"/>
  <c r="C14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H51" i="2" s="1"/>
  <c r="G632" i="1"/>
  <c r="J632" i="1" s="1"/>
  <c r="G194" i="1"/>
  <c r="G629" i="1" s="1"/>
  <c r="J629" i="1" s="1"/>
  <c r="G627" i="1"/>
  <c r="J627" i="1" s="1"/>
  <c r="J52" i="1"/>
  <c r="H622" i="1" s="1"/>
  <c r="J622" i="1" s="1"/>
  <c r="C38" i="10"/>
  <c r="H115" i="2" l="1"/>
  <c r="H128"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<sst xmlns="http://schemas.openxmlformats.org/spreadsheetml/2006/main" count="6529" uniqueCount="1802">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</sst>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40" zoomScaleNormal="140" workbookViewId="0">
      <selection activeCell="H152" sqref="H15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1773</v>
      </c>
      <c r="B2" s="126">
        <f>INDEX('School Tables'!$AH$3:$AH$208,MATCH('DOE25'!A2,'School Tables'!$AJ$3:$AJ$208,0))</f>
        <v>47</v>
      </c>
      <c r="C2" s="126">
        <f>INDEX('School Tables'!$AI$3:$AI$208,MATCH('DOE25'!A2,'School Tables'!$AJ$3:$AJ$208,0))</f>
        <v>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45296</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203922</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4493</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49789</v>
      </c>
      <c r="G19" s="41">
        <f>SUM(G9:G18)</f>
        <v>0</v>
      </c>
      <c r="H19" s="41">
        <f>SUM(H9:H18)</f>
        <v>0</v>
      </c>
      <c r="I19" s="41">
        <f>SUM(I9:I18)</f>
        <v>0</v>
      </c>
      <c r="J19" s="41">
        <f>SUM(J9:J18)</f>
        <v>203922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8457</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8457</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11332</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203922</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74138-44137-1</f>
        <v>30000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41332</v>
      </c>
      <c r="G51" s="41">
        <f>SUM(G35:G50)</f>
        <v>0</v>
      </c>
      <c r="H51" s="41">
        <f>SUM(H35:H50)</f>
        <v>0</v>
      </c>
      <c r="I51" s="41">
        <f>SUM(I35:I50)</f>
        <v>0</v>
      </c>
      <c r="J51" s="41">
        <f>SUM(J35:J50)</f>
        <v>203922</v>
      </c>
      <c r="K51" s="45" t="s">
        <v>288</v>
      </c>
      <c r="L51" s="45" t="s">
        <v>288</v>
      </c>
      <c r="N51" s="263"/>
    </row>
    <row r="52" spans="1:14" s="3" customFormat="1" ht="12.2" customHeight="1" thickTop="1" x14ac:dyDescent="0.15">
      <c r="A52" s="38" t="s">
        <v>455</v>
      </c>
      <c r="B52" s="39" t="s">
        <v>289</v>
      </c>
      <c r="C52" s="6">
        <v>37</v>
      </c>
      <c r="D52" s="39" t="s">
        <v>653</v>
      </c>
      <c r="E52" s="39"/>
      <c r="F52" s="41">
        <f>F51+F32</f>
        <v>49789</v>
      </c>
      <c r="G52" s="41">
        <f>G51+G32</f>
        <v>0</v>
      </c>
      <c r="H52" s="41">
        <f>H51+H32</f>
        <v>0</v>
      </c>
      <c r="I52" s="41">
        <f>I51+I32</f>
        <v>0</v>
      </c>
      <c r="J52" s="41">
        <f>J51+J32</f>
        <v>203922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368947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368947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100</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100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368947</v>
      </c>
      <c r="G112" s="41">
        <f>G60+G111</f>
        <v>0</v>
      </c>
      <c r="H112" s="41">
        <f>H60+H79+H94+H111</f>
        <v>0</v>
      </c>
      <c r="I112" s="41">
        <f>I60+I111</f>
        <v>0</v>
      </c>
      <c r="J112" s="41">
        <f>J60+J111</f>
        <v>100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157088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48787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205875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3726</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416</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4142</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210017</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1685+2804+1050</f>
        <v>5539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f>37195+1</f>
        <v>37196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37196</v>
      </c>
      <c r="G163" s="41">
        <f>SUM(G150:G162)</f>
        <v>0</v>
      </c>
      <c r="H163" s="41">
        <f>SUM(H150:H162)</f>
        <v>5539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11390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48586</v>
      </c>
      <c r="G170" s="41">
        <f>G147+G163+SUM(G164:G169)</f>
        <v>0</v>
      </c>
      <c r="H170" s="41">
        <f>H147+H163+SUM(H164:H169)</f>
        <v>5539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15469</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15469</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15469</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627550</v>
      </c>
      <c r="G194" s="47">
        <f>G112+G140+G170+G193</f>
        <v>0</v>
      </c>
      <c r="H194" s="47">
        <f>H112+H140+H170+H193</f>
        <v>5539</v>
      </c>
      <c r="I194" s="47">
        <f>I112+I140+I170+I193</f>
        <v>0</v>
      </c>
      <c r="J194" s="47">
        <f>J112+J140+J193</f>
        <v>15569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91099</v>
      </c>
      <c r="I198" s="18"/>
      <c r="J198" s="18"/>
      <c r="K198" s="18"/>
      <c r="L198" s="19">
        <f>SUM(F198:K198)</f>
        <v>91099</v>
      </c>
      <c r="M198" s="8"/>
      <c r="N198" s="265"/>
    </row>
    <row r="199" spans="1:14" s="3" customFormat="1" ht="12.2" customHeight="1" x14ac:dyDescent="0.15">
      <c r="A199" s="1" t="s">
        <v>439</v>
      </c>
      <c r="B199" s="2" t="s">
        <v>341</v>
      </c>
      <c r="C199" s="2" t="s">
        <v>291</v>
      </c>
      <c r="D199" s="2" t="s">
        <v>431</v>
      </c>
      <c r="E199" s="6">
        <v>1200</v>
      </c>
      <c r="F199" s="18"/>
      <c r="G199" s="18"/>
      <c r="H199" s="18">
        <f>8267-1685+59912</f>
        <v>66494</v>
      </c>
      <c r="I199" s="18"/>
      <c r="J199" s="18">
        <f>182</f>
        <v>182</v>
      </c>
      <c r="K199" s="18"/>
      <c r="L199" s="19">
        <f>SUM(F199:K199)</f>
        <v>66676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v>681</v>
      </c>
      <c r="I201" s="18"/>
      <c r="J201" s="18"/>
      <c r="K201" s="18"/>
      <c r="L201" s="19">
        <f>SUM(F201:K201)</f>
        <v>681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f>29018</f>
        <v>29018</v>
      </c>
      <c r="I203" s="18"/>
      <c r="J203" s="18"/>
      <c r="K203" s="18"/>
      <c r="L203" s="19">
        <f t="shared" ref="L203:L209" si="0">SUM(F203:K203)</f>
        <v>29018</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f>164-1</f>
        <v>163</v>
      </c>
      <c r="G205" s="18">
        <v>64</v>
      </c>
      <c r="H205" s="18">
        <f>4559+452</f>
        <v>5011</v>
      </c>
      <c r="I205" s="18">
        <v>12</v>
      </c>
      <c r="J205" s="18"/>
      <c r="K205" s="18">
        <v>277</v>
      </c>
      <c r="L205" s="19">
        <f t="shared" si="0"/>
        <v>5527</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6491</v>
      </c>
      <c r="I209" s="18"/>
      <c r="J209" s="18"/>
      <c r="K209" s="18"/>
      <c r="L209" s="19">
        <f t="shared" si="0"/>
        <v>6491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163</v>
      </c>
      <c r="G212" s="41">
        <f t="shared" si="1"/>
        <v>64</v>
      </c>
      <c r="H212" s="41">
        <f t="shared" si="1"/>
        <v>198794</v>
      </c>
      <c r="I212" s="41">
        <f t="shared" si="1"/>
        <v>12</v>
      </c>
      <c r="J212" s="41">
        <f t="shared" si="1"/>
        <v>182</v>
      </c>
      <c r="K212" s="41">
        <f t="shared" si="1"/>
        <v>277</v>
      </c>
      <c r="L212" s="41">
        <f t="shared" si="1"/>
        <v>199492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82350</v>
      </c>
      <c r="I216" s="18"/>
      <c r="J216" s="18"/>
      <c r="K216" s="18"/>
      <c r="L216" s="19">
        <f>SUM(F216:K216)</f>
        <v>82350</v>
      </c>
      <c r="M216" s="8"/>
      <c r="N216" s="265"/>
    </row>
    <row r="217" spans="1:14" s="3" customFormat="1" ht="12.2" customHeight="1" x14ac:dyDescent="0.15">
      <c r="A217" s="1" t="s">
        <v>439</v>
      </c>
      <c r="B217" s="2" t="s">
        <v>346</v>
      </c>
      <c r="C217" s="2" t="s">
        <v>291</v>
      </c>
      <c r="D217" s="2" t="s">
        <v>431</v>
      </c>
      <c r="E217" s="6">
        <v>1200</v>
      </c>
      <c r="F217" s="18"/>
      <c r="G217" s="18"/>
      <c r="H217" s="18">
        <f>102989</f>
        <v>102989</v>
      </c>
      <c r="I217" s="18"/>
      <c r="J217" s="18"/>
      <c r="K217" s="18"/>
      <c r="L217" s="19">
        <f>SUM(F217:K217)</f>
        <v>102989</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v>2628</v>
      </c>
      <c r="I219" s="18"/>
      <c r="J219" s="18"/>
      <c r="K219" s="18"/>
      <c r="L219" s="19">
        <f>SUM(F219:K219)</f>
        <v>2628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v>2685</v>
      </c>
      <c r="I221" s="18"/>
      <c r="J221" s="18"/>
      <c r="K221" s="18"/>
      <c r="L221" s="19">
        <f t="shared" ref="L221:L227" si="2">SUM(F221:K221)</f>
        <v>2685</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f>336+2</f>
        <v>338</v>
      </c>
      <c r="G223" s="18">
        <v>131</v>
      </c>
      <c r="H223" s="18">
        <f>9358+928</f>
        <v>10286</v>
      </c>
      <c r="I223" s="18">
        <v>24</v>
      </c>
      <c r="J223" s="18"/>
      <c r="K223" s="18">
        <v>569</v>
      </c>
      <c r="L223" s="19">
        <f t="shared" si="2"/>
        <v>11348</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13862</v>
      </c>
      <c r="I227" s="18"/>
      <c r="J227" s="18"/>
      <c r="K227" s="18"/>
      <c r="L227" s="19">
        <f t="shared" si="2"/>
        <v>13862</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338</v>
      </c>
      <c r="G230" s="41">
        <f>SUM(G216:G229)</f>
        <v>131</v>
      </c>
      <c r="H230" s="41">
        <f>SUM(H216:H229)</f>
        <v>214800</v>
      </c>
      <c r="I230" s="41">
        <f>SUM(I216:I229)</f>
        <v>24</v>
      </c>
      <c r="J230" s="41">
        <f>SUM(J216:J229)</f>
        <v>0</v>
      </c>
      <c r="K230" s="41">
        <f t="shared" si="3"/>
        <v>569</v>
      </c>
      <c r="L230" s="41">
        <f t="shared" si="3"/>
        <v>215862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125016</v>
      </c>
      <c r="I234" s="18"/>
      <c r="J234" s="18"/>
      <c r="K234" s="18"/>
      <c r="L234" s="19">
        <f>SUM(F234:K234)</f>
        <v>125016</v>
      </c>
      <c r="M234" s="8"/>
      <c r="N234" s="265"/>
    </row>
    <row r="235" spans="1:14" s="3" customFormat="1" ht="12.2" customHeight="1" x14ac:dyDescent="0.15">
      <c r="A235" s="1" t="s">
        <v>439</v>
      </c>
      <c r="B235" s="2" t="s">
        <v>350</v>
      </c>
      <c r="C235" s="2" t="s">
        <v>291</v>
      </c>
      <c r="D235" s="2" t="s">
        <v>431</v>
      </c>
      <c r="E235" s="6">
        <v>1200</v>
      </c>
      <c r="F235" s="18"/>
      <c r="G235" s="18"/>
      <c r="H235" s="18">
        <f>53491+14053</f>
        <v>67544</v>
      </c>
      <c r="I235" s="18"/>
      <c r="J235" s="18"/>
      <c r="K235" s="18"/>
      <c r="L235" s="19">
        <f>SUM(F235:K235)</f>
        <v>67544</v>
      </c>
      <c r="M235" s="8"/>
      <c r="N235" s="265"/>
    </row>
    <row r="236" spans="1:14" s="3" customFormat="1" ht="12.2" customHeight="1" x14ac:dyDescent="0.15">
      <c r="A236" s="1" t="s">
        <v>440</v>
      </c>
      <c r="B236" s="2" t="s">
        <v>350</v>
      </c>
      <c r="C236" s="2" t="s">
        <v>292</v>
      </c>
      <c r="D236" s="2" t="s">
        <v>431</v>
      </c>
      <c r="E236" s="6">
        <v>1300</v>
      </c>
      <c r="F236" s="18"/>
      <c r="G236" s="18"/>
      <c r="H236" s="18">
        <v>10313</v>
      </c>
      <c r="I236" s="18"/>
      <c r="J236" s="18"/>
      <c r="K236" s="18"/>
      <c r="L236" s="19">
        <f>SUM(F236:K236)</f>
        <v>10313</v>
      </c>
      <c r="M236" s="8"/>
      <c r="N236" s="265"/>
    </row>
    <row r="237" spans="1:14" s="3" customFormat="1" ht="12.2" customHeight="1" x14ac:dyDescent="0.15">
      <c r="A237" s="1" t="s">
        <v>441</v>
      </c>
      <c r="B237" s="2" t="s">
        <v>350</v>
      </c>
      <c r="C237" s="2" t="s">
        <v>293</v>
      </c>
      <c r="D237" s="2" t="s">
        <v>431</v>
      </c>
      <c r="E237" s="6">
        <v>1400</v>
      </c>
      <c r="F237" s="18"/>
      <c r="G237" s="18"/>
      <c r="H237" s="18">
        <v>3907</v>
      </c>
      <c r="I237" s="18"/>
      <c r="J237" s="18"/>
      <c r="K237" s="18"/>
      <c r="L237" s="19">
        <f>SUM(F237:K237)</f>
        <v>3907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4313</v>
      </c>
      <c r="I239" s="18"/>
      <c r="J239" s="18"/>
      <c r="K239" s="18"/>
      <c r="L239" s="19">
        <f t="shared" ref="L239:L245" si="4">SUM(F239:K239)</f>
        <v>4313</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f>362+2</f>
        <v>364</v>
      </c>
      <c r="G241" s="18">
        <v>141</v>
      </c>
      <c r="H241" s="18">
        <f>10077+1000</f>
        <v>11077</v>
      </c>
      <c r="I241" s="18">
        <v>25</v>
      </c>
      <c r="J241" s="18"/>
      <c r="K241" s="18">
        <v>613</v>
      </c>
      <c r="L241" s="19">
        <f t="shared" si="4"/>
        <v>12220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17552</v>
      </c>
      <c r="I245" s="18"/>
      <c r="J245" s="18"/>
      <c r="K245" s="18"/>
      <c r="L245" s="19">
        <f t="shared" si="4"/>
        <v>17552</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364</v>
      </c>
      <c r="G248" s="41">
        <f t="shared" si="5"/>
        <v>141</v>
      </c>
      <c r="H248" s="41">
        <f t="shared" si="5"/>
        <v>239722</v>
      </c>
      <c r="I248" s="41">
        <f t="shared" si="5"/>
        <v>25</v>
      </c>
      <c r="J248" s="41">
        <f t="shared" si="5"/>
        <v>0</v>
      </c>
      <c r="K248" s="41">
        <f t="shared" si="5"/>
        <v>613</v>
      </c>
      <c r="L248" s="41">
        <f t="shared" si="5"/>
        <v>240865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865</v>
      </c>
      <c r="G258" s="41">
        <f t="shared" si="8"/>
        <v>336</v>
      </c>
      <c r="H258" s="41">
        <f t="shared" si="8"/>
        <v>653316</v>
      </c>
      <c r="I258" s="41">
        <f t="shared" si="8"/>
        <v>61</v>
      </c>
      <c r="J258" s="41">
        <f t="shared" si="8"/>
        <v>182</v>
      </c>
      <c r="K258" s="41">
        <f t="shared" si="8"/>
        <v>1459</v>
      </c>
      <c r="L258" s="41">
        <f t="shared" si="8"/>
        <v>656219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15469</v>
      </c>
      <c r="L267" s="19">
        <f t="shared" si="9"/>
        <v>15469</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15469</v>
      </c>
      <c r="L271" s="41">
        <f t="shared" si="9"/>
        <v>15469</v>
      </c>
      <c r="M271" s="8"/>
      <c r="N271" s="265"/>
    </row>
    <row r="272" spans="1:14" s="34" customFormat="1" ht="12.2" customHeight="1" thickTop="1" x14ac:dyDescent="0.2">
      <c r="A272" s="43" t="s">
        <v>464</v>
      </c>
      <c r="B272" s="40">
        <v>10</v>
      </c>
      <c r="C272" s="40">
        <v>18</v>
      </c>
      <c r="D272" s="39" t="s">
        <v>431</v>
      </c>
      <c r="E272" s="40"/>
      <c r="F272" s="42">
        <f t="shared" ref="F272:L272" si="11">F258+F271</f>
        <v>865</v>
      </c>
      <c r="G272" s="42">
        <f t="shared" si="11"/>
        <v>336</v>
      </c>
      <c r="H272" s="42">
        <f t="shared" si="11"/>
        <v>653316</v>
      </c>
      <c r="I272" s="42">
        <f t="shared" si="11"/>
        <v>61</v>
      </c>
      <c r="J272" s="42">
        <f t="shared" si="11"/>
        <v>182</v>
      </c>
      <c r="K272" s="42">
        <f t="shared" si="11"/>
        <v>16928</v>
      </c>
      <c r="L272" s="42">
        <f t="shared" si="11"/>
        <v>671688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f>578</f>
        <v>578</v>
      </c>
      <c r="G278" s="18">
        <f>347</f>
        <v>347</v>
      </c>
      <c r="H278" s="18">
        <f>1685</f>
        <v>1685</v>
      </c>
      <c r="I278" s="18">
        <f>82+109</f>
        <v>191</v>
      </c>
      <c r="J278" s="18">
        <f>80</f>
        <v>80</v>
      </c>
      <c r="K278" s="18"/>
      <c r="L278" s="19">
        <f>SUM(F278:K278)</f>
        <v>2881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881+25+612</f>
        <v>1518</v>
      </c>
      <c r="G282" s="18">
        <f>511+14+329</f>
        <v>854</v>
      </c>
      <c r="H282" s="18">
        <f>284</f>
        <v>284</v>
      </c>
      <c r="I282" s="18"/>
      <c r="J282" s="18"/>
      <c r="K282" s="18"/>
      <c r="L282" s="19">
        <f t="shared" ref="L282:L288" si="12">SUM(F282:K282)</f>
        <v>2656</v>
      </c>
      <c r="M282" s="8"/>
      <c r="N282" s="265"/>
    </row>
    <row r="283" spans="1:14" s="3" customFormat="1" ht="12.2" customHeight="1" x14ac:dyDescent="0.15">
      <c r="A283" s="1" t="s">
        <v>443</v>
      </c>
      <c r="B283" s="2" t="s">
        <v>357</v>
      </c>
      <c r="C283" s="2" t="s">
        <v>295</v>
      </c>
      <c r="D283" s="2" t="s">
        <v>431</v>
      </c>
      <c r="E283" s="6">
        <v>2200</v>
      </c>
      <c r="F283" s="18"/>
      <c r="G283" s="18"/>
      <c r="H283" s="18">
        <v>2</v>
      </c>
      <c r="I283" s="18"/>
      <c r="J283" s="18"/>
      <c r="K283" s="18"/>
      <c r="L283" s="19">
        <f t="shared" si="12"/>
        <v>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2096</v>
      </c>
      <c r="G291" s="42">
        <f t="shared" si="13"/>
        <v>1201</v>
      </c>
      <c r="H291" s="42">
        <f t="shared" si="13"/>
        <v>1971</v>
      </c>
      <c r="I291" s="42">
        <f t="shared" si="13"/>
        <v>191</v>
      </c>
      <c r="J291" s="42">
        <f t="shared" si="13"/>
        <v>80</v>
      </c>
      <c r="K291" s="42">
        <f t="shared" si="13"/>
        <v>0</v>
      </c>
      <c r="L291" s="41">
        <f t="shared" si="13"/>
        <v>5539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2096</v>
      </c>
      <c r="G339" s="41">
        <f t="shared" si="20"/>
        <v>1201</v>
      </c>
      <c r="H339" s="41">
        <f t="shared" si="20"/>
        <v>1971</v>
      </c>
      <c r="I339" s="41">
        <f t="shared" si="20"/>
        <v>191</v>
      </c>
      <c r="J339" s="41">
        <f t="shared" si="20"/>
        <v>80</v>
      </c>
      <c r="K339" s="41">
        <f t="shared" si="20"/>
        <v>0</v>
      </c>
      <c r="L339" s="41">
        <f t="shared" si="20"/>
        <v>5539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2096</v>
      </c>
      <c r="G353" s="41">
        <f>G339</f>
        <v>1201</v>
      </c>
      <c r="H353" s="41">
        <f>H339</f>
        <v>1971</v>
      </c>
      <c r="I353" s="41">
        <f>I339</f>
        <v>191</v>
      </c>
      <c r="J353" s="41">
        <f>J339</f>
        <v>80</v>
      </c>
      <c r="K353" s="47">
        <f>K339+K352</f>
        <v>0</v>
      </c>
      <c r="L353" s="41">
        <f>L339+L352</f>
        <v>5539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15469</v>
      </c>
      <c r="H401" s="18">
        <v>100</v>
      </c>
      <c r="I401" s="18"/>
      <c r="J401" s="24" t="s">
        <v>288</v>
      </c>
      <c r="K401" s="24" t="s">
        <v>288</v>
      </c>
      <c r="L401" s="56">
        <f t="shared" si="26"/>
        <v>15569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15469</v>
      </c>
      <c r="H402" s="47">
        <f>SUM(H396:H401)</f>
        <v>100</v>
      </c>
      <c r="I402" s="47">
        <f>SUM(I396:I401)</f>
        <v>0</v>
      </c>
      <c r="J402" s="45" t="s">
        <v>288</v>
      </c>
      <c r="K402" s="45" t="s">
        <v>288</v>
      </c>
      <c r="L402" s="47">
        <f>SUM(L396:L401)</f>
        <v>15569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15469</v>
      </c>
      <c r="H409" s="47">
        <f>H394+H402+H408</f>
        <v>100</v>
      </c>
      <c r="I409" s="47">
        <f>I394+I402+I408</f>
        <v>0</v>
      </c>
      <c r="J409" s="24" t="s">
        <v>288</v>
      </c>
      <c r="K409" s="24" t="s">
        <v>288</v>
      </c>
      <c r="L409" s="47">
        <f>L394+L402+L408</f>
        <v>15569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203922</v>
      </c>
      <c r="H441" s="18"/>
      <c r="I441" s="56">
        <f t="shared" si="33"/>
        <v>203922</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203922</v>
      </c>
      <c r="H447" s="13">
        <f>SUM(H440:H446)</f>
        <v>0</v>
      </c>
      <c r="I447" s="13">
        <f>SUM(I440:I446)</f>
        <v>203922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188353+100+15469</f>
        <v>203922</v>
      </c>
      <c r="H460" s="18"/>
      <c r="I460" s="56">
        <f t="shared" si="34"/>
        <v>203922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203922</v>
      </c>
      <c r="H461" s="83">
        <f>SUM(H455:H460)</f>
        <v>0</v>
      </c>
      <c r="I461" s="83">
        <f>SUM(I455:I460)</f>
        <v>203922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203922</v>
      </c>
      <c r="H462" s="42">
        <f>H453+H461</f>
        <v>0</v>
      </c>
      <c r="I462" s="42">
        <f>I453+I461</f>
        <v>203922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85470</v>
      </c>
      <c r="G466" s="18"/>
      <c r="H466" s="18">
        <v>0</v>
      </c>
      <c r="I466" s="18"/>
      <c r="J466" s="18">
        <v>188353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629235-1685</f>
        <v>627550</v>
      </c>
      <c r="G469" s="18"/>
      <c r="H469" s="18">
        <v>5539</v>
      </c>
      <c r="I469" s="18"/>
      <c r="J469" s="18">
        <v>15569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627550</v>
      </c>
      <c r="G471" s="53">
        <f>SUM(G469:G470)</f>
        <v>0</v>
      </c>
      <c r="H471" s="53">
        <f>SUM(H469:H470)</f>
        <v>5539</v>
      </c>
      <c r="I471" s="53">
        <f>SUM(I469:I470)</f>
        <v>0</v>
      </c>
      <c r="J471" s="53">
        <f>SUM(J469:J470)</f>
        <v>15569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673372-1685+1</f>
        <v>671688</v>
      </c>
      <c r="G473" s="18"/>
      <c r="H473" s="18">
        <v>5539</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671688</v>
      </c>
      <c r="G475" s="53">
        <f>SUM(G473:G474)</f>
        <v>0</v>
      </c>
      <c r="H475" s="53">
        <f>SUM(H473:H474)</f>
        <v>5539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41332</v>
      </c>
      <c r="G477" s="53">
        <f>(G466+G471)- G475</f>
        <v>0</v>
      </c>
      <c r="H477" s="53">
        <f>(H466+H471)- H475</f>
        <v>0</v>
      </c>
      <c r="I477" s="53">
        <f>(I466+I471)- I475</f>
        <v>0</v>
      </c>
      <c r="J477" s="53">
        <f>(J466+J471)- J475</f>
        <v>203922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f>8267+59912</f>
        <v>68179</v>
      </c>
      <c r="I522" s="18">
        <v>182</v>
      </c>
      <c r="J522" s="18"/>
      <c r="K522" s="18"/>
      <c r="L522" s="88">
        <f>SUM(F522:K522)</f>
        <v>68361</v>
      </c>
      <c r="N522" s="264"/>
    </row>
    <row r="523" spans="1:14" s="52" customFormat="1" ht="12.2" customHeight="1" x14ac:dyDescent="0.2">
      <c r="A523" s="22" t="s">
        <v>634</v>
      </c>
      <c r="B523" s="105">
        <v>21</v>
      </c>
      <c r="C523" s="115">
        <v>2</v>
      </c>
      <c r="D523" s="2" t="s">
        <v>432</v>
      </c>
      <c r="E523" s="115"/>
      <c r="F523" s="18"/>
      <c r="G523" s="18"/>
      <c r="H523" s="18">
        <v>102989</v>
      </c>
      <c r="I523" s="18"/>
      <c r="J523" s="18"/>
      <c r="K523" s="18"/>
      <c r="L523" s="88">
        <f>SUM(F523:K523)</f>
        <v>102989</v>
      </c>
      <c r="N523" s="264"/>
    </row>
    <row r="524" spans="1:14" s="52" customFormat="1" ht="12.2" customHeight="1" thickBot="1" x14ac:dyDescent="0.25">
      <c r="A524" s="22" t="s">
        <v>635</v>
      </c>
      <c r="B524" s="105">
        <v>21</v>
      </c>
      <c r="C524" s="115">
        <v>3</v>
      </c>
      <c r="D524" s="2" t="s">
        <v>432</v>
      </c>
      <c r="E524" s="115"/>
      <c r="F524" s="18"/>
      <c r="G524" s="18"/>
      <c r="H524" s="18">
        <f>53491+14053</f>
        <v>67544</v>
      </c>
      <c r="I524" s="18"/>
      <c r="J524" s="18"/>
      <c r="K524" s="18"/>
      <c r="L524" s="88">
        <f>SUM(F524:K524)</f>
        <v>67544</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238712</v>
      </c>
      <c r="I525" s="108">
        <f t="shared" si="36"/>
        <v>182</v>
      </c>
      <c r="J525" s="108">
        <f t="shared" si="36"/>
        <v>0</v>
      </c>
      <c r="K525" s="108">
        <f t="shared" si="36"/>
        <v>0</v>
      </c>
      <c r="L525" s="89">
        <f t="shared" si="36"/>
        <v>238894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29018</v>
      </c>
      <c r="I527" s="18"/>
      <c r="J527" s="18"/>
      <c r="K527" s="18"/>
      <c r="L527" s="88">
        <f>SUM(F527:K527)</f>
        <v>29018</v>
      </c>
      <c r="M527" s="8"/>
      <c r="N527" s="265"/>
    </row>
    <row r="528" spans="1:14" s="3" customFormat="1" ht="12.2" customHeight="1" x14ac:dyDescent="0.15">
      <c r="A528" s="22" t="s">
        <v>634</v>
      </c>
      <c r="B528" s="105">
        <v>21</v>
      </c>
      <c r="C528" s="115">
        <v>6</v>
      </c>
      <c r="D528" s="2" t="s">
        <v>432</v>
      </c>
      <c r="E528" s="115"/>
      <c r="F528" s="18"/>
      <c r="G528" s="18"/>
      <c r="H528" s="18">
        <v>2685</v>
      </c>
      <c r="I528" s="18"/>
      <c r="J528" s="18"/>
      <c r="K528" s="18"/>
      <c r="L528" s="88">
        <f>SUM(F528:K528)</f>
        <v>2685</v>
      </c>
      <c r="M528" s="8"/>
      <c r="N528" s="265"/>
    </row>
    <row r="529" spans="1:14" s="3" customFormat="1" ht="12.2" customHeight="1" thickBot="1" x14ac:dyDescent="0.2">
      <c r="A529" s="22" t="s">
        <v>635</v>
      </c>
      <c r="B529" s="118">
        <v>21</v>
      </c>
      <c r="C529" s="118">
        <v>7</v>
      </c>
      <c r="D529" s="2" t="s">
        <v>432</v>
      </c>
      <c r="E529" s="118"/>
      <c r="F529" s="18"/>
      <c r="G529" s="18"/>
      <c r="H529" s="18">
        <v>4313</v>
      </c>
      <c r="I529" s="18"/>
      <c r="J529" s="18"/>
      <c r="K529" s="18"/>
      <c r="L529" s="88">
        <f>SUM(F529:K529)</f>
        <v>4313</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36016</v>
      </c>
      <c r="I530" s="89">
        <f t="shared" si="37"/>
        <v>0</v>
      </c>
      <c r="J530" s="89">
        <f t="shared" si="37"/>
        <v>0</v>
      </c>
      <c r="K530" s="89">
        <f t="shared" si="37"/>
        <v>0</v>
      </c>
      <c r="L530" s="89">
        <f t="shared" si="37"/>
        <v>36016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948</v>
      </c>
      <c r="I532" s="18"/>
      <c r="J532" s="18"/>
      <c r="K532" s="18"/>
      <c r="L532" s="88">
        <f>SUM(F532:K532)</f>
        <v>948</v>
      </c>
      <c r="M532" s="8"/>
      <c r="N532" s="265"/>
    </row>
    <row r="533" spans="1:14" s="3" customFormat="1" ht="12.2" customHeight="1" x14ac:dyDescent="0.15">
      <c r="A533" s="22" t="s">
        <v>634</v>
      </c>
      <c r="B533" s="105">
        <v>21</v>
      </c>
      <c r="C533" s="105">
        <v>10</v>
      </c>
      <c r="D533" s="2" t="s">
        <v>432</v>
      </c>
      <c r="E533" s="105"/>
      <c r="F533" s="18"/>
      <c r="G533" s="18"/>
      <c r="H533" s="18">
        <v>1946</v>
      </c>
      <c r="I533" s="18"/>
      <c r="J533" s="18"/>
      <c r="K533" s="18"/>
      <c r="L533" s="88">
        <f>SUM(F533:K533)</f>
        <v>1946</v>
      </c>
      <c r="M533" s="8"/>
      <c r="N533" s="265"/>
    </row>
    <row r="534" spans="1:14" s="3" customFormat="1" ht="12.2" customHeight="1" thickBot="1" x14ac:dyDescent="0.2">
      <c r="A534" s="22" t="s">
        <v>635</v>
      </c>
      <c r="B534" s="105">
        <v>21</v>
      </c>
      <c r="C534" s="105">
        <v>11</v>
      </c>
      <c r="D534" s="2" t="s">
        <v>432</v>
      </c>
      <c r="E534" s="105"/>
      <c r="F534" s="18"/>
      <c r="G534" s="18"/>
      <c r="H534" s="18">
        <v>2095</v>
      </c>
      <c r="I534" s="18"/>
      <c r="J534" s="18"/>
      <c r="K534" s="18"/>
      <c r="L534" s="88">
        <f>SUM(F534:K534)</f>
        <v>2095</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4989</v>
      </c>
      <c r="I535" s="89">
        <f t="shared" si="38"/>
        <v>0</v>
      </c>
      <c r="J535" s="89">
        <f t="shared" si="38"/>
        <v>0</v>
      </c>
      <c r="K535" s="89">
        <f t="shared" si="38"/>
        <v>0</v>
      </c>
      <c r="L535" s="89">
        <f t="shared" si="38"/>
        <v>4989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v>538</v>
      </c>
      <c r="I543" s="18"/>
      <c r="J543" s="18"/>
      <c r="K543" s="18"/>
      <c r="L543" s="88">
        <f>SUM(F543:K543)</f>
        <v>538</v>
      </c>
      <c r="M543" s="8"/>
      <c r="N543" s="265"/>
    </row>
    <row r="544" spans="1:14" s="3" customFormat="1" ht="12.2" customHeight="1" thickBot="1" x14ac:dyDescent="0.2">
      <c r="A544" s="22" t="s">
        <v>635</v>
      </c>
      <c r="B544" s="105">
        <v>21</v>
      </c>
      <c r="C544" s="105">
        <v>19</v>
      </c>
      <c r="D544" s="2" t="s">
        <v>432</v>
      </c>
      <c r="E544" s="105"/>
      <c r="F544" s="18"/>
      <c r="G544" s="18"/>
      <c r="H544" s="18">
        <v>2604</v>
      </c>
      <c r="I544" s="18"/>
      <c r="J544" s="18"/>
      <c r="K544" s="18"/>
      <c r="L544" s="88">
        <f>SUM(F544:K544)</f>
        <v>2604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3142</v>
      </c>
      <c r="I545" s="192">
        <f t="shared" si="40"/>
        <v>0</v>
      </c>
      <c r="J545" s="192">
        <f t="shared" si="40"/>
        <v>0</v>
      </c>
      <c r="K545" s="192">
        <f t="shared" si="40"/>
        <v>0</v>
      </c>
      <c r="L545" s="192">
        <f t="shared" si="40"/>
        <v>3142</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282859</v>
      </c>
      <c r="I546" s="89">
        <f t="shared" si="41"/>
        <v>182</v>
      </c>
      <c r="J546" s="89">
        <f t="shared" si="41"/>
        <v>0</v>
      </c>
      <c r="K546" s="89">
        <f t="shared" si="41"/>
        <v>0</v>
      </c>
      <c r="L546" s="89">
        <f t="shared" si="41"/>
        <v>283041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68361</v>
      </c>
      <c r="G550" s="87">
        <f>L527</f>
        <v>29018</v>
      </c>
      <c r="H550" s="87">
        <f>L532</f>
        <v>948</v>
      </c>
      <c r="I550" s="87">
        <f>L537</f>
        <v>0</v>
      </c>
      <c r="J550" s="87">
        <f>L542</f>
        <v>0</v>
      </c>
      <c r="K550" s="87">
        <f>SUM(F550:J550)</f>
        <v>98327</v>
      </c>
      <c r="L550" s="24" t="s">
        <v>288</v>
      </c>
      <c r="M550" s="8"/>
      <c r="N550" s="265"/>
    </row>
    <row r="551" spans="1:14" s="3" customFormat="1" ht="12.2" customHeight="1" x14ac:dyDescent="0.15">
      <c r="A551" s="22" t="s">
        <v>634</v>
      </c>
      <c r="B551" s="75">
        <v>21</v>
      </c>
      <c r="C551" s="75">
        <v>23</v>
      </c>
      <c r="D551" s="2" t="s">
        <v>432</v>
      </c>
      <c r="E551" s="75"/>
      <c r="F551" s="87">
        <f>L523</f>
        <v>102989</v>
      </c>
      <c r="G551" s="87">
        <f>L528</f>
        <v>2685</v>
      </c>
      <c r="H551" s="87">
        <f>L533</f>
        <v>1946</v>
      </c>
      <c r="I551" s="87">
        <f>L538</f>
        <v>0</v>
      </c>
      <c r="J551" s="87">
        <f>L543</f>
        <v>538</v>
      </c>
      <c r="K551" s="87">
        <f>SUM(F551:J551)</f>
        <v>108158</v>
      </c>
      <c r="L551" s="24" t="s">
        <v>288</v>
      </c>
      <c r="M551" s="8"/>
      <c r="N551" s="265"/>
    </row>
    <row r="552" spans="1:14" s="3" customFormat="1" ht="12.2" customHeight="1" thickBot="1" x14ac:dyDescent="0.2">
      <c r="A552" s="22" t="s">
        <v>635</v>
      </c>
      <c r="B552" s="75">
        <v>21</v>
      </c>
      <c r="C552" s="75">
        <v>24</v>
      </c>
      <c r="D552" s="2" t="s">
        <v>432</v>
      </c>
      <c r="E552" s="75"/>
      <c r="F552" s="87">
        <f>L524</f>
        <v>67544</v>
      </c>
      <c r="G552" s="87">
        <f>L529</f>
        <v>4313</v>
      </c>
      <c r="H552" s="87">
        <f>L534</f>
        <v>2095</v>
      </c>
      <c r="I552" s="87">
        <f>L539</f>
        <v>0</v>
      </c>
      <c r="J552" s="87">
        <f>L544</f>
        <v>2604</v>
      </c>
      <c r="K552" s="87">
        <f>SUM(F552:J552)</f>
        <v>76556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238894</v>
      </c>
      <c r="G553" s="89">
        <f t="shared" si="42"/>
        <v>36016</v>
      </c>
      <c r="H553" s="89">
        <f t="shared" si="42"/>
        <v>4989</v>
      </c>
      <c r="I553" s="89">
        <f t="shared" si="42"/>
        <v>0</v>
      </c>
      <c r="J553" s="89">
        <f t="shared" si="42"/>
        <v>3142</v>
      </c>
      <c r="K553" s="89">
        <f t="shared" si="42"/>
        <v>283041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91099</v>
      </c>
      <c r="G576" s="18">
        <v>82350</v>
      </c>
      <c r="H576" s="18">
        <v>125016</v>
      </c>
      <c r="I576" s="87">
        <f>SUM(F576:H576)</f>
        <v>298465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59912</v>
      </c>
      <c r="G580" s="18">
        <v>56777</v>
      </c>
      <c r="H580" s="18">
        <v>2500</v>
      </c>
      <c r="I580" s="87">
        <f t="shared" si="47"/>
        <v>119189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46212</v>
      </c>
      <c r="H583" s="18">
        <v>11553</v>
      </c>
      <c r="I583" s="87">
        <f t="shared" si="47"/>
        <v>57765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10313</v>
      </c>
      <c r="I586" s="87">
        <f t="shared" si="47"/>
        <v>10313</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6491</v>
      </c>
      <c r="I592" s="18">
        <v>13324</v>
      </c>
      <c r="J592" s="18">
        <v>14348</v>
      </c>
      <c r="K592" s="104">
        <f t="shared" ref="K592:K598" si="48">SUM(H592:J592)</f>
        <v>34163</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v>538</v>
      </c>
      <c r="J593" s="18">
        <v>2604</v>
      </c>
      <c r="K593" s="104">
        <f t="shared" si="48"/>
        <v>3142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600</v>
      </c>
      <c r="K594" s="104">
        <f t="shared" si="48"/>
        <v>600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6491</v>
      </c>
      <c r="I599" s="108">
        <f>SUM(I592:I598)</f>
        <v>13862</v>
      </c>
      <c r="J599" s="108">
        <f>SUM(J592:J598)</f>
        <v>17552</v>
      </c>
      <c r="K599" s="108">
        <f>SUM(K592:K598)</f>
        <v>37905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182+80</f>
        <v>262</v>
      </c>
      <c r="I605" s="18"/>
      <c r="J605" s="18"/>
      <c r="K605" s="104">
        <f>SUM(H605:J605)</f>
        <v>262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262</v>
      </c>
      <c r="I606" s="108">
        <f>SUM(I603:I605)</f>
        <v>0</v>
      </c>
      <c r="J606" s="108">
        <f>SUM(J603:J605)</f>
        <v>0</v>
      </c>
      <c r="K606" s="108">
        <f>SUM(K603:K605)</f>
        <v>262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v>681</v>
      </c>
      <c r="I612" s="18"/>
      <c r="J612" s="18"/>
      <c r="K612" s="18"/>
      <c r="L612" s="88">
        <f>SUM(F612:K612)</f>
        <v>681</v>
      </c>
      <c r="M612" s="8"/>
      <c r="N612" s="265"/>
    </row>
    <row r="613" spans="1:14" s="3" customFormat="1" ht="12.2" customHeight="1" x14ac:dyDescent="0.15">
      <c r="A613" s="22" t="s">
        <v>634</v>
      </c>
      <c r="B613" s="75">
        <v>23</v>
      </c>
      <c r="C613" s="75">
        <v>14</v>
      </c>
      <c r="D613" s="2" t="s">
        <v>432</v>
      </c>
      <c r="E613" s="75"/>
      <c r="F613" s="18"/>
      <c r="G613" s="18"/>
      <c r="H613" s="18">
        <f>681+1947</f>
        <v>2628</v>
      </c>
      <c r="I613" s="18"/>
      <c r="J613" s="18"/>
      <c r="K613" s="18"/>
      <c r="L613" s="88">
        <f>SUM(F613:K613)</f>
        <v>2628</v>
      </c>
      <c r="M613" s="8"/>
      <c r="N613" s="265"/>
    </row>
    <row r="614" spans="1:14" s="3" customFormat="1" ht="12.2" customHeight="1" thickBot="1" x14ac:dyDescent="0.2">
      <c r="A614" s="22" t="s">
        <v>645</v>
      </c>
      <c r="B614" s="75">
        <v>23</v>
      </c>
      <c r="C614" s="75">
        <v>15</v>
      </c>
      <c r="D614" s="2" t="s">
        <v>432</v>
      </c>
      <c r="E614" s="75"/>
      <c r="F614" s="18"/>
      <c r="G614" s="18"/>
      <c r="H614" s="18">
        <f>681+3226</f>
        <v>3907</v>
      </c>
      <c r="I614" s="18"/>
      <c r="J614" s="18"/>
      <c r="K614" s="18"/>
      <c r="L614" s="88">
        <f>SUM(F614:K614)</f>
        <v>3907</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7216</v>
      </c>
      <c r="I615" s="108">
        <f t="shared" si="49"/>
        <v>0</v>
      </c>
      <c r="J615" s="108">
        <f t="shared" si="49"/>
        <v>0</v>
      </c>
      <c r="K615" s="108">
        <f t="shared" si="49"/>
        <v>0</v>
      </c>
      <c r="L615" s="89">
        <f t="shared" si="49"/>
        <v>7216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49789</v>
      </c>
      <c r="H618" s="109">
        <f>SUM(F52)</f>
        <v>49789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203922</v>
      </c>
      <c r="H622" s="109">
        <f>SUM(J52)</f>
        <v>203922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41332</v>
      </c>
      <c r="H623" s="109">
        <f>F477</f>
        <v>41332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203922</v>
      </c>
      <c r="H627" s="109">
        <f>J477</f>
        <v>203922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627550</v>
      </c>
      <c r="H628" s="104">
        <f>SUM(F469)</f>
        <v>627550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5539</v>
      </c>
      <c r="H630" s="104">
        <f>SUM(H469)</f>
        <v>5539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15569</v>
      </c>
      <c r="H632" s="104">
        <f>SUM(J469)</f>
        <v>15569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671688</v>
      </c>
      <c r="H633" s="104">
        <f>SUM(F473)</f>
        <v>671688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5539</v>
      </c>
      <c r="H634" s="104">
        <f>SUM(H473)</f>
        <v>5539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15569</v>
      </c>
      <c r="H638" s="164">
        <f>SUM(J469)</f>
        <v>15569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203922</v>
      </c>
      <c r="H641" s="104">
        <f>SUM(G462)</f>
        <v>203922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203922</v>
      </c>
      <c r="H643" s="104">
        <f>SUM(I462)</f>
        <v>203922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100</v>
      </c>
      <c r="H645" s="104">
        <f>H409</f>
        <v>100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15469</v>
      </c>
      <c r="H646" s="104">
        <f>G409</f>
        <v>15469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15569</v>
      </c>
      <c r="H647" s="104">
        <f>L409</f>
        <v>15569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37905</v>
      </c>
      <c r="H648" s="104">
        <f>L209+L227+L245</f>
        <v>37905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262</v>
      </c>
      <c r="H649" s="104">
        <f>(J258+J339)-(J256+J337)</f>
        <v>262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6491</v>
      </c>
      <c r="H650" s="104">
        <f>H599</f>
        <v>6491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13862</v>
      </c>
      <c r="H651" s="104">
        <f>I599</f>
        <v>13862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17552</v>
      </c>
      <c r="H652" s="104">
        <f>J599</f>
        <v>17552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15469</v>
      </c>
      <c r="H656" s="104">
        <f>K267+K348</f>
        <v>15469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205031</v>
      </c>
      <c r="G661" s="19">
        <f>(L230+L310+L360)</f>
        <v>215862</v>
      </c>
      <c r="H661" s="19">
        <f>(L248+L329+L361)</f>
        <v>240865</v>
      </c>
      <c r="I661" s="19">
        <f>SUM(F661:H661)</f>
        <v>661758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6491</v>
      </c>
      <c r="G663" s="19">
        <f>(L227+L307)-(J227+J307)</f>
        <v>13862</v>
      </c>
      <c r="H663" s="19">
        <f>(L245+L326)-(J245+J326)</f>
        <v>17552</v>
      </c>
      <c r="I663" s="19">
        <f>SUM(F663:H663)</f>
        <v>37905</v>
      </c>
      <c r="J663"/>
      <c r="K663" s="13"/>
      <c r="L663" s="13"/>
      <c r="M663" s="9"/>
    </row>
    <row r="664" spans="1:13" s="3" customFormat="1" ht="12.2" customHeight="1" x14ac:dyDescent="0.15">
      <c r="A664" s="197" t="s">
        <v>129</v>
      </c>
      <c r="B664" s="169"/>
      <c r="C664" s="169"/>
      <c r="D664" s="169"/>
      <c r="E664" s="169"/>
      <c r="F664" s="198">
        <f>SUM(F576:F588)+SUM(H603:H605)+SUM(L612)</f>
        <v>151954</v>
      </c>
      <c r="G664" s="198">
        <f>SUM(G576:G588)+SUM(I603:I605)+L613</f>
        <v>187967</v>
      </c>
      <c r="H664" s="198">
        <f>SUM(H576:H588)+SUM(J603:J605)+L614</f>
        <v>153289</v>
      </c>
      <c r="I664" s="19">
        <f>SUM(F664:H664)</f>
        <v>493210</v>
      </c>
      <c r="J664" s="13"/>
      <c r="K664" s="13"/>
      <c r="L664" s="13"/>
      <c r="M664" s="9"/>
    </row>
    <row r="665" spans="1:13" s="3" customFormat="1" ht="12.2" customHeight="1" x14ac:dyDescent="0.15">
      <c r="A665" s="1" t="s">
        <v>130</v>
      </c>
      <c r="F665" s="19">
        <f>F661-SUM(F662:F664)</f>
        <v>46586</v>
      </c>
      <c r="G665" s="19">
        <f>G661-SUM(G662:G664)</f>
        <v>14033</v>
      </c>
      <c r="H665" s="19">
        <f>H661-SUM(H662:H664)</f>
        <v>70024</v>
      </c>
      <c r="I665" s="19">
        <f>I661-SUM(I662:I664)</f>
        <v>130643</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-46586</v>
      </c>
      <c r="G670" s="18">
        <v>-14033</v>
      </c>
      <c r="H670" s="18">
        <v>-70024</v>
      </c>
      <c r="I670" s="19">
        <f>SUM(F670:H670)</f>
        <v>-130643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7"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Benton</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50" zoomScaleNormal="15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Benton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578</v>
      </c>
      <c r="C18" s="228">
        <f>'DOE25'!G199+'DOE25'!G217+'DOE25'!G235+'DOE25'!G278+'DOE25'!G297+'DOE25'!G316</f>
        <v>347</v>
      </c>
    </row>
    <row r="19" spans="1:3" x14ac:dyDescent="0.2">
      <c r="A19" t="s">
        <v>775</v>
      </c>
      <c r="B19" s="239"/>
      <c r="C19" s="239"/>
    </row>
    <row r="20" spans="1:3" x14ac:dyDescent="0.2">
      <c r="A20" t="s">
        <v>776</v>
      </c>
      <c r="B20" s="239">
        <v>578</v>
      </c>
      <c r="C20" s="239">
        <v>347</v>
      </c>
    </row>
    <row r="21" spans="1:3" x14ac:dyDescent="0.2">
      <c r="A21" t="s">
        <v>777</v>
      </c>
      <c r="B21" s="239"/>
      <c r="C21" s="239"/>
    </row>
    <row r="22" spans="1:3" x14ac:dyDescent="0.2">
      <c r="A22" t="str">
        <f>IF(B18=B22,IF(C18=C22,"Check Total OK","Check Total Error"),"Check Total Error")</f>
        <v>Check Total OK</v>
      </c>
      <c r="B22" s="230">
        <f>SUM(B19:B21)</f>
        <v>578</v>
      </c>
      <c r="C22" s="230">
        <f>SUM(C19:C21)</f>
        <v>347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40" zoomScaleNormal="140" workbookViewId="0">
      <pane ySplit="4" topLeftCell="A5" activePane="bottomLeft" state="frozen"/>
      <selection activeCell="F46" sqref="F46"/>
      <selection pane="bottomLeft" activeCell="E36" sqref="E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Benton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553203</v>
      </c>
      <c r="D5" s="20">
        <f>SUM('DOE25'!L198:L201)+SUM('DOE25'!L216:L219)+SUM('DOE25'!L234:L237)-F5-G5-H5</f>
        <v>553021</v>
      </c>
      <c r="E5" s="242"/>
      <c r="F5" s="243"/>
      <c r="G5" s="53">
        <f>SUM('DOE25'!J198:J201)+SUM('DOE25'!J216:J219)+SUM('DOE25'!J234:J237)</f>
        <v>182</v>
      </c>
      <c r="H5" s="53">
        <f>SUM('DOE25'!K198:K201)+SUM('DOE25'!K216:K219)+SUM('DOE25'!K234:K237)</f>
        <v>0</v>
      </c>
      <c r="I5" s="255"/>
    </row>
    <row r="6" spans="1:9" x14ac:dyDescent="0.2">
      <c r="A6" s="32">
        <v>2100</v>
      </c>
      <c r="B6" t="s">
        <v>796</v>
      </c>
      <c r="C6" s="274">
        <f t="shared" si="0"/>
        <v>36016</v>
      </c>
      <c r="D6" s="20">
        <f>'DOE25'!L203+'DOE25'!L221+'DOE25'!L239-F6-G6-H6</f>
        <v>36016</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19379</v>
      </c>
      <c r="D8" s="242"/>
      <c r="E8" s="20">
        <f>'DOE25'!L205+'DOE25'!L223+'DOE25'!L241-F8-G8-H8-D9-D11</f>
        <v>17920</v>
      </c>
      <c r="F8" s="243"/>
      <c r="G8" s="53">
        <f>'DOE25'!J205+'DOE25'!J223+'DOE25'!J241</f>
        <v>0</v>
      </c>
      <c r="H8" s="53">
        <f>'DOE25'!K205+'DOE25'!K223+'DOE25'!K241</f>
        <v>1459</v>
      </c>
      <c r="I8" s="255"/>
    </row>
    <row r="9" spans="1:9" ht="14.25" x14ac:dyDescent="0.2">
      <c r="A9" s="32">
        <v>2310</v>
      </c>
      <c r="B9" s="184" t="s">
        <v>888</v>
      </c>
      <c r="C9" s="274">
        <f t="shared" si="0"/>
        <v>4490</v>
      </c>
      <c r="D9" s="243">
        <v>4490</v>
      </c>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5226</v>
      </c>
      <c r="D11" s="243">
        <v>5226</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37905</v>
      </c>
      <c r="D15" s="20">
        <f>'DOE25'!L209+'DOE25'!L227+'DOE25'!L245-F15-G15-H15</f>
        <v>28742</v>
      </c>
      <c r="E15" s="242"/>
      <c r="F15" s="243">
        <f>34163-25000</f>
        <v>9163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5539</v>
      </c>
      <c r="D31" s="20">
        <f>'DOE25'!L291+'DOE25'!L310+'DOE25'!L329+'DOE25'!L334+'DOE25'!L335+'DOE25'!L336-F31-G31-H31</f>
        <v>5459</v>
      </c>
      <c r="E31" s="242"/>
      <c r="F31" s="243"/>
      <c r="G31" s="53">
        <f>'DOE25'!J291+'DOE25'!J310+'DOE25'!J329+'DOE25'!J334+'DOE25'!J335+'DOE25'!J336</f>
        <v>80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632954</v>
      </c>
      <c r="E33" s="244">
        <f t="shared" si="1"/>
        <v>17920</v>
      </c>
      <c r="F33" s="244">
        <f t="shared" si="1"/>
        <v>9163</v>
      </c>
      <c r="G33" s="244">
        <f t="shared" si="1"/>
        <v>262</v>
      </c>
      <c r="H33" s="244">
        <f t="shared" si="1"/>
        <v>1459</v>
      </c>
      <c r="I33" s="244">
        <f t="shared" si="1"/>
        <v>0</v>
      </c>
    </row>
    <row r="35" spans="1:9" ht="12" thickBot="1" x14ac:dyDescent="0.25">
      <c r="B35" s="250" t="s">
        <v>831</v>
      </c>
      <c r="D35" s="251">
        <f>E33</f>
        <v>17920</v>
      </c>
      <c r="E35" s="247"/>
      <c r="F35" s="328" t="s">
        <v>1617</v>
      </c>
      <c r="G35" s="329"/>
      <c r="H35" s="329"/>
      <c r="I35" s="329"/>
    </row>
    <row r="36" spans="1:9" ht="12" thickTop="1" x14ac:dyDescent="0.2">
      <c r="B36" t="s">
        <v>810</v>
      </c>
      <c r="D36" s="20">
        <f>D33</f>
        <v>632954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Benton</v>
      </c>
      <c r="B2" s="126">
        <f>'DOE25'!B2</f>
        <v>47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205031</v>
      </c>
      <c r="G4" s="299">
        <f>'DOE25'!L212+'DOE25'!L291</f>
        <v>205031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199492</v>
      </c>
      <c r="E5" s="290">
        <v>5539</v>
      </c>
      <c r="F5" s="303">
        <f>D5+E5</f>
        <v>205031</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199492</v>
      </c>
      <c r="E21" s="338">
        <f>SUM(E5:E20)</f>
        <v>5539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215862</v>
      </c>
      <c r="G24" s="299">
        <f>'DOE25'!L230+'DOE25'!L310</f>
        <v>215862</v>
      </c>
      <c r="H24" s="340">
        <f>F24-G24</f>
        <v>0</v>
      </c>
      <c r="I24" s="383" t="str">
        <f>IF(H24=0,"","ISSUES!! Please review page 8 and 12 totals in comparison with total on this page")</f>
        <v/>
      </c>
      <c r="N24"/>
    </row>
    <row r="25" spans="1:14" x14ac:dyDescent="0.2">
      <c r="A25" s="126" t="s">
        <v>1548</v>
      </c>
      <c r="B25" s="300">
        <v>99999</v>
      </c>
      <c r="C25" s="293" t="s">
        <v>1548</v>
      </c>
      <c r="D25" s="290">
        <v>215862</v>
      </c>
      <c r="E25" s="290"/>
      <c r="F25" s="303">
        <f>D25+E25</f>
        <v>215862</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215862</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240865</v>
      </c>
      <c r="G36" s="299">
        <f>'DOE25'!L248+'DOE25'!L329</f>
        <v>240865</v>
      </c>
      <c r="H36" s="340">
        <f>F36-G36</f>
        <v>0</v>
      </c>
      <c r="I36" s="383" t="str">
        <f>IF(H36=0,"","ISSUES!! Please review page 9 and 13 totals in comparison with total on this page")</f>
        <v/>
      </c>
      <c r="N36"/>
    </row>
    <row r="37" spans="1:14" x14ac:dyDescent="0.2">
      <c r="A37" s="126" t="s">
        <v>1548</v>
      </c>
      <c r="B37" s="300">
        <v>99999</v>
      </c>
      <c r="C37" s="293" t="s">
        <v>1548</v>
      </c>
      <c r="D37" s="290">
        <v>240865</v>
      </c>
      <c r="E37" s="290"/>
      <c r="F37" s="303">
        <f t="shared" ref="F37:F42" si="2">D37+E37</f>
        <v>240865</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240865</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Benton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45296</v>
      </c>
      <c r="D8" s="95">
        <f>'DOE25'!G9</f>
        <v>0</v>
      </c>
      <c r="E8" s="95">
        <f>'DOE25'!H9</f>
        <v>0</v>
      </c>
      <c r="F8" s="95">
        <f>'DOE25'!I9</f>
        <v>0</v>
      </c>
      <c r="G8" s="95">
        <f>'DOE25'!J9</f>
        <v>0</v>
      </c>
      <c r="H8" s="124">
        <f>SUM(C8:G8)</f>
        <v>45296</v>
      </c>
      <c r="I8" s="124"/>
    </row>
    <row r="9" spans="1:9" x14ac:dyDescent="0.2">
      <c r="A9" s="1" t="s">
        <v>140</v>
      </c>
      <c r="B9" s="6">
        <v>110</v>
      </c>
      <c r="C9" s="95">
        <f>'DOE25'!F10</f>
        <v>0</v>
      </c>
      <c r="D9" s="95">
        <f>'DOE25'!G10</f>
        <v>0</v>
      </c>
      <c r="E9" s="95">
        <f>'DOE25'!H10</f>
        <v>0</v>
      </c>
      <c r="F9" s="95">
        <f>'DOE25'!I10</f>
        <v>0</v>
      </c>
      <c r="G9" s="95">
        <f>'DOE25'!J10</f>
        <v>203922</v>
      </c>
      <c r="H9" s="124">
        <f t="shared" ref="H9:H18" si="0">SUM(C9:G9)</f>
        <v>203922</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4493</v>
      </c>
      <c r="D13" s="95">
        <f>'DOE25'!G14</f>
        <v>0</v>
      </c>
      <c r="E13" s="95">
        <f>'DOE25'!H14</f>
        <v>0</v>
      </c>
      <c r="F13" s="95">
        <f>'DOE25'!I14</f>
        <v>0</v>
      </c>
      <c r="G13" s="95">
        <f>'DOE25'!J14</f>
        <v>0</v>
      </c>
      <c r="H13" s="124">
        <f t="shared" si="0"/>
        <v>4493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49789</v>
      </c>
      <c r="D18" s="41">
        <f>SUM(D8:D17)</f>
        <v>0</v>
      </c>
      <c r="E18" s="41">
        <f>SUM(E8:E17)</f>
        <v>0</v>
      </c>
      <c r="F18" s="41">
        <f>SUM(F8:F17)</f>
        <v>0</v>
      </c>
      <c r="G18" s="41">
        <f>SUM(G8:G17)</f>
        <v>203922</v>
      </c>
      <c r="H18" s="41">
        <f t="shared" si="0"/>
        <v>253711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8457</v>
      </c>
      <c r="D23" s="95">
        <f>'DOE25'!G24</f>
        <v>0</v>
      </c>
      <c r="E23" s="95">
        <f>'DOE25'!H24</f>
        <v>0</v>
      </c>
      <c r="F23" s="95">
        <f>'DOE25'!I24</f>
        <v>0</v>
      </c>
      <c r="G23" s="95">
        <f>'DOE25'!J24</f>
        <v>0</v>
      </c>
      <c r="H23" s="124">
        <f t="shared" si="1"/>
        <v>8457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8457</v>
      </c>
      <c r="D31" s="41">
        <f>SUM(D21:D30)</f>
        <v>0</v>
      </c>
      <c r="E31" s="41">
        <f>SUM(E21:E30)</f>
        <v>0</v>
      </c>
      <c r="F31" s="41">
        <f>SUM(F21:F30)</f>
        <v>0</v>
      </c>
      <c r="G31" s="41">
        <f>SUM(G21:G30)</f>
        <v>0</v>
      </c>
      <c r="H31" s="41">
        <f t="shared" si="1"/>
        <v>8457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11332</v>
      </c>
      <c r="D43" s="95">
        <f>'DOE25'!G44</f>
        <v>0</v>
      </c>
      <c r="E43" s="95">
        <f>'DOE25'!H44</f>
        <v>0</v>
      </c>
      <c r="F43" s="95">
        <f>'DOE25'!I44</f>
        <v>0</v>
      </c>
      <c r="G43" s="24" t="s">
        <v>288</v>
      </c>
      <c r="H43" s="124">
        <f t="shared" si="2"/>
        <v>11332</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203922</v>
      </c>
      <c r="H47" s="124">
        <f t="shared" si="2"/>
        <v>203922</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30000</v>
      </c>
      <c r="D49" s="24" t="s">
        <v>288</v>
      </c>
      <c r="E49" s="24" t="s">
        <v>288</v>
      </c>
      <c r="F49" s="24" t="s">
        <v>288</v>
      </c>
      <c r="G49" s="24" t="s">
        <v>288</v>
      </c>
      <c r="H49" s="124">
        <f t="shared" si="2"/>
        <v>30000</v>
      </c>
      <c r="I49" s="124"/>
    </row>
    <row r="50" spans="1:9" ht="12.75" thickTop="1" thickBot="1" x14ac:dyDescent="0.25">
      <c r="A50" s="38" t="s">
        <v>884</v>
      </c>
      <c r="B50" s="48"/>
      <c r="C50" s="41">
        <f>SUM(C34:C49)</f>
        <v>41332</v>
      </c>
      <c r="D50" s="41">
        <f>SUM(D34:D49)</f>
        <v>0</v>
      </c>
      <c r="E50" s="41">
        <f>SUM(E34:E49)</f>
        <v>0</v>
      </c>
      <c r="F50" s="41">
        <f>SUM(F34:F49)</f>
        <v>0</v>
      </c>
      <c r="G50" s="41">
        <f>SUM(G34:G49)</f>
        <v>203922</v>
      </c>
      <c r="H50" s="41">
        <f t="shared" si="2"/>
        <v>245254</v>
      </c>
      <c r="I50" s="124"/>
    </row>
    <row r="51" spans="1:9" ht="12" thickTop="1" x14ac:dyDescent="0.2">
      <c r="A51" s="38" t="s">
        <v>885</v>
      </c>
      <c r="B51" s="2"/>
      <c r="C51" s="41">
        <f>C50+C31</f>
        <v>49789</v>
      </c>
      <c r="D51" s="41">
        <f>D50+D31</f>
        <v>0</v>
      </c>
      <c r="E51" s="41">
        <f>E50+E31</f>
        <v>0</v>
      </c>
      <c r="F51" s="41">
        <f>F50+F31</f>
        <v>0</v>
      </c>
      <c r="G51" s="41">
        <f>G50+G31</f>
        <v>203922</v>
      </c>
      <c r="H51" s="41">
        <f t="shared" si="2"/>
        <v>253711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368947</v>
      </c>
      <c r="D56" s="95">
        <f>'DOE25'!G60</f>
        <v>0</v>
      </c>
      <c r="E56" s="95">
        <f>'DOE25'!H60</f>
        <v>0</v>
      </c>
      <c r="F56" s="95">
        <f>'DOE25'!I60</f>
        <v>0</v>
      </c>
      <c r="G56" s="95">
        <f>'DOE25'!J60</f>
        <v>0</v>
      </c>
      <c r="H56" s="124">
        <f t="shared" ref="H56:H63" si="3">SUM(C56:G56)</f>
        <v>368947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100</v>
      </c>
      <c r="H59" s="124">
        <f t="shared" si="3"/>
        <v>100</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0</v>
      </c>
      <c r="D62" s="130">
        <f>SUM(D57:D61)</f>
        <v>0</v>
      </c>
      <c r="E62" s="130">
        <f>SUM(E57:E61)</f>
        <v>0</v>
      </c>
      <c r="F62" s="130">
        <f>SUM(F57:F61)</f>
        <v>0</v>
      </c>
      <c r="G62" s="130">
        <f>SUM(G57:G61)</f>
        <v>100</v>
      </c>
      <c r="H62" s="124">
        <f t="shared" si="3"/>
        <v>100</v>
      </c>
      <c r="I62"/>
    </row>
    <row r="63" spans="1:9" ht="12" thickTop="1" x14ac:dyDescent="0.2">
      <c r="A63" s="29" t="s">
        <v>175</v>
      </c>
      <c r="B63" s="6"/>
      <c r="C63" s="22">
        <f>C56+C62</f>
        <v>368947</v>
      </c>
      <c r="D63" s="22">
        <f>D56+D62</f>
        <v>0</v>
      </c>
      <c r="E63" s="22">
        <f>E56+E62</f>
        <v>0</v>
      </c>
      <c r="F63" s="22">
        <f>F56+F62</f>
        <v>0</v>
      </c>
      <c r="G63" s="22">
        <f>G56+G62</f>
        <v>100</v>
      </c>
      <c r="H63" s="124">
        <f t="shared" si="3"/>
        <v>369047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157088</v>
      </c>
      <c r="D66" s="24" t="s">
        <v>288</v>
      </c>
      <c r="E66" s="24" t="s">
        <v>288</v>
      </c>
      <c r="F66" s="24" t="s">
        <v>288</v>
      </c>
      <c r="G66" s="24" t="s">
        <v>288</v>
      </c>
      <c r="H66" s="124">
        <f t="shared" ref="H66:H81" si="4">SUM(C66:G66)</f>
        <v>157088</v>
      </c>
      <c r="I66"/>
    </row>
    <row r="67" spans="1:9" x14ac:dyDescent="0.2">
      <c r="A67" s="1" t="s">
        <v>770</v>
      </c>
      <c r="B67" s="6">
        <v>3112</v>
      </c>
      <c r="C67" s="95">
        <f>'DOE25'!F118</f>
        <v>48787</v>
      </c>
      <c r="D67" s="24"/>
      <c r="E67" s="24"/>
      <c r="F67" s="24"/>
      <c r="G67" s="24"/>
      <c r="H67" s="124">
        <f t="shared" si="4"/>
        <v>48787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205875</v>
      </c>
      <c r="D70" s="139">
        <f>D69</f>
        <v>0</v>
      </c>
      <c r="E70" s="139">
        <f>E69</f>
        <v>0</v>
      </c>
      <c r="F70" s="139">
        <f>F69</f>
        <v>0</v>
      </c>
      <c r="G70" s="139">
        <f>G69</f>
        <v>0</v>
      </c>
      <c r="H70" s="124">
        <f t="shared" si="4"/>
        <v>205875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4142</v>
      </c>
      <c r="D76" s="24" t="s">
        <v>288</v>
      </c>
      <c r="E76" s="95">
        <f>SUM('DOE25'!H127:H130)</f>
        <v>0</v>
      </c>
      <c r="F76" s="95">
        <f>SUM('DOE25'!I127:I130)</f>
        <v>0</v>
      </c>
      <c r="G76" s="24" t="s">
        <v>288</v>
      </c>
      <c r="H76" s="124">
        <f t="shared" si="4"/>
        <v>4142</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4142</v>
      </c>
      <c r="D78" s="130">
        <f>SUM(D72:D77)</f>
        <v>0</v>
      </c>
      <c r="E78" s="130">
        <f>SUM(E72:E77)</f>
        <v>0</v>
      </c>
      <c r="F78" s="130">
        <f>SUM(F72:F77)</f>
        <v>0</v>
      </c>
      <c r="G78" s="130">
        <f>SUM(G72:G77)</f>
        <v>0</v>
      </c>
      <c r="H78" s="124">
        <f t="shared" si="4"/>
        <v>4142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210017</v>
      </c>
      <c r="D81" s="130">
        <f>SUM(D79:D80)+D78+D70</f>
        <v>0</v>
      </c>
      <c r="E81" s="130">
        <f>SUM(E79:E80)+E78+E70</f>
        <v>0</v>
      </c>
      <c r="F81" s="130">
        <f>SUM(F79:F80)+F78+F70</f>
        <v>0</v>
      </c>
      <c r="G81" s="130">
        <f>SUM(G79:G80)+G78+G70</f>
        <v>0</v>
      </c>
      <c r="H81" s="130">
        <f t="shared" si="4"/>
        <v>210017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37196</v>
      </c>
      <c r="D88" s="326">
        <f>SUM('DOE25'!G153:G162)</f>
        <v>0</v>
      </c>
      <c r="E88" s="326">
        <f>SUM('DOE25'!H153:H162)</f>
        <v>5539</v>
      </c>
      <c r="F88" s="326">
        <f>SUM('DOE25'!I153:I162)</f>
        <v>0</v>
      </c>
      <c r="G88" s="24" t="s">
        <v>288</v>
      </c>
      <c r="H88" s="124">
        <f t="shared" si="5"/>
        <v>42735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11390</v>
      </c>
      <c r="D90" s="24" t="s">
        <v>288</v>
      </c>
      <c r="E90" s="24" t="s">
        <v>288</v>
      </c>
      <c r="F90" s="24" t="s">
        <v>288</v>
      </c>
      <c r="G90" s="24" t="s">
        <v>288</v>
      </c>
      <c r="H90" s="124">
        <f t="shared" si="5"/>
        <v>11390</v>
      </c>
    </row>
    <row r="91" spans="1:9" ht="12.75" thickTop="1" thickBot="1" x14ac:dyDescent="0.25">
      <c r="A91" s="33" t="s">
        <v>750</v>
      </c>
      <c r="C91" s="131">
        <f>SUM(C85:C90)</f>
        <v>48586</v>
      </c>
      <c r="D91" s="131">
        <f>SUM(D85:D90)</f>
        <v>0</v>
      </c>
      <c r="E91" s="131">
        <f>SUM(E85:E90)</f>
        <v>5539</v>
      </c>
      <c r="F91" s="131">
        <f>SUM(F85:F90)</f>
        <v>0</v>
      </c>
      <c r="G91" s="24" t="s">
        <v>288</v>
      </c>
      <c r="H91" s="124">
        <f t="shared" si="5"/>
        <v>54125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15469</v>
      </c>
      <c r="H96" s="124">
        <f t="shared" si="5"/>
        <v>15469</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15469</v>
      </c>
      <c r="H103" s="86">
        <f t="shared" si="5"/>
        <v>15469</v>
      </c>
    </row>
    <row r="104" spans="1:8" ht="12.75" thickTop="1" thickBot="1" x14ac:dyDescent="0.25">
      <c r="A104" s="33" t="s">
        <v>761</v>
      </c>
      <c r="C104" s="86">
        <f>C63+C81+C91+C103</f>
        <v>627550</v>
      </c>
      <c r="D104" s="86">
        <f>D63+D81+D91+D103</f>
        <v>0</v>
      </c>
      <c r="E104" s="86">
        <f>E63+E81+E91+E103</f>
        <v>5539</v>
      </c>
      <c r="F104" s="86">
        <f>F63+F81+F91+F103</f>
        <v>0</v>
      </c>
      <c r="G104" s="86">
        <f>G63+G81+G103</f>
        <v>15569</v>
      </c>
      <c r="H104" s="86">
        <f t="shared" si="5"/>
        <v>648658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298465</v>
      </c>
      <c r="D109" s="24" t="s">
        <v>288</v>
      </c>
      <c r="E109" s="95">
        <f>('DOE25'!L277)+('DOE25'!L296)+('DOE25'!L315)</f>
        <v>0</v>
      </c>
      <c r="F109" s="24" t="s">
        <v>288</v>
      </c>
      <c r="G109" s="24" t="s">
        <v>288</v>
      </c>
      <c r="H109" s="124">
        <f t="shared" ref="H109:H115" si="6">SUM(C109:G109)</f>
        <v>298465</v>
      </c>
    </row>
    <row r="110" spans="1:8" x14ac:dyDescent="0.2">
      <c r="A110" t="s">
        <v>198</v>
      </c>
      <c r="B110" s="32" t="s">
        <v>199</v>
      </c>
      <c r="C110" s="95">
        <f>('DOE25'!L199)+('DOE25'!L217)+('DOE25'!L235)</f>
        <v>237209</v>
      </c>
      <c r="D110" s="24" t="s">
        <v>288</v>
      </c>
      <c r="E110" s="95">
        <f>('DOE25'!L278)+('DOE25'!L297)+('DOE25'!L316)</f>
        <v>2881</v>
      </c>
      <c r="F110" s="24" t="s">
        <v>288</v>
      </c>
      <c r="G110" s="24" t="s">
        <v>288</v>
      </c>
      <c r="H110" s="124">
        <f t="shared" si="6"/>
        <v>240090</v>
      </c>
    </row>
    <row r="111" spans="1:8" x14ac:dyDescent="0.2">
      <c r="A111" t="s">
        <v>200</v>
      </c>
      <c r="B111" s="32" t="s">
        <v>165</v>
      </c>
      <c r="C111" s="95">
        <f>('DOE25'!L200)+('DOE25'!L218)+('DOE25'!L236)</f>
        <v>10313</v>
      </c>
      <c r="D111" s="24" t="s">
        <v>288</v>
      </c>
      <c r="E111" s="95">
        <f>('DOE25'!L279)+('DOE25'!L298)+('DOE25'!L317)</f>
        <v>0</v>
      </c>
      <c r="F111" s="24" t="s">
        <v>288</v>
      </c>
      <c r="G111" s="24" t="s">
        <v>288</v>
      </c>
      <c r="H111" s="124">
        <f t="shared" si="6"/>
        <v>10313</v>
      </c>
    </row>
    <row r="112" spans="1:8" x14ac:dyDescent="0.2">
      <c r="A112" t="s">
        <v>201</v>
      </c>
      <c r="B112" s="32" t="s">
        <v>167</v>
      </c>
      <c r="C112" s="95">
        <f>('DOE25'!L201)+('DOE25'!L219)+('DOE25'!L237)</f>
        <v>7216</v>
      </c>
      <c r="D112" s="24" t="s">
        <v>288</v>
      </c>
      <c r="E112" s="95">
        <f>+('DOE25'!L280)+('DOE25'!L299)+('DOE25'!L318)</f>
        <v>0</v>
      </c>
      <c r="F112" s="24" t="s">
        <v>288</v>
      </c>
      <c r="G112" s="24" t="s">
        <v>288</v>
      </c>
      <c r="H112" s="124">
        <f t="shared" si="6"/>
        <v>7216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553203</v>
      </c>
      <c r="D115" s="86">
        <f>SUM(D109:D114)</f>
        <v>0</v>
      </c>
      <c r="E115" s="86">
        <f>SUM(E109:E114)</f>
        <v>2881</v>
      </c>
      <c r="F115" s="86">
        <f>SUM(F109:F114)</f>
        <v>0</v>
      </c>
      <c r="G115" s="86">
        <f>SUM(G109:G114)</f>
        <v>0</v>
      </c>
      <c r="H115" s="86">
        <f t="shared" si="6"/>
        <v>556084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36016</v>
      </c>
      <c r="D118" s="24" t="s">
        <v>288</v>
      </c>
      <c r="E118" s="95">
        <f>+('DOE25'!L282)+('DOE25'!L301)+('DOE25'!L320)</f>
        <v>2656</v>
      </c>
      <c r="F118" s="24" t="s">
        <v>288</v>
      </c>
      <c r="G118" s="24" t="s">
        <v>288</v>
      </c>
      <c r="H118" s="124">
        <f t="shared" ref="H118:H145" si="7">SUM(C118:G118)</f>
        <v>38672</v>
      </c>
    </row>
    <row r="119" spans="1:8" x14ac:dyDescent="0.2">
      <c r="A119" t="s">
        <v>208</v>
      </c>
      <c r="B119" s="32" t="s">
        <v>209</v>
      </c>
      <c r="C119" s="95">
        <f>('DOE25'!L204)+('DOE25'!L222)+('DOE25'!L240)</f>
        <v>0</v>
      </c>
      <c r="D119" s="24" t="s">
        <v>288</v>
      </c>
      <c r="E119" s="95">
        <f>+('DOE25'!L283)+('DOE25'!L302)+('DOE25'!L321)</f>
        <v>2</v>
      </c>
      <c r="F119" s="24" t="s">
        <v>288</v>
      </c>
      <c r="G119" s="24" t="s">
        <v>288</v>
      </c>
      <c r="H119" s="124">
        <f t="shared" si="7"/>
        <v>2</v>
      </c>
    </row>
    <row r="120" spans="1:8" x14ac:dyDescent="0.2">
      <c r="A120" t="s">
        <v>210</v>
      </c>
      <c r="B120" s="32" t="s">
        <v>211</v>
      </c>
      <c r="C120" s="95">
        <f>('DOE25'!L205)+('DOE25'!L223)+('DOE25'!L241)</f>
        <v>29095</v>
      </c>
      <c r="D120" s="24" t="s">
        <v>288</v>
      </c>
      <c r="E120" s="95">
        <f>+('DOE25'!L284)+('DOE25'!L303)+('DOE25'!L322)</f>
        <v>0</v>
      </c>
      <c r="F120" s="24" t="s">
        <v>288</v>
      </c>
      <c r="G120" s="24" t="s">
        <v>288</v>
      </c>
      <c r="H120" s="124">
        <f t="shared" si="7"/>
        <v>29095</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37905</v>
      </c>
      <c r="D124" s="24" t="s">
        <v>288</v>
      </c>
      <c r="E124" s="95">
        <f>+('DOE25'!L288)+('DOE25'!L307)+('DOE25'!L326)</f>
        <v>0</v>
      </c>
      <c r="F124" s="24" t="s">
        <v>288</v>
      </c>
      <c r="G124" s="24" t="s">
        <v>288</v>
      </c>
      <c r="H124" s="124">
        <f t="shared" si="7"/>
        <v>37905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103016</v>
      </c>
      <c r="D128" s="86">
        <f>SUM(D118:D127)</f>
        <v>0</v>
      </c>
      <c r="E128" s="86">
        <f>SUM(E118:E127)</f>
        <v>2658</v>
      </c>
      <c r="F128" s="86">
        <f>SUM(F118:F127)</f>
        <v>0</v>
      </c>
      <c r="G128" s="86">
        <f>SUM(G118:G127)</f>
        <v>0</v>
      </c>
      <c r="H128" s="86">
        <f t="shared" si="7"/>
        <v>105674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15569</v>
      </c>
      <c r="D139" s="24" t="s">
        <v>288</v>
      </c>
      <c r="E139" s="24" t="s">
        <v>288</v>
      </c>
      <c r="F139" s="24" t="s">
        <v>288</v>
      </c>
      <c r="G139" s="24" t="s">
        <v>288</v>
      </c>
      <c r="H139" s="124">
        <f t="shared" si="7"/>
        <v>15569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-100</v>
      </c>
      <c r="D141" s="24" t="s">
        <v>288</v>
      </c>
      <c r="E141" s="24" t="s">
        <v>288</v>
      </c>
      <c r="F141" s="24" t="s">
        <v>288</v>
      </c>
      <c r="G141" s="24" t="s">
        <v>288</v>
      </c>
      <c r="H141" s="124">
        <f t="shared" si="7"/>
        <v>-100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15469</v>
      </c>
      <c r="D144" s="141">
        <f>SUM(D130:D143)</f>
        <v>0</v>
      </c>
      <c r="E144" s="141">
        <f>SUM(E130:E143)</f>
        <v>0</v>
      </c>
      <c r="F144" s="141">
        <f>SUM(F130:F143)</f>
        <v>0</v>
      </c>
      <c r="G144" s="141">
        <f>SUM(G130:G143)</f>
        <v>0</v>
      </c>
      <c r="H144" s="141">
        <f t="shared" si="7"/>
        <v>15469</v>
      </c>
    </row>
    <row r="145" spans="1:9" ht="12.75" thickTop="1" thickBot="1" x14ac:dyDescent="0.25">
      <c r="A145" s="33" t="s">
        <v>244</v>
      </c>
      <c r="C145" s="86">
        <f>(C115+C128+C144)</f>
        <v>671688</v>
      </c>
      <c r="D145" s="86">
        <f>(D115+D128+D144)</f>
        <v>0</v>
      </c>
      <c r="E145" s="86">
        <f>(E115+E128+E144)</f>
        <v>5539</v>
      </c>
      <c r="F145" s="86">
        <f>(F115+F128+F144)</f>
        <v>0</v>
      </c>
      <c r="G145" s="86">
        <f>(G115+G128+G144)</f>
        <v>0</v>
      </c>
      <c r="H145" s="86">
        <f t="shared" si="7"/>
        <v>677227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A32" sqref="A3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Benton</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298465</v>
      </c>
      <c r="D10" s="181">
        <f>ROUND((C10/$C$28)*100,1)</f>
        <v>45.1</v>
      </c>
    </row>
    <row r="11" spans="1:4" x14ac:dyDescent="0.2">
      <c r="A11">
        <v>1200</v>
      </c>
      <c r="B11" t="s">
        <v>703</v>
      </c>
      <c r="C11" s="178">
        <f>ROUND('DOE25'!L199+'DOE25'!L217+'DOE25'!L235+'DOE25'!L278+'DOE25'!L297+'DOE25'!L316,0)</f>
        <v>240090</v>
      </c>
      <c r="D11" s="181">
        <f>ROUND((C11/$C$28)*100,1)</f>
        <v>36.299999999999997</v>
      </c>
    </row>
    <row r="12" spans="1:4" x14ac:dyDescent="0.2">
      <c r="A12">
        <v>1300</v>
      </c>
      <c r="B12" t="s">
        <v>704</v>
      </c>
      <c r="C12" s="178">
        <f>ROUND('DOE25'!L200+'DOE25'!L218+'DOE25'!L236+'DOE25'!L279+'DOE25'!L298+'DOE25'!L317,0)</f>
        <v>10313</v>
      </c>
      <c r="D12" s="181">
        <f>ROUND((C12/$C$28)*100,1)</f>
        <v>1.6</v>
      </c>
    </row>
    <row r="13" spans="1:4" x14ac:dyDescent="0.2">
      <c r="A13">
        <v>1400</v>
      </c>
      <c r="B13" t="s">
        <v>705</v>
      </c>
      <c r="C13" s="178">
        <f>ROUND('DOE25'!L201+'DOE25'!L219+'DOE25'!L237+'DOE25'!L280+'DOE25'!L299+'DOE25'!L318,0)</f>
        <v>7216</v>
      </c>
      <c r="D13" s="181">
        <f>ROUND((C13/$C$28)*100,1)</f>
        <v>1.1000000000000001</v>
      </c>
    </row>
    <row r="14" spans="1:4" x14ac:dyDescent="0.2">
      <c r="D14" s="181"/>
    </row>
    <row r="15" spans="1:4" x14ac:dyDescent="0.2">
      <c r="A15">
        <v>2100</v>
      </c>
      <c r="B15" t="s">
        <v>706</v>
      </c>
      <c r="C15" s="178">
        <f>ROUND('DOE25'!L203+'DOE25'!L221+'DOE25'!L239+'DOE25'!L282+'DOE25'!L301+'DOE25'!L320,0)</f>
        <v>38672</v>
      </c>
      <c r="D15" s="181">
        <f t="shared" ref="D15:D27" si="0">ROUND((C15/$C$28)*100,1)</f>
        <v>5.8</v>
      </c>
    </row>
    <row r="16" spans="1:4" x14ac:dyDescent="0.2">
      <c r="A16">
        <v>2200</v>
      </c>
      <c r="B16" t="s">
        <v>707</v>
      </c>
      <c r="C16" s="178">
        <f>ROUND('DOE25'!L204+'DOE25'!L222+'DOE25'!L240+'DOE25'!L283+'DOE25'!L302+'DOE25'!L321,0)</f>
        <v>2</v>
      </c>
      <c r="D16" s="181">
        <f t="shared" si="0"/>
        <v>0</v>
      </c>
    </row>
    <row r="17" spans="1:4" x14ac:dyDescent="0.2">
      <c r="A17" s="182" t="s">
        <v>723</v>
      </c>
      <c r="B17" t="s">
        <v>738</v>
      </c>
      <c r="C17" s="178">
        <f>ROUND('DOE25'!L205+'DOE25'!L210+'DOE25'!L223+'DOE25'!L228+'DOE25'!L241+'DOE25'!L246+'DOE25'!L284+'DOE25'!L289+'DOE25'!L303+'DOE25'!L308+'DOE25'!L322+'DOE25'!L327,0)</f>
        <v>29095</v>
      </c>
      <c r="D17" s="181">
        <f t="shared" si="0"/>
        <v>4.4000000000000004</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37905</v>
      </c>
      <c r="D21" s="181">
        <f t="shared" si="0"/>
        <v>5.7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661758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661758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368947</v>
      </c>
      <c r="D35" s="181">
        <f t="shared" ref="D35:D40" si="1">ROUND((C35/$C$41)*100,1)</f>
        <v>58.3</v>
      </c>
    </row>
    <row r="36" spans="1:4" x14ac:dyDescent="0.2">
      <c r="B36" s="184" t="s">
        <v>739</v>
      </c>
      <c r="C36" s="178">
        <f>SUM('DOE25'!F112:J112)-SUM('DOE25'!G97:G110)+('DOE25'!F175+'DOE25'!F176+'DOE25'!I175+'DOE25'!I176)-C35</f>
        <v>100</v>
      </c>
      <c r="D36" s="181">
        <f t="shared" si="1"/>
        <v>0</v>
      </c>
    </row>
    <row r="37" spans="1:4" x14ac:dyDescent="0.2">
      <c r="A37" s="182" t="s">
        <v>835</v>
      </c>
      <c r="B37" s="184" t="s">
        <v>728</v>
      </c>
      <c r="C37" s="178">
        <f>ROUND('DOE25'!F117+'DOE25'!F118,0)</f>
        <v>205875</v>
      </c>
      <c r="D37" s="181">
        <f t="shared" si="1"/>
        <v>32.5</v>
      </c>
    </row>
    <row r="38" spans="1:4" x14ac:dyDescent="0.2">
      <c r="A38" s="182" t="s">
        <v>734</v>
      </c>
      <c r="B38" s="184" t="s">
        <v>729</v>
      </c>
      <c r="C38" s="178">
        <f>ROUND(SUM('DOE25'!F140:J140)-SUM('DOE25'!F117:F119),0)</f>
        <v>4142</v>
      </c>
      <c r="D38" s="181">
        <f t="shared" si="1"/>
        <v>0.7</v>
      </c>
    </row>
    <row r="39" spans="1:4" x14ac:dyDescent="0.2">
      <c r="A39">
        <v>4000</v>
      </c>
      <c r="B39" s="184" t="s">
        <v>730</v>
      </c>
      <c r="C39" s="178">
        <f>ROUND('DOE25'!F170+'DOE25'!G170+'DOE25'!H170+'DOE25'!I170,0)</f>
        <v>54125</v>
      </c>
      <c r="D39" s="181">
        <f t="shared" si="1"/>
        <v>8.5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633189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Benton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2022-08-19T12:35:22Z</cp:lastPrinted>
  <dcterms:created xsi:type="dcterms:W3CDTF">1997-12-04T19:04:30Z</dcterms:created>
  <dcterms:modified xsi:type="dcterms:W3CDTF">2022-09-01T19:20:56Z</dcterms:modified>
</cp:coreProperties>
</file>