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39F1D48E-2335-4F6C-8CF4-007D3234F58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48" i="1" l="1"/>
  <c r="G9" i="1"/>
  <c r="F583" i="1" l="1"/>
  <c r="J592" i="1" l="1"/>
  <c r="H592" i="1"/>
  <c r="F57" i="1" l="1"/>
  <c r="F118" i="1"/>
  <c r="F209" i="1" l="1"/>
  <c r="J234" i="1" l="1"/>
  <c r="J216" i="1"/>
  <c r="J199" i="1"/>
  <c r="J198" i="1"/>
  <c r="J316" i="1" l="1"/>
  <c r="J297" i="1"/>
  <c r="J278" i="1"/>
  <c r="I316" i="1"/>
  <c r="I297" i="1"/>
  <c r="I278" i="1"/>
  <c r="J307" i="1"/>
  <c r="H307" i="1"/>
  <c r="J288" i="1"/>
  <c r="H288" i="1"/>
  <c r="K227" i="1" l="1"/>
  <c r="J605" i="1" l="1"/>
  <c r="I605" i="1"/>
  <c r="H605" i="1"/>
  <c r="G359" i="1" l="1"/>
  <c r="F359" i="1"/>
  <c r="I592" i="1" l="1"/>
  <c r="G583" i="1" l="1"/>
  <c r="H578" i="1"/>
  <c r="H576" i="1"/>
  <c r="G576" i="1"/>
  <c r="F576" i="1"/>
  <c r="J558" i="1"/>
  <c r="H560" i="1"/>
  <c r="J559" i="1"/>
  <c r="G559" i="1"/>
  <c r="F559" i="1"/>
  <c r="K558" i="1"/>
  <c r="I558" i="1"/>
  <c r="H558" i="1"/>
  <c r="G558" i="1"/>
  <c r="F558" i="1"/>
  <c r="J522" i="1" l="1"/>
  <c r="G522" i="1"/>
  <c r="I524" i="1"/>
  <c r="I523" i="1"/>
  <c r="I522" i="1"/>
  <c r="H524" i="1"/>
  <c r="H523" i="1"/>
  <c r="H522" i="1"/>
  <c r="G524" i="1"/>
  <c r="G523" i="1"/>
  <c r="F524" i="1"/>
  <c r="F523" i="1"/>
  <c r="F522" i="1"/>
  <c r="K534" i="1" l="1"/>
  <c r="K533" i="1"/>
  <c r="K532" i="1"/>
  <c r="J534" i="1"/>
  <c r="J533" i="1"/>
  <c r="J532" i="1"/>
  <c r="I534" i="1"/>
  <c r="I533" i="1"/>
  <c r="I532" i="1"/>
  <c r="H534" i="1"/>
  <c r="H533" i="1"/>
  <c r="H532" i="1"/>
  <c r="G534" i="1"/>
  <c r="G533" i="1"/>
  <c r="G532" i="1"/>
  <c r="F534" i="1"/>
  <c r="F533" i="1"/>
  <c r="F532" i="1"/>
  <c r="H528" i="1"/>
  <c r="H527" i="1"/>
  <c r="H529" i="1"/>
  <c r="I529" i="1"/>
  <c r="I528" i="1"/>
  <c r="I527" i="1"/>
  <c r="G529" i="1"/>
  <c r="G528" i="1"/>
  <c r="G527" i="1"/>
  <c r="F529" i="1"/>
  <c r="F528" i="1"/>
  <c r="F527" i="1"/>
  <c r="C39" i="12" l="1"/>
  <c r="I315" i="1" l="1"/>
  <c r="F315" i="1"/>
  <c r="I296" i="1"/>
  <c r="F296" i="1"/>
  <c r="I277" i="1"/>
  <c r="F277" i="1"/>
  <c r="H162" i="1" l="1"/>
  <c r="H159" i="1"/>
  <c r="H155" i="1"/>
  <c r="H369" i="1"/>
  <c r="G369" i="1"/>
  <c r="F369" i="1"/>
  <c r="H368" i="1"/>
  <c r="G368" i="1"/>
  <c r="F368" i="1"/>
  <c r="K361" i="1"/>
  <c r="K360" i="1"/>
  <c r="K359" i="1"/>
  <c r="J361" i="1"/>
  <c r="J360" i="1"/>
  <c r="J359" i="1"/>
  <c r="I361" i="1"/>
  <c r="I360" i="1"/>
  <c r="I359" i="1"/>
  <c r="H361" i="1"/>
  <c r="H360" i="1"/>
  <c r="H359" i="1"/>
  <c r="F361" i="1"/>
  <c r="B10" i="12" l="1"/>
  <c r="B19" i="12"/>
  <c r="C20" i="12"/>
  <c r="G246" i="1"/>
  <c r="G245" i="1"/>
  <c r="G244" i="1"/>
  <c r="G243" i="1"/>
  <c r="G242" i="1"/>
  <c r="G241" i="1"/>
  <c r="G240" i="1"/>
  <c r="G239" i="1"/>
  <c r="G237" i="1"/>
  <c r="G236" i="1"/>
  <c r="G235" i="1"/>
  <c r="G234" i="1"/>
  <c r="G228" i="1"/>
  <c r="G227" i="1"/>
  <c r="G226" i="1"/>
  <c r="G225" i="1"/>
  <c r="G224" i="1"/>
  <c r="G223" i="1"/>
  <c r="G221" i="1"/>
  <c r="G217" i="1"/>
  <c r="G216" i="1"/>
  <c r="G210" i="1"/>
  <c r="G209" i="1"/>
  <c r="G208" i="1"/>
  <c r="G207" i="1"/>
  <c r="G205" i="1"/>
  <c r="G203" i="1"/>
  <c r="G199" i="1"/>
  <c r="G198" i="1"/>
  <c r="I320" i="1" l="1"/>
  <c r="G320" i="1"/>
  <c r="F320" i="1"/>
  <c r="J318" i="1"/>
  <c r="J317" i="1"/>
  <c r="G317" i="1"/>
  <c r="F317" i="1"/>
  <c r="K317" i="1"/>
  <c r="I317" i="1"/>
  <c r="J315" i="1"/>
  <c r="H315" i="1"/>
  <c r="G301" i="1"/>
  <c r="F301" i="1"/>
  <c r="J296" i="1"/>
  <c r="G296" i="1"/>
  <c r="J280" i="1"/>
  <c r="K278" i="1"/>
  <c r="F278" i="1"/>
  <c r="H278" i="1"/>
  <c r="G278" i="1"/>
  <c r="J277" i="1"/>
  <c r="H277" i="1"/>
  <c r="G277" i="1"/>
  <c r="I325" i="1" l="1"/>
  <c r="I306" i="1"/>
  <c r="I287" i="1"/>
  <c r="G324" i="1"/>
  <c r="G305" i="1"/>
  <c r="G286" i="1"/>
  <c r="F324" i="1"/>
  <c r="F305" i="1"/>
  <c r="F286" i="1"/>
  <c r="H320" i="1"/>
  <c r="H321" i="1"/>
  <c r="H302" i="1"/>
  <c r="H283" i="1"/>
  <c r="H301" i="1"/>
  <c r="H282" i="1"/>
  <c r="I301" i="1"/>
  <c r="I282" i="1"/>
  <c r="G299" i="1"/>
  <c r="J299" i="1"/>
  <c r="I299" i="1"/>
  <c r="I280" i="1"/>
  <c r="H299" i="1"/>
  <c r="H280" i="1"/>
  <c r="G280" i="1"/>
  <c r="F299" i="1"/>
  <c r="F280" i="1"/>
  <c r="H316" i="1"/>
  <c r="H297" i="1"/>
  <c r="G316" i="1"/>
  <c r="G297" i="1"/>
  <c r="F316" i="1"/>
  <c r="F297" i="1"/>
  <c r="H296" i="1"/>
  <c r="G315" i="1"/>
  <c r="F245" i="1"/>
  <c r="I244" i="1"/>
  <c r="H244" i="1"/>
  <c r="F244" i="1"/>
  <c r="K242" i="1"/>
  <c r="I242" i="1"/>
  <c r="H242" i="1"/>
  <c r="F242" i="1"/>
  <c r="H241" i="1"/>
  <c r="F241" i="1"/>
  <c r="I240" i="1"/>
  <c r="H240" i="1"/>
  <c r="F240" i="1"/>
  <c r="I239" i="1"/>
  <c r="H239" i="1"/>
  <c r="F239" i="1"/>
  <c r="K239" i="1"/>
  <c r="K237" i="1"/>
  <c r="J237" i="1"/>
  <c r="I237" i="1"/>
  <c r="H237" i="1"/>
  <c r="F237" i="1"/>
  <c r="J236" i="1"/>
  <c r="I236" i="1"/>
  <c r="H236" i="1"/>
  <c r="F236" i="1"/>
  <c r="H235" i="1"/>
  <c r="I235" i="1"/>
  <c r="F235" i="1"/>
  <c r="K234" i="1"/>
  <c r="I234" i="1"/>
  <c r="H234" i="1"/>
  <c r="F234" i="1"/>
  <c r="F246" i="1"/>
  <c r="K245" i="1"/>
  <c r="I245" i="1"/>
  <c r="H245" i="1"/>
  <c r="K244" i="1"/>
  <c r="J244" i="1"/>
  <c r="K243" i="1"/>
  <c r="H243" i="1"/>
  <c r="F243" i="1"/>
  <c r="K241" i="1"/>
  <c r="J241" i="1"/>
  <c r="I241" i="1"/>
  <c r="F227" i="1"/>
  <c r="I226" i="1"/>
  <c r="H226" i="1"/>
  <c r="F226" i="1"/>
  <c r="K224" i="1"/>
  <c r="J224" i="1"/>
  <c r="I224" i="1"/>
  <c r="H224" i="1"/>
  <c r="F224" i="1"/>
  <c r="J222" i="1"/>
  <c r="I222" i="1"/>
  <c r="G222" i="1"/>
  <c r="H222" i="1"/>
  <c r="K221" i="1"/>
  <c r="J221" i="1"/>
  <c r="I221" i="1"/>
  <c r="H221" i="1"/>
  <c r="F221" i="1"/>
  <c r="I219" i="1"/>
  <c r="H219" i="1"/>
  <c r="K219" i="1"/>
  <c r="J219" i="1"/>
  <c r="G219" i="1"/>
  <c r="F219" i="1"/>
  <c r="J217" i="1"/>
  <c r="F217" i="1"/>
  <c r="I217" i="1"/>
  <c r="H217" i="1"/>
  <c r="I216" i="1"/>
  <c r="H216" i="1"/>
  <c r="F216" i="1"/>
  <c r="F228" i="1"/>
  <c r="I227" i="1"/>
  <c r="H227" i="1"/>
  <c r="J226" i="1"/>
  <c r="K226" i="1"/>
  <c r="K225" i="1"/>
  <c r="H225" i="1"/>
  <c r="F225" i="1"/>
  <c r="K223" i="1"/>
  <c r="J223" i="1"/>
  <c r="I223" i="1"/>
  <c r="H223" i="1"/>
  <c r="F223" i="1"/>
  <c r="I199" i="1"/>
  <c r="H199" i="1"/>
  <c r="F199" i="1"/>
  <c r="G206" i="1"/>
  <c r="H206" i="1"/>
  <c r="F206" i="1"/>
  <c r="I206" i="1"/>
  <c r="I208" i="1" l="1"/>
  <c r="H208" i="1"/>
  <c r="F208" i="1" l="1"/>
  <c r="K206" i="1"/>
  <c r="K204" i="1"/>
  <c r="I204" i="1"/>
  <c r="H204" i="1"/>
  <c r="G204" i="1"/>
  <c r="F204" i="1"/>
  <c r="I203" i="1"/>
  <c r="H203" i="1"/>
  <c r="F203" i="1"/>
  <c r="J201" i="1"/>
  <c r="I201" i="1"/>
  <c r="H201" i="1"/>
  <c r="G201" i="1"/>
  <c r="F201" i="1"/>
  <c r="K201" i="1"/>
  <c r="K198" i="1"/>
  <c r="I198" i="1"/>
  <c r="H198" i="1"/>
  <c r="F198" i="1"/>
  <c r="F210" i="1"/>
  <c r="K209" i="1"/>
  <c r="I209" i="1"/>
  <c r="H209" i="1"/>
  <c r="J208" i="1"/>
  <c r="K208" i="1"/>
  <c r="K207" i="1"/>
  <c r="H207" i="1"/>
  <c r="F207" i="1"/>
  <c r="F205" i="1"/>
  <c r="K205" i="1"/>
  <c r="J205" i="1"/>
  <c r="I205" i="1"/>
  <c r="H205"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I170" i="1"/>
  <c r="I409" i="1" l="1"/>
  <c r="E121" i="2"/>
  <c r="G646" i="1"/>
  <c r="E112" i="2"/>
  <c r="E124" i="2"/>
  <c r="G663" i="1"/>
  <c r="H36" i="2"/>
  <c r="H44" i="2"/>
  <c r="H38" i="2"/>
  <c r="H80" i="2"/>
  <c r="H72" i="2"/>
  <c r="H94" i="2"/>
  <c r="H93" i="2"/>
  <c r="H135" i="2"/>
  <c r="D18" i="13"/>
  <c r="C18" i="13" s="1"/>
  <c r="H29" i="2"/>
  <c r="H24" i="2"/>
  <c r="D144" i="2"/>
  <c r="H101" i="2"/>
  <c r="H97" i="2"/>
  <c r="H87" i="2"/>
  <c r="H35" i="2"/>
  <c r="H13" i="2"/>
  <c r="H9" i="2"/>
  <c r="H28" i="2"/>
  <c r="H17" i="2"/>
  <c r="H100" i="2"/>
  <c r="H73" i="2"/>
  <c r="H23" i="2"/>
  <c r="H143" i="2"/>
  <c r="H96" i="2"/>
  <c r="H59" i="2"/>
  <c r="H34" i="2"/>
  <c r="H27" i="2"/>
  <c r="H12" i="2"/>
  <c r="H132" i="2"/>
  <c r="H99" i="2"/>
  <c r="H79" i="2"/>
  <c r="H58" i="2"/>
  <c r="H113" i="2"/>
  <c r="H26" i="2"/>
  <c r="H22" i="2"/>
  <c r="H48" i="2"/>
  <c r="H69" i="2"/>
  <c r="H30" i="2"/>
  <c r="H25" i="2"/>
  <c r="H43" i="2"/>
  <c r="H102" i="2"/>
  <c r="H98" i="2"/>
  <c r="H89" i="2"/>
  <c r="H15" i="2"/>
  <c r="H11" i="2"/>
  <c r="H8" i="2"/>
  <c r="H47" i="2"/>
  <c r="G477" i="1"/>
  <c r="H624" i="1" s="1"/>
  <c r="J624" i="1" s="1"/>
  <c r="H477" i="1"/>
  <c r="H625" i="1" s="1"/>
  <c r="J625" i="1" s="1"/>
  <c r="J652" i="1"/>
  <c r="H76" i="2"/>
  <c r="H61" i="2"/>
  <c r="D78" i="2"/>
  <c r="H77" i="2"/>
  <c r="G662" i="1"/>
  <c r="C32" i="10"/>
  <c r="C119" i="2"/>
  <c r="C12" i="10"/>
  <c r="G651" i="1"/>
  <c r="J651" i="1" s="1"/>
  <c r="C13" i="10"/>
  <c r="C125" i="2"/>
  <c r="H125" i="2" s="1"/>
  <c r="D15" i="13"/>
  <c r="C15" i="13" s="1"/>
  <c r="D6" i="13"/>
  <c r="C6" i="13" s="1"/>
  <c r="C110" i="2"/>
  <c r="C121" i="2"/>
  <c r="H121" i="2" s="1"/>
  <c r="C112" i="2"/>
  <c r="A40" i="12"/>
  <c r="E13" i="13"/>
  <c r="C13" i="13" s="1"/>
  <c r="C120" i="2"/>
  <c r="H120" i="2" s="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2" i="2" l="1"/>
  <c r="H85" i="2"/>
  <c r="H103" i="2"/>
  <c r="H50" i="2"/>
  <c r="H16" i="2"/>
  <c r="H42" i="2"/>
  <c r="H57" i="2"/>
  <c r="E144" i="2"/>
  <c r="H134" i="2"/>
  <c r="H31" i="2"/>
  <c r="E51" i="2"/>
  <c r="H21" i="2"/>
  <c r="E115" i="2"/>
  <c r="H110" i="2"/>
  <c r="H18" i="2"/>
  <c r="D51" i="2"/>
  <c r="B33" i="16"/>
  <c r="L572" i="1"/>
  <c r="H109" i="2"/>
  <c r="H91" i="2"/>
  <c r="H78" i="2"/>
  <c r="C81" i="2"/>
  <c r="H81" i="2" s="1"/>
  <c r="F194" i="1"/>
  <c r="G628" i="1" s="1"/>
  <c r="J628" i="1" s="1"/>
  <c r="D63" i="2"/>
  <c r="D104" i="2" s="1"/>
  <c r="H62" i="2"/>
  <c r="D128" i="2"/>
  <c r="D145" i="2" s="1"/>
  <c r="H127" i="2"/>
  <c r="H122" i="2"/>
  <c r="E128" i="2"/>
  <c r="H119" i="2"/>
  <c r="H118" i="2"/>
  <c r="G24" i="14"/>
  <c r="H24" i="14" s="1"/>
  <c r="I24" i="14" s="1"/>
  <c r="F661" i="1"/>
  <c r="F665" i="1" s="1"/>
  <c r="F668" i="1" s="1"/>
  <c r="I663" i="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51" i="2"/>
  <c r="C144" i="2"/>
  <c r="H141" i="2"/>
  <c r="C104" i="2"/>
  <c r="H104" i="2"/>
  <c r="H63" i="2"/>
  <c r="H128" i="2"/>
  <c r="H673" i="1"/>
  <c r="C6" i="10" s="1"/>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<sst xmlns="http://schemas.openxmlformats.org/spreadsheetml/2006/main" count="6539" uniqueCount="1811">
  <si>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</si>
  <si>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</si>
  <si>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</si>
  <si>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</si>
  <si>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</si>
  <si>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</si>
  <si>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</si>
  <si>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</si>
  <si>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</si>
  <si>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</si>
  <si>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</si>
  <si>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</si>
  <si>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</si>
  <si>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</si>
  <si>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</si>
  <si>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</si>
  <si>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</si>
  <si>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</si>
  <si>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</si>
  <si>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</si>
  <si>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</si>
  <si>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</si>
  <si>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</si>
  <si>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</si>
  <si>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</si>
  <si>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</si>
  <si>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</si>
  <si>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</si>
  <si>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</si>
  <si>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</si>
  <si>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</si>
  <si>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</si>
  <si>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</si>
  <si>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</si>
  <si>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</si>
  <si>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</si>
  <si>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</si>
  <si>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</si>
  <si>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</si>
  <si>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</si>
  <si>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</si>
  <si>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</si>
  <si>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</si>
  <si>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</si>
  <si>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</si>
  <si>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</si>
  <si>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</si>
  <si>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</si>
  <si>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</si>
  <si>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</si>
  <si>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</si>
  <si>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</si>
  <si>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</si>
  <si>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</si>
  <si>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</si>
  <si>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</si>
  <si>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</si>
  <si>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</si>
  <si>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</si>
  <si>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</si>
  <si>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</si>
  <si>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</si>
  <si>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</si>
  <si>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</si>
  <si>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</si>
  <si>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</si>
  <si>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</si>
  <si>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</si>
  <si>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</si>
  <si>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</si>
  <si>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</si>
  <si>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</si>
  <si>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</si>
  <si>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</si>
  <si>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</si>
  <si>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</si>
  <si>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</si>
  <si>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</si>
  <si>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</si>
  <si>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</si>
  <si>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</si>
  <si>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</si>
  <si>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</si>
  <si>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</si>
  <si>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</si>
  <si>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</si>
  <si>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</si>
  <si>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</si>
  <si>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</si>
  <si>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</si>
  <si>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</si>
  <si>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</si>
  <si>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</si>
  <si>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</si>
  <si>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</si>
  <si>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</si>
  <si>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</si>
  <si>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</si>
  <si>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</si>
  <si>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</si>
  <si>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</si>
  <si>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</si>
  <si>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</si>
  <si>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</si>
  <si>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</si>
  <si>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</si>
  <si>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</si>
  <si>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</si>
  <si>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</si>
  <si>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</si>
  <si>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</si>
  <si>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</si>
  <si>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</si>
  <si>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</si>
  <si>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</si>
  <si>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</si>
  <si>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</si>
  <si>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</si>
  <si>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</si>
  <si>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</si>
  <si>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</si>
  <si>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</si>
  <si>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</si>
  <si>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</si>
  <si>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</si>
  <si>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</si>
  <si>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</si>
  <si>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</si>
  <si>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</si>
  <si>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</si>
  <si>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</si>
  <si>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</si>
  <si>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</si>
  <si>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</si>
  <si>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</si>
  <si>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</si>
  <si>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</si>
  <si>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</si>
  <si>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</si>
  <si>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</si>
  <si>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</si>
  <si>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</si>
  <si>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</si>
  <si>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</si>
  <si>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</si>
  <si>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</si>
  <si>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</si>
  <si>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</si>
  <si>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</si>
  <si>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</si>
  <si>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</si>
  <si>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</si>
  <si>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</si>
  <si>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</si>
  <si>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</si>
  <si>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</si>
  <si>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</si>
  <si>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</si>
  <si>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</si>
  <si>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</si>
  <si>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</si>
  <si>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</si>
  <si>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</si>
  <si>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</si>
  <si>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</si>
  <si>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</si>
  <si>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</si>
  <si>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</si>
  <si>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</si>
  <si>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</si>
  <si>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</si>
  <si>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</si>
  <si>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</si>
  <si>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</si>
  <si>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</si>
  <si>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</si>
  <si>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</si>
  <si>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</si>
  <si>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</si>
  <si>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</si>
  <si>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</si>
  <si>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</si>
  <si>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</si>
  <si>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</si>
  <si>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</si>
  <si>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</si>
  <si>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</si>
  <si>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</si>
  <si>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</si>
  <si>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</si>
  <si>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</si>
  <si>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</si>
  <si>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</si>
  <si>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</si>
  <si>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</si>
  <si>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</si>
  <si>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</si>
  <si>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</si>
  <si>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</si>
  <si>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</si>
  <si>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</si>
  <si>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</si>
  <si>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</si>
  <si>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</si>
  <si>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</si>
  <si>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</si>
  <si>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</si>
  <si>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</si>
  <si>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</si>
  <si>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</si>
  <si>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</si>
  <si>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</si>
  <si>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</si>
  <si>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</si>
  <si>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</si>
  <si>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</si>
  <si>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</si>
  <si>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</si>
  <si>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</si>
  <si>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</si>
  <si>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</si>
  <si>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</si>
  <si>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</si>
  <si>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</si>
  <si>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</si>
  <si>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</si>
  <si>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</si>
  <si>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</si>
  <si>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</si>
  <si>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</si>
  <si>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</si>
  <si>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</si>
  <si>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</si>
  <si>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</si>
  <si>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</si>
  <si>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</si>
  <si>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</si>
  <si>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</si>
  <si>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</si>
  <si>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</si>
  <si>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</si>
  <si>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</si>
  <si>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</si>
  <si>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</si>
  <si>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</si>
  <si>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</si>
  <si>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</si>
  <si>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</si>
  <si>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</si>
  <si>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</si>
  <si>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</si>
  <si>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</si>
  <si>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</si>
  <si>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</si>
  <si>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</si>
  <si>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</si>
  <si>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</si>
  <si>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</si>
  <si>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</si>
  <si>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</si>
  <si>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</si>
  <si>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</si>
  <si>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</si>
  <si>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</si>
  <si>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</si>
  <si>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</si>
  <si>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</si>
  <si>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</si>
  <si>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</si>
  <si>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</si>
  <si>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</si>
  <si>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</si>
  <si>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</si>
  <si>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</si>
  <si>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</si>
  <si>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</si>
  <si>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</si>
  <si>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</si>
  <si>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</si>
  <si>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</si>
  <si>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</si>
  <si>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</si>
  <si>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</si>
  <si>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</si>
  <si>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</si>
  <si>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</si>
  <si>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</si>
  <si>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</si>
  <si>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</si>
  <si>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</si>
  <si>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</si>
  <si>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</si>
  <si>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</si>
  <si>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</si>
  <si>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</si>
  <si>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</si>
  <si>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</si>
  <si>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</si>
  <si>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</si>
  <si>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</si>
  <si>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</si>
  <si>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</si>
  <si>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</si>
  <si>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</si>
  <si>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</si>
  <si>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</si>
  <si>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</si>
  <si>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</si>
  <si>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</si>
  <si>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</si>
  <si>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</si>
  <si>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</si>
  <si>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</si>
  <si>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</si>
  <si>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</si>
  <si>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</si>
  <si>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</si>
  <si>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</si>
  <si>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</si>
  <si>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</si>
  <si>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</si>
  <si>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</si>
  <si>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</si>
  <si>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</si>
  <si>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</si>
  <si>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</si>
  <si>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</si>
  <si>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</si>
  <si>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</si>
  <si>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</si>
  <si>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</si>
  <si>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</si>
  <si>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</si>
  <si>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</si>
  <si>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</si>
  <si>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</si>
  <si>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</si>
  <si>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</si>
  <si>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</si>
  <si>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</si>
  <si>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</si>
  <si>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</si>
  <si>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</si>
  <si>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</si>
  <si>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</si>
  <si>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</si>
  <si>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</si>
  <si>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</si>
  <si>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</si>
  <si>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</si>
  <si>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</si>
  <si>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</si>
  <si>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</si>
  <si>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</si>
  <si>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</si>
  <si>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</si>
  <si>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</si>
  <si>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</si>
  <si>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</si>
  <si>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</si>
  <si>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</si>
  <si>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</si>
  <si>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</si>
  <si>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</si>
  <si>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</si>
  <si>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</si>
  <si>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</si>
  <si>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</si>
  <si>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</si>
  <si>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</si>
  <si>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</si>
  <si>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</si>
  <si>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</si>
  <si>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</si>
  <si>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</si>
  <si>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</si>
  <si>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</si>
  <si>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</si>
  <si>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</si>
  <si>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</si>
  <si>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</si>
  <si>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</si>
  <si>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</si>
  <si>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</si>
  <si>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</si>
  <si>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</si>
  <si>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</si>
  <si>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</si>
  <si>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</si>
  <si>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</si>
  <si>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</si>
  <si>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</si>
  <si>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</si>
  <si>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</si>
  <si>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</si>
  <si>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</si>
  <si>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</si>
  <si>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</si>
  <si>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</si>
  <si>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</si>
  <si>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</si>
  <si>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</si>
  <si>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</si>
  <si>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</si>
  <si>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</si>
  <si>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</si>
  <si>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</si>
  <si>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</si>
  <si>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</si>
  <si>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</si>
  <si>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</si>
  <si>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</si>
  <si>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</si>
  <si>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</si>
  <si>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</si>
  <si>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</si>
  <si>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</si>
  <si>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</si>
  <si>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</si>
  <si>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</si>
  <si>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</si>
  <si>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</si>
  <si>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</si>
  <si>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</si>
  <si>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</si>
  <si>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</si>
  <si>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</si>
  <si>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</si>
  <si>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</si>
  <si>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</si>
  <si>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</si>
  <si>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</si>
  <si>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</si>
  <si>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</si>
  <si>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</si>
  <si>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</si>
  <si>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</si>
  <si>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</si>
  <si>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</si>
  <si>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</si>
  <si>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</si>
  <si>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</si>
  <si>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</si>
  <si>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</si>
  <si>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</si>
  <si>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</si>
  <si>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</si>
  <si>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</si>
  <si>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</si>
  <si>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</si>
  <si>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</si>
  <si>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</si>
  <si>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</si>
  <si>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</si>
  <si>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</si>
  <si>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</si>
  <si>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</si>
  <si>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</si>
  <si>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</si>
  <si>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</si>
  <si>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</si>
  <si>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</si>
  <si>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</si>
  <si>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</si>
  <si>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</si>
  <si>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</si>
  <si>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</si>
  <si>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</si>
  <si>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</si>
  <si>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</si>
  <si>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</si>
  <si>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</si>
  <si>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</si>
  <si>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</si>
  <si>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</si>
  <si>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</si>
  <si>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</si>
  <si>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</si>
  <si>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</si>
  <si>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</si>
  <si>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</si>
  <si>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</si>
  <si>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</si>
  <si>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</si>
  <si>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</si>
  <si>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</si>
  <si>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</si>
  <si>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</si>
  <si>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</si>
  <si>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</si>
  <si>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</si>
  <si>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</si>
  <si>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</si>
  <si>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</si>
  <si>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</si>
  <si>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</si>
  <si>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</si>
  <si>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</si>
  <si>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</si>
  <si>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</si>
  <si>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</si>
  <si>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</si>
  <si>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</si>
  <si>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</si>
  <si>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</si>
  <si>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</si>
  <si>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</si>
  <si>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</si>
  <si>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</si>
  <si>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</si>
  <si>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</si>
  <si>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</si>
  <si>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</si>
  <si>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</si>
  <si>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</si>
  <si>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</si>
  <si>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</si>
  <si>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</si>
  <si>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</si>
  <si>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</si>
  <si>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</si>
  <si>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</si>
  <si>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</si>
  <si>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</si>
  <si>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</si>
  <si>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</si>
  <si>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</si>
  <si>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</si>
  <si>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</si>
  <si>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</si>
  <si>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</si>
  <si>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</si>
  <si>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</si>
  <si>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</si>
  <si>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</si>
  <si>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</si>
  <si>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</si>
  <si>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</si>
  <si>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</si>
  <si>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</si>
  <si>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</si>
  <si>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</si>
  <si>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</si>
  <si>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</si>
  <si>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</si>
  <si>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</si>
  <si>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</si>
  <si>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</si>
  <si>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</si>
  <si>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</si>
  <si>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</si>
  <si>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</si>
  <si>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</si>
  <si>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</si>
  <si>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</si>
  <si>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</si>
  <si>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</si>
  <si>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</si>
  <si>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</si>
  <si>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</si>
  <si>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</si>
  <si>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</si>
  <si>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</si>
  <si>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</si>
  <si>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</si>
  <si>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</si>
  <si>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</si>
  <si>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</si>
  <si>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</si>
  <si>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</si>
  <si>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</si>
  <si>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</si>
  <si>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</si>
  <si>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</si>
  <si>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</si>
  <si>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</si>
  <si>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</si>
  <si>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</si>
  <si>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</si>
  <si>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</si>
  <si>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</si>
  <si>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</si>
  <si>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</si>
  <si>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</si>
  <si>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</si>
  <si>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</si>
  <si>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</si>
  <si>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</si>
  <si>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</si>
  <si>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</si>
  <si>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</si>
  <si>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</si>
  <si>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</si>
  <si>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</si>
  <si>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</si>
  <si>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</si>
  <si>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</si>
  <si>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</si>
  <si>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</si>
  <si>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</si>
  <si>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</si>
  <si>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</si>
  <si>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</si>
  <si>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</si>
  <si>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</si>
  <si>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</si>
  <si>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</si>
  <si>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</si>
  <si>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</si>
  <si>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</si>
  <si>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</si>
  <si>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</si>
  <si>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</si>
  <si>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</si>
  <si>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</si>
  <si>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</si>
  <si>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</si>
  <si>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</si>
  <si>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</si>
  <si>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</si>
  <si>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</si>
  <si>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</si>
  <si>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</si>
  <si>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</si>
  <si>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</si>
  <si>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</si>
  <si>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</si>
  <si>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</si>
  <si>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</si>
  <si>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</si>
  <si>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</si>
  <si>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</si>
  <si>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</si>
  <si>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</si>
  <si>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</si>
  <si>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</si>
  <si>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</si>
  <si>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</si>
  <si>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</si>
  <si>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</si>
  <si>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</si>
  <si>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</si>
  <si>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</si>
  <si>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</si>
  <si>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</si>
  <si>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</si>
  <si>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</si>
  <si>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</si>
  <si>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</si>
  <si>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</si>
  <si>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</si>
  <si>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</si>
  <si>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</si>
  <si>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</si>
  <si>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</si>
  <si>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</si>
  <si>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</si>
  <si>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</si>
  <si>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</si>
  <si>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</si>
  <si>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</si>
  <si>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</si>
  <si>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</si>
  <si>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</si>
  <si>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</si>
  <si>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</si>
  <si>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</si>
  <si>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</si>
  <si>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</si>
  <si>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</si>
  <si>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</si>
  <si>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</si>
  <si>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</si>
  <si>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</si>
  <si>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</si>
  <si>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</si>
  <si>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</si>
  <si>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</si>
  <si>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</si>
  <si>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</si>
  <si>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</si>
  <si>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</si>
  <si>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</si>
  <si>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</si>
  <si>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</si>
  <si>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</si>
  <si>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</si>
  <si>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</si>
  <si>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</si>
  <si>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</si>
  <si>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</si>
  <si>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</si>
  <si>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</si>
  <si>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</si>
  <si>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</si>
  <si>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</si>
  <si>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</si>
  <si>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</si>
  <si>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</si>
  <si>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</si>
  <si>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</si>
  <si>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</si>
  <si>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</si>
  <si>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</si>
  <si>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</si>
  <si>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</si>
  <si>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</si>
  <si>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</si>
  <si>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</si>
  <si>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</si>
  <si>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</si>
  <si>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</si>
  <si>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</si>
  <si>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</si>
  <si>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</si>
  <si>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</si>
  <si>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</si>
  <si>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</si>
  <si>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</si>
  <si>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</si>
  <si>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</si>
  <si>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</si>
  <si>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</si>
  <si>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</si>
  <si>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</si>
  <si>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</si>
  <si>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</si>
  <si>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</si>
  <si>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</si>
  <si>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</si>
  <si>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</si>
  <si>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</si>
  <si>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</si>
  <si>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</si>
  <si>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</si>
  <si>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</si>
  <si>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</si>
  <si>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</si>
  <si>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</si>
  <si>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</si>
  <si>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</si>
  <si>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</si>
  <si>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</si>
  <si>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</si>
  <si>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</si>
  <si>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</si>
  <si>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</si>
  <si>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</si>
  <si>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</si>
  <si>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</si>
  <si>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</si>
  <si>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</si>
  <si>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</si>
  <si>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</si>
  <si>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</si>
  <si>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</si>
  <si>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</si>
  <si>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</si>
  <si>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</si>
  <si>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</si>
  <si>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</si>
  <si>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</si>
  <si>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</si>
  <si>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</si>
  <si>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</si>
  <si>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</si>
  <si>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</si>
  <si>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</si>
  <si>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</si>
  <si>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</si>
  <si>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</si>
  <si>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</si>
  <si>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</si>
  <si>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</si>
  <si>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</si>
  <si>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</si>
  <si>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</si>
  <si>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</si>
  <si>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</si>
  <si>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</si>
  <si>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</si>
  <si>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</si>
  <si>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</si>
  <si>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</si>
  <si>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</si>
  <si>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</si>
  <si>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</si>
  <si>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</si>
  <si>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</si>
  <si>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</si>
  <si>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</si>
  <si>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</si>
  <si>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</si>
  <si>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</si>
  <si>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</si>
  <si>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</si>
  <si>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</si>
  <si>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</si>
  <si>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</si>
  <si>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</si>
  <si>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</si>
  <si>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</si>
  <si>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</si>
  <si>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</si>
  <si>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</si>
  <si>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</si>
  <si>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</si>
  <si>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</si>
  <si>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</si>
  <si>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</si>
  <si>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</si>
  <si>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</si>
  <si>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</si>
  <si>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</si>
  <si>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</si>
  <si>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</si>
  <si>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</si>
  <si>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</si>
  <si>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</si>
  <si>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</si>
  <si>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</si>
  <si>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</si>
  <si>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</si>
  <si>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</si>
  <si>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</si>
  <si>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</si>
  <si>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</si>
  <si>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</si>
  <si>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</si>
  <si>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</si>
  <si>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</si>
  <si>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</si>
  <si>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</si>
  <si>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</si>
  <si>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</si>
  <si>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</si>
  <si>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</si>
  <si>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</si>
  <si>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</si>
  <si>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</si>
  <si>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</si>
  <si>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</si>
  <si>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</si>
  <si>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</si>
  <si>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</si>
  <si>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</si>
  <si>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</si>
  <si>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</si>
  <si>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</si>
  <si>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</si>
  <si>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</si>
  <si>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</si>
  <si>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</si>
  <si>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</si>
  <si>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</si>
  <si>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</si>
  <si>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</si>
  <si>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</si>
  <si>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</si>
  <si>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</si>
  <si>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</si>
  <si>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</si>
  <si>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</si>
  <si>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</si>
  <si>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</si>
  <si>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</si>
  <si>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</si>
  <si>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</si>
  <si>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</si>
  <si>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</si>
  <si>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</si>
  <si>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</si>
  <si>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</si>
  <si>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</si>
  <si>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</si>
  <si>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</si>
  <si>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</si>
  <si>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</si>
  <si>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</si>
  <si>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</si>
  <si>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</si>
  <si>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</si>
  <si>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</si>
  <si>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</si>
  <si>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</si>
  <si>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</si>
  <si>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</si>
  <si>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</si>
  <si>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</si>
  <si>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</si>
  <si>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</si>
  <si>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</si>
  <si>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</si>
  <si>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</si>
  <si>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</si>
  <si>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</si>
  <si>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</si>
  <si>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</si>
  <si>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</si>
  <si>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</si>
  <si>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</si>
  <si>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</si>
  <si>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</si>
  <si>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</si>
  <si>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</si>
  <si>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</si>
  <si>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</si>
  <si>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</si>
  <si>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</si>
  <si>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</si>
  <si>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</si>
  <si>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</si>
  <si>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</si>
  <si>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</si>
  <si>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</si>
  <si>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</si>
  <si>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</si>
  <si>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</si>
  <si>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</si>
  <si>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</si>
  <si>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</si>
  <si>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</si>
  <si>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</si>
  <si>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</si>
  <si>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</si>
  <si>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</si>
  <si>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</si>
  <si>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</si>
  <si>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</si>
  <si>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</si>
  <si>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</si>
  <si>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</si>
  <si>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</si>
  <si>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</si>
  <si>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</si>
  <si>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</si>
  <si>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</si>
  <si>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</si>
  <si>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</si>
  <si>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</si>
  <si>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</si>
  <si>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</si>
  <si>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</si>
  <si>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</si>
  <si>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</si>
  <si>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</si>
  <si>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</si>
  <si>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</si>
  <si>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</si>
  <si>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</si>
  <si>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</si>
  <si>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</si>
  <si>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</si>
  <si>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</si>
  <si>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</si>
  <si>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</si>
  <si>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</si>
  <si>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</si>
  <si>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</si>
  <si>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</si>
  <si>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</si>
  <si>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</si>
  <si>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</si>
  <si>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</si>
  <si>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</si>
  <si>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</si>
  <si>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</si>
  <si>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</si>
  <si>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</si>
  <si>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</si>
  <si>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</si>
  <si>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</si>
  <si>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</si>
  <si>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</si>
  <si>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</si>
  <si>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</si>
  <si>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</si>
  <si>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</si>
  <si>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</si>
  <si>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</si>
  <si>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</si>
  <si>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</si>
  <si>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</si>
  <si>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</si>
  <si>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</si>
  <si>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</si>
  <si>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</si>
  <si>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</si>
  <si>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</si>
  <si>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</si>
  <si>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</si>
  <si>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</si>
  <si>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</si>
  <si>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</si>
  <si>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</si>
  <si>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</si>
  <si>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</si>
  <si>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</si>
  <si>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</si>
  <si>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</si>
  <si>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</si>
  <si>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</si>
  <si>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</si>
  <si>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</si>
  <si>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</si>
  <si>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</si>
  <si>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</si>
  <si>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</si>
  <si>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</si>
  <si>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</si>
  <si>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</si>
  <si>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</si>
  <si>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</si>
  <si>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</si>
  <si>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</si>
  <si>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</si>
  <si>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</si>
  <si>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</si>
  <si>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</si>
  <si>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</si>
  <si>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</si>
  <si>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</si>
  <si>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</si>
  <si>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</si>
  <si>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</si>
  <si>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</si>
  <si>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</si>
  <si>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</si>
  <si>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</si>
  <si>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</si>
  <si>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</si>
  <si>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</si>
  <si>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</si>
  <si>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</si>
  <si>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</si>
  <si>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</si>
  <si>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</si>
  <si>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</si>
  <si>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</si>
  <si>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</si>
  <si>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</si>
  <si>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</si>
  <si>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</si>
  <si>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</si>
  <si>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</si>
  <si>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</si>
  <si>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</si>
  <si>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</si>
  <si>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</si>
  <si>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</si>
  <si>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</si>
  <si>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</si>
  <si>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</si>
  <si>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</si>
  <si>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</si>
  <si>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</si>
  <si>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</si>
  <si>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</si>
  <si>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</si>
  <si>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</si>
  <si>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</si>
  <si>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</si>
  <si>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</si>
  <si>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</si>
  <si>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</si>
  <si>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</si>
  <si>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</si>
  <si>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</si>
  <si>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</si>
  <si>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</si>
  <si>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</si>
  <si>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</si>
  <si>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</si>
  <si>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</si>
  <si>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</si>
  <si>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</si>
  <si>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</si>
  <si>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</si>
  <si>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</si>
  <si>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</si>
  <si>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</si>
  <si>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</si>
  <si>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</si>
  <si>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</si>
  <si>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</si>
  <si>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</si>
  <si>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</si>
  <si>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</si>
  <si>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</si>
  <si>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</si>
  <si>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</si>
  <si>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</si>
  <si>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</si>
  <si>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</si>
  <si>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</si>
  <si>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</si>
  <si>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</si>
  <si>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</si>
  <si>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</si>
  <si>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</si>
  <si>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</si>
  <si>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</si>
  <si>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</si>
  <si>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</si>
  <si>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</si>
  <si>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</si>
  <si>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</si>
  <si>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</si>
  <si>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</si>
  <si>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</si>
  <si>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</si>
  <si>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</si>
  <si>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</si>
  <si>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</si>
  <si>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</si>
  <si>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</si>
  <si>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</si>
  <si>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</si>
  <si>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</si>
  <si>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</si>
  <si>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</si>
  <si>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</si>
  <si>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</si>
  <si>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</si>
  <si>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</si>
  <si>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</si>
  <si>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</si>
  <si>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</si>
  <si>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</si>
  <si>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</si>
  <si>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</si>
  <si>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</si>
  <si>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</si>
  <si>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</si>
  <si>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</si>
  <si>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</si>
  <si>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</si>
  <si>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</si>
  <si>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</si>
  <si>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</si>
  <si>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</si>
  <si>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</si>
  <si>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</si>
  <si>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</si>
  <si>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</si>
  <si>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</si>
  <si>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</si>
  <si>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</si>
  <si>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</si>
  <si>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</si>
  <si>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</si>
  <si>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</si>
  <si>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</si>
  <si>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</si>
  <si>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</si>
  <si>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</si>
  <si>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</si>
  <si>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</si>
  <si>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</si>
  <si>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</si>
  <si>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</si>
  <si>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</si>
  <si>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</si>
  <si>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</si>
  <si>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</si>
  <si>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</si>
  <si>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</si>
  <si>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</si>
  <si>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</si>
  <si>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</si>
  <si>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</si>
  <si>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</si>
  <si>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</si>
  <si>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</si>
  <si>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</si>
  <si>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</si>
  <si>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</si>
  <si>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</si>
  <si>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</si>
  <si>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</si>
  <si>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</si>
  <si>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</si>
  <si>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</si>
  <si>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</si>
  <si>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</si>
  <si>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</si>
  <si>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</si>
  <si>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</si>
  <si>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</si>
  <si>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</si>
  <si>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</si>
  <si>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</si>
  <si>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</si>
  <si>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</si>
  <si>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</si>
  <si>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</si>
  <si>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</si>
  <si>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</si>
  <si>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</si>
  <si>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</si>
  <si>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</si>
  <si>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</si>
  <si>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</si>
  <si>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</si>
  <si>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</si>
  <si>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</si>
  <si>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</si>
  <si>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</si>
  <si>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</si>
  <si>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</si>
  <si>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</si>
  <si>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</si>
  <si>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</si>
  <si>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</si>
  <si>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</si>
  <si>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</si>
  <si>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</si>
  <si>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</si>
  <si>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</si>
  <si>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</si>
  <si>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</si>
  <si>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</si>
  <si>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</si>
  <si>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</si>
  <si>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</si>
  <si>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</si>
  <si>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</si>
  <si>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</si>
  <si>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</si>
  <si>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</si>
  <si>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</si>
  <si>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</si>
  <si>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</si>
  <si>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</si>
  <si>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</si>
  <si>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</si>
  <si>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</si>
  <si>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</si>
  <si>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</si>
  <si>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</si>
  <si>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</si>
  <si>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</si>
  <si>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</si>
  <si>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</si>
  <si>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</si>
  <si>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</si>
  <si>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</si>
  <si>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</si>
  <si>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</si>
  <si>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</si>
  <si>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</si>
  <si>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</si>
  <si>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</si>
  <si>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</si>
  <si>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</si>
  <si>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</si>
  <si>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</si>
  <si>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</si>
  <si>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</si>
  <si>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</si>
  <si>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</si>
  <si>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</si>
  <si>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</si>
  <si>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</si>
  <si>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</si>
  <si>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</si>
  <si>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</si>
  <si>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</si>
  <si>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</si>
  <si>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</si>
  <si>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</si>
  <si>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</si>
  <si>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</si>
  <si>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</si>
  <si>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</si>
  <si>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</si>
  <si>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</si>
  <si>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</si>
  <si>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</si>
  <si>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</si>
  <si>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</si>
  <si>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</si>
  <si>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</si>
  <si>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</si>
  <si>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</si>
  <si>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</si>
  <si>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</si>
  <si>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</si>
  <si>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</si>
  <si>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</si>
  <si>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</si>
  <si>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</si>
  <si>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</si>
  <si>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</si>
  <si>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</si>
  <si>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</si>
  <si>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</si>
  <si>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</si>
  <si>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</si>
  <si>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</si>
  <si>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</si>
  <si>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</si>
  <si>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</si>
  <si>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</si>
  <si>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</si>
  <si>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</si>
  <si>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</si>
  <si>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</si>
  <si>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</si>
  <si>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</si>
  <si>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</si>
  <si>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</si>
  <si>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</si>
  <si>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</si>
  <si>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</si>
  <si>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</si>
  <si>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</si>
  <si>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</si>
  <si>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</si>
  <si>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</si>
  <si>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</si>
  <si>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</si>
  <si>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</si>
  <si>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</si>
  <si>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</si>
  <si>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</si>
  <si>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</si>
  <si>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</si>
  <si>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</si>
  <si>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</si>
  <si>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</si>
  <si>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</si>
  <si>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</si>
  <si>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</si>
  <si>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</si>
  <si>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</si>
  <si>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</si>
  <si>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</si>
  <si>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</si>
  <si>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</si>
  <si>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</si>
  <si>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</si>
  <si>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</si>
  <si>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</si>
  <si>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</si>
  <si>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</si>
  <si>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</si>
  <si>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</si>
  <si>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</si>
  <si>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</si>
  <si>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</si>
  <si>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</si>
  <si>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</si>
  <si>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</si>
  <si>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</si>
  <si>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</si>
  <si>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</si>
  <si>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</si>
  <si>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</si>
  <si>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</si>
  <si>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</si>
  <si>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</si>
  <si>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</si>
  <si>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</si>
  <si>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</si>
  <si>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</si>
  <si>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</si>
  <si>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</si>
  <si>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</si>
  <si>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</si>
  <si>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</si>
  <si>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</si>
  <si>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</si>
  <si>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</si>
  <si>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</si>
  <si>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</si>
  <si>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</si>
  <si>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</si>
  <si>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</si>
  <si>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</si>
  <si>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</si>
  <si>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</si>
  <si>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</si>
  <si>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</si>
  <si>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</si>
  <si>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</si>
  <si>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</si>
  <si>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</si>
  <si>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</si>
  <si>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</si>
  <si>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</si>
  <si>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</si>
  <si>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</si>
  <si>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</si>
  <si>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</si>
  <si>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</si>
  <si>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</si>
  <si>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</si>
  <si>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</si>
  <si>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</si>
  <si>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</si>
  <si>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</si>
  <si>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</si>
  <si>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</si>
  <si>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</si>
  <si>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</si>
  <si>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</si>
  <si>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</si>
  <si>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</si>
  <si>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</si>
  <si>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</si>
  <si>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</si>
  <si>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</si>
  <si>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</si>
  <si>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</si>
  <si>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</si>
  <si>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</si>
  <si>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</si>
  <si>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</si>
  <si>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</si>
  <si>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</si>
  <si>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</si>
  <si>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</si>
  <si>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</si>
  <si>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</si>
  <si>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</si>
  <si>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</si>
  <si>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</si>
  <si>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</si>
  <si>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</si>
  <si>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</si>
  <si>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</si>
  <si>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</si>
  <si>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</si>
  <si>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</si>
  <si>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</si>
  <si>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</si>
  <si>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</si>
  <si>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</si>
  <si>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</si>
  <si>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</si>
  <si>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</si>
  <si>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</si>
  <si>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</si>
  <si>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</si>
  <si>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</si>
  <si>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</si>
  <si>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</si>
  <si>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</si>
  <si>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</si>
  <si>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</si>
  <si>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</si>
  <si>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</si>
  <si>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</si>
  <si>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</si>
  <si>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</si>
  <si>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</si>
  <si>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</si>
  <si>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</si>
  <si>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</si>
  <si>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</si>
  <si>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</si>
  <si>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</si>
  <si>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</si>
  <si>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</si>
  <si>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</si>
  <si>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</si>
  <si>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</si>
  <si>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</si>
  <si>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</si>
  <si>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</si>
  <si>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</si>
  <si>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</si>
  <si>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</si>
  <si>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</si>
  <si>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</si>
  <si>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</si>
  <si>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</si>
  <si>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</si>
  <si>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</si>
  <si>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</si>
  <si>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</si>
  <si>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</si>
  <si>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</si>
  <si>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</si>
  <si>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</si>
  <si>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</si>
  <si>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</si>
  <si>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</si>
  <si>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</si>
  <si>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</si>
  <si>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</si>
  <si>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</si>
  <si>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</si>
  <si>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</si>
  <si>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</si>
  <si>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</si>
  <si>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</si>
  <si>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</si>
  <si>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</si>
  <si>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</si>
  <si>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</si>
  <si>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</si>
  <si>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</si>
  <si>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</si>
  <si>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</si>
  <si>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</si>
  <si>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</si>
  <si>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</si>
  <si>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</si>
  <si>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</si>
  <si>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</si>
  <si>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</si>
  <si>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</si>
  <si>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</si>
  <si>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</si>
  <si>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</si>
  <si>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</si>
  <si>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</si>
  <si>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</si>
  <si>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</si>
  <si>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</si>
  <si>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</si>
  <si>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</si>
  <si>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</si>
  <si>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</si>
  <si>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</si>
  <si>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</si>
  <si>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</si>
  <si>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</si>
  <si>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</si>
  <si>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</si>
  <si>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</si>
  <si>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</si>
  <si>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</si>
  <si>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</si>
  <si>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</si>
  <si>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</si>
  <si>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</si>
  <si>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</si>
  <si>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</si>
  <si>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</si>
  <si>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</si>
  <si>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</si>
  <si>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</si>
  <si>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</si>
  <si>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</si>
  <si>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</si>
  <si>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</si>
  <si>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</si>
  <si>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</si>
  <si>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</si>
  <si>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</si>
  <si>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</si>
  <si>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</si>
  <si>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</si>
  <si>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</si>
  <si>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</si>
  <si>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</si>
  <si>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</si>
  <si>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</si>
  <si>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</si>
  <si>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</si>
  <si>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</si>
  <si>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</si>
  <si>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</si>
  <si>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</si>
  <si>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</si>
  <si>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</si>
  <si>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</si>
  <si>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</si>
  <si>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</si>
  <si>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</si>
  <si>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</si>
  <si>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</si>
  <si>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</si>
  <si>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</si>
  <si>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</si>
  <si>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</si>
  <si>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</si>
  <si>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</si>
  <si>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</si>
  <si>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</si>
  <si>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</si>
  <si>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</si>
  <si>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</si>
  <si>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</si>
  <si>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</si>
  <si>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</si>
  <si>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</si>
  <si>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</si>
  <si>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</si>
  <si>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</si>
  <si>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</si>
  <si>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</si>
  <si>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</si>
  <si>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</si>
  <si>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</si>
  <si>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</si>
  <si>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</si>
  <si>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</si>
  <si>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</si>
  <si>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</si>
  <si>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</si>
  <si>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</si>
  <si>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</si>
  <si>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</si>
  <si>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</si>
  <si>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</si>
  <si>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</si>
  <si>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</si>
  <si>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</si>
  <si>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</si>
  <si>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</si>
  <si>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</si>
  <si>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</si>
  <si>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</si>
  <si>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</si>
  <si>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</si>
  <si>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</si>
  <si>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</si>
  <si>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</si>
  <si>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</si>
  <si>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</si>
  <si>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</si>
  <si>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</si>
  <si>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</si>
  <si>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</si>
  <si>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</si>
  <si>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</si>
  <si>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</si>
  <si>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</si>
  <si>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</si>
  <si>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</si>
  <si>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</si>
  <si>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</si>
  <si>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</si>
  <si>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</si>
  <si>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</si>
  <si>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</si>
  <si>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</si>
  <si>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</si>
  <si>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</si>
  <si>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</si>
  <si>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</si>
  <si>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</si>
  <si>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</si>
  <si>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</si>
  <si>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</si>
  <si>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</si>
  <si>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</si>
  <si>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</si>
  <si>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</si>
  <si>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</si>
  <si>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</si>
  <si>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</si>
  <si>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</si>
  <si>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</si>
  <si>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</si>
  <si>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</si>
  <si>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</si>
  <si>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</si>
  <si>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</si>
  <si>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</si>
  <si>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</si>
  <si>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</si>
  <si>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</si>
  <si>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</si>
  <si>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</si>
  <si>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</si>
  <si>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</si>
  <si>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</si>
  <si>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</si>
  <si>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</si>
  <si>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</si>
  <si>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</si>
  <si>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</si>
  <si>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</si>
  <si>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</si>
  <si>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</si>
  <si>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</si>
  <si>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</si>
  <si>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</si>
  <si>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</si>
  <si>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</si>
  <si>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</si>
  <si>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</si>
  <si>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</si>
  <si>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</si>
  <si>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</si>
  <si>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</si>
  <si>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</si>
  <si>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</si>
  <si>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</si>
  <si>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</si>
  <si>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</si>
  <si>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</si>
  <si>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</si>
  <si>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</si>
  <si>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</si>
  <si>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</si>
  <si>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</si>
  <si>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</si>
  <si>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</si>
  <si>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</si>
  <si>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</si>
  <si>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</si>
  <si>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</si>
  <si>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</si>
  <si>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</si>
  <si>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</si>
  <si>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</si>
  <si>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</si>
  <si>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</si>
  <si>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</si>
  <si>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</si>
  <si>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</si>
  <si>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</si>
  <si>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</si>
  <si>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</si>
  <si>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</si>
  <si>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</si>
  <si>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</si>
  <si>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</si>
  <si>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</si>
  <si>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</si>
  <si>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</si>
  <si>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</si>
  <si>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</si>
  <si>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</si>
  <si>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</si>
  <si>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</si>
  <si>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</si>
  <si>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</si>
  <si>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</si>
  <si>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</si>
  <si>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</si>
  <si>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</si>
  <si>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</si>
  <si>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</si>
  <si>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</si>
  <si>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</si>
  <si>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</si>
  <si>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</si>
  <si>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</si>
  <si>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</si>
  <si>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</si>
  <si>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</si>
  <si>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</si>
  <si>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</si>
  <si>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</si>
  <si>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</si>
  <si>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</si>
  <si>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</si>
  <si>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</si>
  <si>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</si>
  <si>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</si>
  <si>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</si>
  <si>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</si>
  <si>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</si>
  <si>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</si>
  <si>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</si>
  <si>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</si>
  <si>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</si>
  <si>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</si>
  <si>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</si>
  <si>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</si>
  <si>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</si>
  <si>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</si>
  <si>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</si>
  <si>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</si>
  <si>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</si>
  <si>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</si>
  <si>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</si>
  <si>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</si>
  <si>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</si>
  <si>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</si>
  <si>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</si>
  <si>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</si>
  <si>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</si>
  <si>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</si>
  <si>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</si>
  <si>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</si>
  <si>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</si>
  <si>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</si>
  <si>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</si>
  <si>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</si>
  <si>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</si>
  <si>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</si>
  <si>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</si>
  <si>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</si>
  <si>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</si>
  <si>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</si>
  <si>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</si>
  <si>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</si>
  <si>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</si>
  <si>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</si>
  <si>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</si>
  <si>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</si>
  <si>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</si>
  <si>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</si>
  <si>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</si>
  <si>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01/10</t>
  </si>
  <si>
    <t>8/25</t>
  </si>
  <si>
    <t>Corrected to move to line 21</t>
  </si>
  <si>
    <t>1.3MM questioned.  Roof repair/replacement</t>
  </si>
  <si>
    <t xml:space="preserve">Indirect </t>
  </si>
  <si>
    <t>sheet</t>
  </si>
  <si>
    <t>Questsioned last year expenditure of 105K.  We no longer have that contract.  It was during the height of covid</t>
  </si>
  <si>
    <t>the hvac company was the original installer of the unit.  We contracted with them to get the hvac system up</t>
  </si>
  <si>
    <t>and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</si>
</sst>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0" fontId="6" fillId="0" borderId="3" xfId="0" applyNumberFormat="1" applyFont="1" applyBorder="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7" zoomScale="131" zoomScaleNormal="131"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940</v>
      </c>
      <c r="B2" s="126">
        <f>INDEX('School Tables'!$AH$3:$AH$208,MATCH('DOE25'!A2,'School Tables'!$AJ$3:$AJ$208,0))</f>
        <v>51</v>
      </c>
      <c r="C2" s="126">
        <f>INDEX('School Tables'!$AI$3:$AI$208,MATCH('DOE25'!A2,'School Tables'!$AJ$3:$AJ$208,0))</f>
        <v>51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f>242353.3+118221.5</f>
        <v>360574.8</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0</v>
      </c>
      <c r="G19" s="41">
        <f>SUM(G9:G18)</f>
        <v>360574.8</v>
      </c>
      <c r="H19" s="41">
        <f>SUM(H9:H18)</f>
        <v>0</v>
      </c>
      <c r="I19" s="41">
        <f>SUM(I9:I18)</f>
        <v>0</v>
      </c>
      <c r="J19" s="41">
        <f>SUM(J9:J18)</f>
        <v>0</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f>242353.3+118221.5</f>
        <v>360574.8</v>
      </c>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0</v>
      </c>
      <c r="G51" s="41">
        <f>SUM(G35:G50)</f>
        <v>360574.8</v>
      </c>
      <c r="H51" s="41">
        <f>SUM(H35:H50)</f>
        <v>0</v>
      </c>
      <c r="I51" s="41">
        <f>SUM(I35:I50)</f>
        <v>0</v>
      </c>
      <c r="J51" s="41">
        <f>SUM(J35:J50)</f>
        <v>0</v>
      </c>
      <c r="K51" s="45" t="s">
        <v>288</v>
      </c>
      <c r="L51" s="45" t="s">
        <v>288</v>
      </c>
      <c r="N51" s="263"/>
    </row>
    <row r="52" spans="1:14" s="3" customFormat="1" ht="12.2" customHeight="1" thickTop="1" x14ac:dyDescent="0.15">
      <c r="A52" s="38" t="s">
        <v>455</v>
      </c>
      <c r="B52" s="39" t="s">
        <v>289</v>
      </c>
      <c r="C52" s="6">
        <v>37</v>
      </c>
      <c r="D52" s="39" t="s">
        <v>653</v>
      </c>
      <c r="E52" s="39"/>
      <c r="F52" s="41">
        <f>F51+F32</f>
        <v>0</v>
      </c>
      <c r="G52" s="41">
        <f>G51+G32</f>
        <v>360574.8</v>
      </c>
      <c r="H52" s="41">
        <f>H51+H32</f>
        <v>0</v>
      </c>
      <c r="I52" s="41">
        <f>I51+I32</f>
        <v>0</v>
      </c>
      <c r="J52" s="41">
        <f>J51+J32</f>
        <v>0</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5248388.92+12687.1</f>
        <v>5261076.0199999996</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5261076.0199999996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1406825.15</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54606.1</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1461431.25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v>46954.23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200</v>
      </c>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71613.399999999994</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12036.54</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12236.54</v>
      </c>
      <c r="G111" s="41">
        <f>SUM(G96:G110)</f>
        <v>46954.23</v>
      </c>
      <c r="H111" s="41">
        <f>SUM(H96:H110)</f>
        <v>71613.399999999994</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6734743.8099999996</v>
      </c>
      <c r="G112" s="41">
        <f>G60+G111</f>
        <v>46954.23</v>
      </c>
      <c r="H112" s="41">
        <f>H60+H79+H94+H111</f>
        <v>71613.399999999994</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10645884.9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f>645350</f>
        <v>645350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1185.95</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11292420.85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86327.53</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9415.6</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30124.21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86327.53</v>
      </c>
      <c r="G136" s="41">
        <f>SUM(G123:G135)</f>
        <v>30124.21</v>
      </c>
      <c r="H136" s="41">
        <f>SUM(H123:H135)</f>
        <v>9415.6</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11378748.379999999</v>
      </c>
      <c r="G140" s="41">
        <f>G121+SUM(G136:G137)</f>
        <v>30124.21</v>
      </c>
      <c r="H140" s="41">
        <f>H121+SUM(H136:H139)</f>
        <v>9415.6</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722606.13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14000+342445.26</f>
        <v>356445.26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66507.58</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868247.56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329573.01</f>
        <v>329573.01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299024.69</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19458.9+1919557.34+66216.3</f>
        <v>2005232.54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299024.69</v>
      </c>
      <c r="G163" s="41">
        <f>SUM(G150:G162)</f>
        <v>868247.56</v>
      </c>
      <c r="H163" s="41">
        <f>SUM(H150:H162)</f>
        <v>3480364.5200000005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v>9079.1200000000008</v>
      </c>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12687.1</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311711.78999999998</v>
      </c>
      <c r="G170" s="41">
        <f>G147+G163+SUM(G164:G169)</f>
        <v>868247.56</v>
      </c>
      <c r="H170" s="41">
        <f>H147+H163+SUM(H164:H169)</f>
        <v>3489443.6400000006</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18425203.979999997</v>
      </c>
      <c r="G194" s="47">
        <f>G112+G140+G170+G193</f>
        <v>945326</v>
      </c>
      <c r="H194" s="47">
        <f>H112+H140+H170+H193</f>
        <v>3570472.6400000006</v>
      </c>
      <c r="I194" s="47">
        <f>I112+I140+I170+I193</f>
        <v>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84535.91+1966216.44</f>
        <v>2050752.3499999999</v>
      </c>
      <c r="G198" s="18">
        <f>38171.41+868764.84+14734.2</f>
        <v>921670.45</v>
      </c>
      <c r="H198" s="18">
        <f>35984.26+595.26</f>
        <v>36579.520000000004</v>
      </c>
      <c r="I198" s="18">
        <f>2712.24+53344.5</f>
        <v>56056.74</v>
      </c>
      <c r="J198" s="18">
        <f>55391.75+19829.07+4340</f>
        <v>79560.820000000007</v>
      </c>
      <c r="K198" s="18">
        <f>120</f>
        <v>120</v>
      </c>
      <c r="L198" s="19">
        <f>SUM(F198:K198)</f>
        <v>3144739.88</v>
      </c>
      <c r="M198" s="8"/>
      <c r="N198" s="265"/>
    </row>
    <row r="199" spans="1:14" s="3" customFormat="1" ht="12.2" customHeight="1" x14ac:dyDescent="0.15">
      <c r="A199" s="1" t="s">
        <v>439</v>
      </c>
      <c r="B199" s="2" t="s">
        <v>341</v>
      </c>
      <c r="C199" s="2" t="s">
        <v>291</v>
      </c>
      <c r="D199" s="2" t="s">
        <v>431</v>
      </c>
      <c r="E199" s="6">
        <v>1200</v>
      </c>
      <c r="F199" s="18">
        <f>878.61+825028.36+117737.03</f>
        <v>943644</v>
      </c>
      <c r="G199" s="18">
        <f>67.22+270901.74+43228.22+6.21</f>
        <v>314203.38999999996</v>
      </c>
      <c r="H199" s="18">
        <f>38734.24+24228+267021.63+149+3540</f>
        <v>333672.87</v>
      </c>
      <c r="I199" s="18">
        <f>366.16+2385.18+616+524.13</f>
        <v>3891.47</v>
      </c>
      <c r="J199" s="18">
        <f>2159.1</f>
        <v>2159.1</v>
      </c>
      <c r="K199" s="18"/>
      <c r="L199" s="19">
        <f>SUM(F199:K199)</f>
        <v>1597570.8299999998</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f>31919.3+24752.98+7675</f>
        <v>64347.28</v>
      </c>
      <c r="G201" s="18">
        <f>3486.45+5127.59+581.56</f>
        <v>9195.6</v>
      </c>
      <c r="H201" s="18">
        <f>1100+17088.8+105</f>
        <v>18293.8</v>
      </c>
      <c r="I201" s="18">
        <f>1318.85+2600</f>
        <v>3918.85</v>
      </c>
      <c r="J201" s="18">
        <f>5600</f>
        <v>5600</v>
      </c>
      <c r="K201" s="18">
        <f>630</f>
        <v>630</v>
      </c>
      <c r="L201" s="19">
        <f>SUM(F201:K201)</f>
        <v>101985.53000000001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100156.18+182917.76+99324.5+82209.71</f>
        <v>464608.15</v>
      </c>
      <c r="G203" s="18">
        <f>38978.17+76139.47+56018.46+30118.15+2033.82</f>
        <v>203288.07</v>
      </c>
      <c r="H203" s="18">
        <f>6512+7237.65+22582.78+319301.66+1602+3296</f>
        <v>360532.08999999997</v>
      </c>
      <c r="I203" s="18">
        <f>2460.67+2533.31+429.46+461.23</f>
        <v>5884.67</v>
      </c>
      <c r="J203" s="18"/>
      <c r="K203" s="18"/>
      <c r="L203" s="19">
        <f t="shared" ref="L203:L209" si="0">SUM(F203:K203)</f>
        <v>1034312.98</v>
      </c>
      <c r="M203" s="8"/>
      <c r="N203" s="265"/>
    </row>
    <row r="204" spans="1:14" s="3" customFormat="1" ht="12.2" customHeight="1" x14ac:dyDescent="0.15">
      <c r="A204" s="1" t="s">
        <v>443</v>
      </c>
      <c r="B204" s="2" t="s">
        <v>341</v>
      </c>
      <c r="C204" s="2" t="s">
        <v>295</v>
      </c>
      <c r="D204" s="2" t="s">
        <v>431</v>
      </c>
      <c r="E204" s="6">
        <v>2200</v>
      </c>
      <c r="F204" s="18">
        <f>57219</f>
        <v>57219</v>
      </c>
      <c r="G204" s="18">
        <f>19069.85+32371.71</f>
        <v>51441.56</v>
      </c>
      <c r="H204" s="18">
        <f>1897.5+2035.36</f>
        <v>3932.8599999999997</v>
      </c>
      <c r="I204" s="18">
        <f>1922.56+7772.4</f>
        <v>9694.9599999999991</v>
      </c>
      <c r="J204" s="18"/>
      <c r="K204" s="18">
        <f>49.37</f>
        <v>49.37</v>
      </c>
      <c r="L204" s="19">
        <f t="shared" si="0"/>
        <v>122337.75</v>
      </c>
      <c r="M204" s="8"/>
      <c r="N204" s="265"/>
    </row>
    <row r="205" spans="1:14" s="3" customFormat="1" ht="12.2" customHeight="1" x14ac:dyDescent="0.15">
      <c r="A205" s="1" t="s">
        <v>444</v>
      </c>
      <c r="B205" s="2" t="s">
        <v>341</v>
      </c>
      <c r="C205" s="2" t="s">
        <v>296</v>
      </c>
      <c r="D205" s="2" t="s">
        <v>431</v>
      </c>
      <c r="E205" s="6">
        <v>2300</v>
      </c>
      <c r="F205" s="18">
        <f>76860.84+66667.52</f>
        <v>143528.35999999999</v>
      </c>
      <c r="G205" s="18">
        <f>27930.2+18306.11+1031.22</f>
        <v>47267.53</v>
      </c>
      <c r="H205" s="18">
        <f>5809.94+14521.27+4154.08</f>
        <v>24485.29</v>
      </c>
      <c r="I205" s="18">
        <f>13361.83+1853.63</f>
        <v>15215.46</v>
      </c>
      <c r="J205" s="18">
        <f>241.99+3053.3</f>
        <v>3295.29</v>
      </c>
      <c r="K205" s="18">
        <f>11975.29+3538.94+675.71</f>
        <v>16189.940000000002</v>
      </c>
      <c r="L205" s="19">
        <f t="shared" si="0"/>
        <v>249981.87</v>
      </c>
      <c r="M205" s="8"/>
      <c r="N205" s="265"/>
    </row>
    <row r="206" spans="1:14" s="3" customFormat="1" ht="12.2" customHeight="1" x14ac:dyDescent="0.15">
      <c r="A206" s="1" t="s">
        <v>445</v>
      </c>
      <c r="B206" s="2" t="s">
        <v>341</v>
      </c>
      <c r="C206" s="2" t="s">
        <v>297</v>
      </c>
      <c r="D206" s="2" t="s">
        <v>431</v>
      </c>
      <c r="E206" s="6">
        <v>2400</v>
      </c>
      <c r="F206" s="18">
        <f>261152.93</f>
        <v>261152.93</v>
      </c>
      <c r="G206" s="18">
        <f>87155.13</f>
        <v>87155.13</v>
      </c>
      <c r="H206" s="18">
        <f>40044.87</f>
        <v>40044.870000000003</v>
      </c>
      <c r="I206" s="18">
        <f>1549.36</f>
        <v>1549.36</v>
      </c>
      <c r="J206" s="18"/>
      <c r="K206" s="18">
        <f>1947</f>
        <v>1947</v>
      </c>
      <c r="L206" s="19">
        <f t="shared" si="0"/>
        <v>391849.29</v>
      </c>
      <c r="M206" s="8"/>
      <c r="N206" s="265"/>
    </row>
    <row r="207" spans="1:14" s="3" customFormat="1" ht="12.2" customHeight="1" x14ac:dyDescent="0.15">
      <c r="A207" s="1" t="s">
        <v>446</v>
      </c>
      <c r="B207" s="2" t="s">
        <v>341</v>
      </c>
      <c r="C207" s="2" t="s">
        <v>298</v>
      </c>
      <c r="D207" s="2" t="s">
        <v>431</v>
      </c>
      <c r="E207" s="6">
        <v>2500</v>
      </c>
      <c r="F207" s="18">
        <f>73984.79</f>
        <v>73984.789999999994</v>
      </c>
      <c r="G207" s="18">
        <f>22798.55+531.56</f>
        <v>23330.11</v>
      </c>
      <c r="H207" s="18">
        <f>5600.73</f>
        <v>5600.73</v>
      </c>
      <c r="I207" s="18"/>
      <c r="J207" s="18"/>
      <c r="K207" s="18">
        <f>220</f>
        <v>220</v>
      </c>
      <c r="L207" s="19">
        <f t="shared" si="0"/>
        <v>103135.62999999999</v>
      </c>
      <c r="M207" s="8"/>
      <c r="N207" s="265"/>
    </row>
    <row r="208" spans="1:14" s="3" customFormat="1" ht="12.2" customHeight="1" x14ac:dyDescent="0.15">
      <c r="A208" s="1" t="s">
        <v>447</v>
      </c>
      <c r="B208" s="2" t="s">
        <v>341</v>
      </c>
      <c r="C208" s="2" t="s">
        <v>299</v>
      </c>
      <c r="D208" s="2" t="s">
        <v>431</v>
      </c>
      <c r="E208" s="6">
        <v>2600</v>
      </c>
      <c r="F208" s="18">
        <f>89068.67+130145.55</f>
        <v>219214.22</v>
      </c>
      <c r="G208" s="18">
        <f>42114.59+62284.3+639.94</f>
        <v>105038.83</v>
      </c>
      <c r="H208" s="18">
        <f>80877.75+4510.96</f>
        <v>85388.71</v>
      </c>
      <c r="I208" s="18">
        <f>46389.66+190435.17</f>
        <v>236824.83000000002</v>
      </c>
      <c r="J208" s="18">
        <f>7719.93+7413.58</f>
        <v>15133.51</v>
      </c>
      <c r="K208" s="18">
        <f>76.8</f>
        <v>76.8</v>
      </c>
      <c r="L208" s="19">
        <f t="shared" si="0"/>
        <v>661676.90000000014</v>
      </c>
      <c r="M208" s="8"/>
      <c r="N208" s="265"/>
    </row>
    <row r="209" spans="1:14" s="3" customFormat="1" ht="12.2" customHeight="1" x14ac:dyDescent="0.15">
      <c r="A209" s="1" t="s">
        <v>448</v>
      </c>
      <c r="B209" s="2" t="s">
        <v>341</v>
      </c>
      <c r="C209" s="2" t="s">
        <v>300</v>
      </c>
      <c r="D209" s="2" t="s">
        <v>431</v>
      </c>
      <c r="E209" s="6">
        <v>2700</v>
      </c>
      <c r="F209" s="18">
        <f>115133.13+2956.09+1530.98+973.13</f>
        <v>120593.33</v>
      </c>
      <c r="G209" s="18">
        <f>24649.92+225.85+117.04+848.45</f>
        <v>25841.26</v>
      </c>
      <c r="H209" s="18">
        <f>36427.5</f>
        <v>36427.5</v>
      </c>
      <c r="I209" s="18">
        <f>39266.39</f>
        <v>39266.39</v>
      </c>
      <c r="J209" s="18"/>
      <c r="K209" s="18">
        <f>202.8</f>
        <v>202.8</v>
      </c>
      <c r="L209" s="19">
        <f t="shared" si="0"/>
        <v>222331.27999999997</v>
      </c>
      <c r="M209" s="8"/>
      <c r="N209" s="265"/>
    </row>
    <row r="210" spans="1:14" s="3" customFormat="1" ht="12.2" customHeight="1" x14ac:dyDescent="0.15">
      <c r="A210" s="1" t="s">
        <v>449</v>
      </c>
      <c r="B210" s="2" t="s">
        <v>341</v>
      </c>
      <c r="C210" s="2" t="s">
        <v>343</v>
      </c>
      <c r="D210" s="2" t="s">
        <v>431</v>
      </c>
      <c r="E210" s="6">
        <v>2800</v>
      </c>
      <c r="F210" s="18">
        <f>628.57</f>
        <v>628.57000000000005</v>
      </c>
      <c r="G210" s="18">
        <f>48.09+4.52</f>
        <v>52.61</v>
      </c>
      <c r="H210" s="18"/>
      <c r="I210" s="18"/>
      <c r="J210" s="18"/>
      <c r="K210" s="18"/>
      <c r="L210" s="19">
        <f>SUM(F210:K210)</f>
        <v>681.18000000000006</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4399672.9799999995</v>
      </c>
      <c r="G212" s="41">
        <f t="shared" si="1"/>
        <v>1788484.5400000003</v>
      </c>
      <c r="H212" s="41">
        <f t="shared" si="1"/>
        <v>944958.24</v>
      </c>
      <c r="I212" s="41">
        <f t="shared" si="1"/>
        <v>372302.73000000004</v>
      </c>
      <c r="J212" s="41">
        <f t="shared" si="1"/>
        <v>105748.72</v>
      </c>
      <c r="K212" s="41">
        <f t="shared" si="1"/>
        <v>19435.91</v>
      </c>
      <c r="L212" s="41">
        <f t="shared" si="1"/>
        <v>7630603.120000001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42267.96+1088576.62</f>
        <v>1130844.58</v>
      </c>
      <c r="G216" s="18">
        <f>19085.71+513589.54+8124.87</f>
        <v>540800.12</v>
      </c>
      <c r="H216" s="18">
        <f>17992.13+5580.62</f>
        <v>23572.75</v>
      </c>
      <c r="I216" s="18">
        <f>1356.12+29537.24+640</f>
        <v>31533.360000000001</v>
      </c>
      <c r="J216" s="18">
        <f>27695.87+28513.33+2492</f>
        <v>58701.2</v>
      </c>
      <c r="K216" s="18"/>
      <c r="L216" s="19">
        <f>SUM(F216:K216)</f>
        <v>1785452.0100000002</v>
      </c>
      <c r="M216" s="8"/>
      <c r="N216" s="265"/>
    </row>
    <row r="217" spans="1:14" s="3" customFormat="1" ht="12.2" customHeight="1" x14ac:dyDescent="0.15">
      <c r="A217" s="1" t="s">
        <v>439</v>
      </c>
      <c r="B217" s="2" t="s">
        <v>346</v>
      </c>
      <c r="C217" s="2" t="s">
        <v>291</v>
      </c>
      <c r="D217" s="2" t="s">
        <v>431</v>
      </c>
      <c r="E217" s="6">
        <v>1200</v>
      </c>
      <c r="F217" s="18">
        <f>376.55+432441.01+70280.29</f>
        <v>503097.85</v>
      </c>
      <c r="G217" s="18">
        <f>28.81+187864.1+44045.5+2.71</f>
        <v>231941.12</v>
      </c>
      <c r="H217" s="18">
        <f>16600.39+328365.97</f>
        <v>344966.36</v>
      </c>
      <c r="I217" s="18">
        <f>106.8+1802.81</f>
        <v>1909.61</v>
      </c>
      <c r="J217" s="18">
        <f>1101.15</f>
        <v>1101.1500000000001</v>
      </c>
      <c r="K217" s="18"/>
      <c r="L217" s="19">
        <f>SUM(F217:K217)</f>
        <v>1083016.0900000001</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f>15024.97+29793.27</f>
        <v>44818.239999999998</v>
      </c>
      <c r="G219" s="18">
        <f>3096.86+5578.63</f>
        <v>8675.49</v>
      </c>
      <c r="H219" s="18">
        <f>1577.5+575.56</f>
        <v>2153.06</v>
      </c>
      <c r="I219" s="18">
        <f>4231.86+880.6</f>
        <v>5112.46</v>
      </c>
      <c r="J219" s="18">
        <f>674</f>
        <v>674</v>
      </c>
      <c r="K219" s="18">
        <f>385+300</f>
        <v>685</v>
      </c>
      <c r="L219" s="19">
        <f>SUM(F219:K219)</f>
        <v>62118.249999999993</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34479.99+82884.61+54755.49+46857.15</f>
        <v>218977.24</v>
      </c>
      <c r="G221" s="18">
        <f>13418.72+34500.7+24084.39+21892.55+1573.3</f>
        <v>95469.66</v>
      </c>
      <c r="H221" s="18">
        <f>3256+2491.65+10232.82+39464.25+38216.75+508</f>
        <v>94169.47</v>
      </c>
      <c r="I221" s="18">
        <f>847.11+1147.9+1199.92+1945.5</f>
        <v>5140.43</v>
      </c>
      <c r="J221" s="18">
        <f>1318.56+1432.49</f>
        <v>2751.05</v>
      </c>
      <c r="K221" s="18">
        <f>179+49.95</f>
        <v>228.95</v>
      </c>
      <c r="L221" s="19">
        <f t="shared" ref="L221:L227" si="2">SUM(F221:K221)</f>
        <v>416736.8</v>
      </c>
      <c r="M221" s="8"/>
      <c r="N221" s="265"/>
    </row>
    <row r="222" spans="1:14" s="3" customFormat="1" ht="12.2" customHeight="1" x14ac:dyDescent="0.15">
      <c r="A222" s="1" t="s">
        <v>443</v>
      </c>
      <c r="B222" s="2" t="s">
        <v>346</v>
      </c>
      <c r="C222" s="2" t="s">
        <v>295</v>
      </c>
      <c r="D222" s="2" t="s">
        <v>431</v>
      </c>
      <c r="E222" s="6">
        <v>2200</v>
      </c>
      <c r="F222" s="18"/>
      <c r="G222" s="18">
        <f>5321.35</f>
        <v>5321.35</v>
      </c>
      <c r="H222" s="18">
        <f>948.75+219</f>
        <v>1167.75</v>
      </c>
      <c r="I222" s="18">
        <f>1000+6283.26</f>
        <v>7283.26</v>
      </c>
      <c r="J222" s="18">
        <f>198.99</f>
        <v>198.99</v>
      </c>
      <c r="K222" s="18"/>
      <c r="L222" s="19">
        <f t="shared" si="2"/>
        <v>13971.35</v>
      </c>
      <c r="M222" s="8"/>
      <c r="N222" s="265"/>
    </row>
    <row r="223" spans="1:14" s="3" customFormat="1" ht="12.2" customHeight="1" x14ac:dyDescent="0.15">
      <c r="A223" s="1" t="s">
        <v>444</v>
      </c>
      <c r="B223" s="2" t="s">
        <v>346</v>
      </c>
      <c r="C223" s="2" t="s">
        <v>296</v>
      </c>
      <c r="D223" s="2" t="s">
        <v>431</v>
      </c>
      <c r="E223" s="6">
        <v>2300</v>
      </c>
      <c r="F223" s="18">
        <f>38430.43+28571.79</f>
        <v>67002.22</v>
      </c>
      <c r="G223" s="18">
        <f>13965.11+7845.48+481.4</f>
        <v>22291.99</v>
      </c>
      <c r="H223" s="18">
        <f>2904.97+7260.63+1780.32</f>
        <v>11945.92</v>
      </c>
      <c r="I223" s="18">
        <f>6680.92+540.64</f>
        <v>7221.56</v>
      </c>
      <c r="J223" s="18">
        <f>121+1308.56</f>
        <v>1429.56</v>
      </c>
      <c r="K223" s="18">
        <f>5987.64+1769.47+289.59</f>
        <v>8046.7000000000007</v>
      </c>
      <c r="L223" s="19">
        <f t="shared" si="2"/>
        <v>117937.95</v>
      </c>
      <c r="M223" s="8"/>
      <c r="N223" s="265"/>
    </row>
    <row r="224" spans="1:14" s="3" customFormat="1" ht="12.2" customHeight="1" x14ac:dyDescent="0.15">
      <c r="A224" s="1" t="s">
        <v>445</v>
      </c>
      <c r="B224" s="2" t="s">
        <v>346</v>
      </c>
      <c r="C224" s="2" t="s">
        <v>297</v>
      </c>
      <c r="D224" s="2" t="s">
        <v>431</v>
      </c>
      <c r="E224" s="6">
        <v>2400</v>
      </c>
      <c r="F224" s="18">
        <f>181306.21</f>
        <v>181306.21</v>
      </c>
      <c r="G224" s="18">
        <f>79155.84+1302.65</f>
        <v>80458.489999999991</v>
      </c>
      <c r="H224" s="18">
        <f>2112.72</f>
        <v>2112.7199999999998</v>
      </c>
      <c r="I224" s="18">
        <f>3138.51</f>
        <v>3138.51</v>
      </c>
      <c r="J224" s="18">
        <f>436.93</f>
        <v>436.93</v>
      </c>
      <c r="K224" s="18">
        <f>1795</f>
        <v>1795</v>
      </c>
      <c r="L224" s="19">
        <f t="shared" si="2"/>
        <v>269247.86</v>
      </c>
      <c r="M224" s="8"/>
      <c r="N224" s="265"/>
    </row>
    <row r="225" spans="1:14" s="3" customFormat="1" ht="12.2" customHeight="1" x14ac:dyDescent="0.15">
      <c r="A225" s="1" t="s">
        <v>446</v>
      </c>
      <c r="B225" s="2" t="s">
        <v>346</v>
      </c>
      <c r="C225" s="2" t="s">
        <v>298</v>
      </c>
      <c r="D225" s="2" t="s">
        <v>431</v>
      </c>
      <c r="E225" s="6">
        <v>2500</v>
      </c>
      <c r="F225" s="18">
        <f>36992.39</f>
        <v>36992.39</v>
      </c>
      <c r="G225" s="18">
        <f>11399.27+265.78</f>
        <v>11665.050000000001</v>
      </c>
      <c r="H225" s="18">
        <f>2800.36</f>
        <v>2800.36</v>
      </c>
      <c r="I225" s="18"/>
      <c r="J225" s="18"/>
      <c r="K225" s="18">
        <f>110</f>
        <v>110</v>
      </c>
      <c r="L225" s="19">
        <f t="shared" si="2"/>
        <v>51567.8</v>
      </c>
      <c r="M225" s="8"/>
      <c r="N225" s="265"/>
    </row>
    <row r="226" spans="1:14" s="3" customFormat="1" ht="12.2" customHeight="1" x14ac:dyDescent="0.15">
      <c r="A226" s="1" t="s">
        <v>447</v>
      </c>
      <c r="B226" s="2" t="s">
        <v>346</v>
      </c>
      <c r="C226" s="2" t="s">
        <v>299</v>
      </c>
      <c r="D226" s="2" t="s">
        <v>431</v>
      </c>
      <c r="E226" s="6">
        <v>2600</v>
      </c>
      <c r="F226" s="18">
        <f>44534.34+65629.5</f>
        <v>110163.84</v>
      </c>
      <c r="G226" s="18">
        <f>21057.3+28258.96+791.5</f>
        <v>50107.759999999995</v>
      </c>
      <c r="H226" s="18">
        <f>40438.87+3589.27</f>
        <v>44028.14</v>
      </c>
      <c r="I226" s="18">
        <f>23194.83+500</f>
        <v>23694.83</v>
      </c>
      <c r="J226" s="18">
        <f>3859.97+8031.38</f>
        <v>11891.35</v>
      </c>
      <c r="K226" s="18">
        <f>34.8</f>
        <v>34.799999999999997</v>
      </c>
      <c r="L226" s="19">
        <f t="shared" si="2"/>
        <v>239920.72</v>
      </c>
      <c r="M226" s="8"/>
      <c r="N226" s="265"/>
    </row>
    <row r="227" spans="1:14" s="3" customFormat="1" ht="12.2" customHeight="1" x14ac:dyDescent="0.15">
      <c r="A227" s="1" t="s">
        <v>448</v>
      </c>
      <c r="B227" s="2" t="s">
        <v>346</v>
      </c>
      <c r="C227" s="2" t="s">
        <v>300</v>
      </c>
      <c r="D227" s="2" t="s">
        <v>431</v>
      </c>
      <c r="E227" s="6">
        <v>2700</v>
      </c>
      <c r="F227" s="18">
        <f>37196.85+365.36+783.13+470.45</f>
        <v>38815.789999999994</v>
      </c>
      <c r="G227" s="18">
        <f>7963.82+27.91+59.87+35.94+275.5</f>
        <v>8363.0399999999991</v>
      </c>
      <c r="H227" s="18">
        <f>11768.88</f>
        <v>11768.88</v>
      </c>
      <c r="I227" s="18">
        <f>12686.07</f>
        <v>12686.07</v>
      </c>
      <c r="J227" s="18"/>
      <c r="K227" s="18">
        <f>65.52</f>
        <v>65.52</v>
      </c>
      <c r="L227" s="19">
        <f t="shared" si="2"/>
        <v>71699.3</v>
      </c>
      <c r="M227" s="8"/>
      <c r="N227" s="265"/>
    </row>
    <row r="228" spans="1:14" s="3" customFormat="1" ht="12.2" customHeight="1" x14ac:dyDescent="0.15">
      <c r="A228" s="1" t="s">
        <v>449</v>
      </c>
      <c r="B228" s="2" t="s">
        <v>346</v>
      </c>
      <c r="C228" s="2" t="s">
        <v>343</v>
      </c>
      <c r="D228" s="2" t="s">
        <v>431</v>
      </c>
      <c r="E228" s="6">
        <v>2800</v>
      </c>
      <c r="F228" s="18">
        <f>314.29</f>
        <v>314.29000000000002</v>
      </c>
      <c r="G228" s="18">
        <f>24.05+5.64</f>
        <v>29.69</v>
      </c>
      <c r="H228" s="18"/>
      <c r="I228" s="18"/>
      <c r="J228" s="18"/>
      <c r="K228" s="18"/>
      <c r="L228" s="19">
        <f>SUM(F228:K228)</f>
        <v>343.98</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2332332.6500000004</v>
      </c>
      <c r="G230" s="41">
        <f>SUM(G216:G229)</f>
        <v>1055123.76</v>
      </c>
      <c r="H230" s="41">
        <f>SUM(H216:H229)</f>
        <v>538685.40999999992</v>
      </c>
      <c r="I230" s="41">
        <f>SUM(I216:I229)</f>
        <v>97720.09</v>
      </c>
      <c r="J230" s="41">
        <f>SUM(J216:J229)</f>
        <v>77184.23</v>
      </c>
      <c r="K230" s="41">
        <f t="shared" si="3"/>
        <v>10965.970000000001</v>
      </c>
      <c r="L230" s="41">
        <f t="shared" si="3"/>
        <v>4112012.1100000003</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65323.21+1815232.63</f>
        <v>1880555.8399999999</v>
      </c>
      <c r="G234" s="18">
        <f>29496.09+830322.57+13511.38</f>
        <v>873330.03999999992</v>
      </c>
      <c r="H234" s="18">
        <f>27806.02+6421.54</f>
        <v>34227.56</v>
      </c>
      <c r="I234" s="18">
        <f>2095.82+51154.9</f>
        <v>53250.720000000001</v>
      </c>
      <c r="J234" s="18">
        <f>42802.72+17027.38+3696</f>
        <v>63526.100000000006</v>
      </c>
      <c r="K234" s="18">
        <f>600</f>
        <v>600</v>
      </c>
      <c r="L234" s="19">
        <f>SUM(F234:K234)</f>
        <v>2905490.2600000002</v>
      </c>
      <c r="M234" s="8"/>
      <c r="N234" s="265"/>
    </row>
    <row r="235" spans="1:14" s="3" customFormat="1" ht="12.2" customHeight="1" x14ac:dyDescent="0.15">
      <c r="A235" s="1" t="s">
        <v>439</v>
      </c>
      <c r="B235" s="2" t="s">
        <v>350</v>
      </c>
      <c r="C235" s="2" t="s">
        <v>291</v>
      </c>
      <c r="D235" s="2" t="s">
        <v>431</v>
      </c>
      <c r="E235" s="6">
        <v>1200</v>
      </c>
      <c r="F235" s="18">
        <f>537.92+284886.44</f>
        <v>285424.36</v>
      </c>
      <c r="G235" s="18">
        <f>41.15+118549.17+5157.7</f>
        <v>123748.01999999999</v>
      </c>
      <c r="H235" s="18">
        <f>23714.84+443387.4+43000</f>
        <v>510102.24000000005</v>
      </c>
      <c r="I235" s="18">
        <f>35.6+2677.78</f>
        <v>2713.38</v>
      </c>
      <c r="J235" s="18"/>
      <c r="K235" s="18"/>
      <c r="L235" s="19">
        <f>SUM(F235:K235)</f>
        <v>921988.00000000012</v>
      </c>
      <c r="M235" s="8"/>
      <c r="N235" s="265"/>
    </row>
    <row r="236" spans="1:14" s="3" customFormat="1" ht="12.2" customHeight="1" x14ac:dyDescent="0.15">
      <c r="A236" s="1" t="s">
        <v>440</v>
      </c>
      <c r="B236" s="2" t="s">
        <v>350</v>
      </c>
      <c r="C236" s="2" t="s">
        <v>292</v>
      </c>
      <c r="D236" s="2" t="s">
        <v>431</v>
      </c>
      <c r="E236" s="6">
        <v>1300</v>
      </c>
      <c r="F236" s="18">
        <f>472536.28</f>
        <v>472536.28</v>
      </c>
      <c r="G236" s="18">
        <f>237027.63+3395.07</f>
        <v>240422.7</v>
      </c>
      <c r="H236" s="18">
        <f>4826.19</f>
        <v>4826.1899999999996</v>
      </c>
      <c r="I236" s="18">
        <f>35157.22</f>
        <v>35157.22</v>
      </c>
      <c r="J236" s="18">
        <f>2900.13</f>
        <v>2900.13</v>
      </c>
      <c r="K236" s="18"/>
      <c r="L236" s="19">
        <f>SUM(F236:K236)</f>
        <v>755842.5199999999</v>
      </c>
      <c r="M236" s="8"/>
      <c r="N236" s="265"/>
    </row>
    <row r="237" spans="1:14" s="3" customFormat="1" ht="12.2" customHeight="1" x14ac:dyDescent="0.15">
      <c r="A237" s="1" t="s">
        <v>441</v>
      </c>
      <c r="B237" s="2" t="s">
        <v>350</v>
      </c>
      <c r="C237" s="2" t="s">
        <v>293</v>
      </c>
      <c r="D237" s="2" t="s">
        <v>431</v>
      </c>
      <c r="E237" s="6">
        <v>1400</v>
      </c>
      <c r="F237" s="18">
        <f>19520+105128.04</f>
        <v>124648.04</v>
      </c>
      <c r="G237" s="18">
        <f>5112.82+20527.54+895.57</f>
        <v>26535.93</v>
      </c>
      <c r="H237" s="18">
        <f>41235</f>
        <v>41235</v>
      </c>
      <c r="I237" s="18">
        <f>317+24783.49</f>
        <v>25100.49</v>
      </c>
      <c r="J237" s="18">
        <f>4321.13</f>
        <v>4321.13</v>
      </c>
      <c r="K237" s="18">
        <f>480+12551</f>
        <v>13031</v>
      </c>
      <c r="L237" s="19">
        <f>SUM(F237:K237)</f>
        <v>234871.59</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29554.28+20006.63+195252.16+49752.71</f>
        <v>294565.78000000003</v>
      </c>
      <c r="G239" s="18">
        <f>11501.76+8327.76+77748.42+35706.74+2116.39</f>
        <v>135401.07</v>
      </c>
      <c r="H239" s="18">
        <f>5032+2135.7+2469.99+2787.06+1648</f>
        <v>14072.749999999998</v>
      </c>
      <c r="I239" s="18">
        <f>726.1+277.08+5999.65+2057.04</f>
        <v>9059.869999999999</v>
      </c>
      <c r="J239" s="18"/>
      <c r="K239" s="18">
        <f>254</f>
        <v>254</v>
      </c>
      <c r="L239" s="19">
        <f t="shared" ref="L239:L245" si="4">SUM(F239:K239)</f>
        <v>453353.47000000003</v>
      </c>
      <c r="M239" s="8"/>
      <c r="N239" s="265"/>
    </row>
    <row r="240" spans="1:14" s="3" customFormat="1" ht="12.2" customHeight="1" x14ac:dyDescent="0.15">
      <c r="A240" s="1" t="s">
        <v>443</v>
      </c>
      <c r="B240" s="2" t="s">
        <v>350</v>
      </c>
      <c r="C240" s="2" t="s">
        <v>295</v>
      </c>
      <c r="D240" s="2" t="s">
        <v>431</v>
      </c>
      <c r="E240" s="6">
        <v>2200</v>
      </c>
      <c r="F240" s="18">
        <f>56466</f>
        <v>56466</v>
      </c>
      <c r="G240" s="18">
        <f>33189+24670.4+405.7</f>
        <v>58265.1</v>
      </c>
      <c r="H240" s="18">
        <f>1466.25+1364.88+2493.79</f>
        <v>5324.92</v>
      </c>
      <c r="I240" s="18">
        <f>3825+5906.7</f>
        <v>9731.7000000000007</v>
      </c>
      <c r="J240" s="18"/>
      <c r="K240" s="18"/>
      <c r="L240" s="19">
        <f t="shared" si="4"/>
        <v>129787.72</v>
      </c>
      <c r="M240" s="8"/>
      <c r="N240" s="265"/>
    </row>
    <row r="241" spans="1:14" s="3" customFormat="1" ht="12.2" customHeight="1" x14ac:dyDescent="0.15">
      <c r="A241" s="1" t="s">
        <v>444</v>
      </c>
      <c r="B241" s="2" t="s">
        <v>350</v>
      </c>
      <c r="C241" s="2" t="s">
        <v>296</v>
      </c>
      <c r="D241" s="2" t="s">
        <v>431</v>
      </c>
      <c r="E241" s="6">
        <v>2300</v>
      </c>
      <c r="F241" s="18">
        <f>59392.48+40816.85+78296.99</f>
        <v>178506.32</v>
      </c>
      <c r="G241" s="18">
        <f>21582.44+11207.82+30471.97+719.98</f>
        <v>63982.21</v>
      </c>
      <c r="H241" s="18">
        <f>4489.5+11220.98+2543.32+2296.29</f>
        <v>20550.09</v>
      </c>
      <c r="I241" s="18">
        <f>10325.06+180.21</f>
        <v>10505.269999999999</v>
      </c>
      <c r="J241" s="18">
        <f>187+1869.37</f>
        <v>2056.37</v>
      </c>
      <c r="K241" s="18">
        <f>9253.63+1500+2734.63+413.7</f>
        <v>13901.96</v>
      </c>
      <c r="L241" s="19">
        <f t="shared" si="4"/>
        <v>289502.22000000003</v>
      </c>
      <c r="M241" s="8"/>
      <c r="N241" s="265"/>
    </row>
    <row r="242" spans="1:14" s="3" customFormat="1" ht="12.2" customHeight="1" x14ac:dyDescent="0.15">
      <c r="A242" s="1" t="s">
        <v>445</v>
      </c>
      <c r="B242" s="2" t="s">
        <v>350</v>
      </c>
      <c r="C242" s="2" t="s">
        <v>297</v>
      </c>
      <c r="D242" s="2" t="s">
        <v>431</v>
      </c>
      <c r="E242" s="6">
        <v>2400</v>
      </c>
      <c r="F242" s="18">
        <f>173276.24</f>
        <v>173276.24</v>
      </c>
      <c r="G242" s="18">
        <f>76615.6+1244.95</f>
        <v>77860.55</v>
      </c>
      <c r="H242" s="18">
        <f>10793.47</f>
        <v>10793.47</v>
      </c>
      <c r="I242" s="18">
        <f>4995.74</f>
        <v>4995.74</v>
      </c>
      <c r="J242" s="18"/>
      <c r="K242" s="18">
        <f>5295</f>
        <v>5295</v>
      </c>
      <c r="L242" s="19">
        <f t="shared" si="4"/>
        <v>272221</v>
      </c>
      <c r="M242" s="8"/>
      <c r="N242" s="265"/>
    </row>
    <row r="243" spans="1:14" s="3" customFormat="1" ht="12.2" customHeight="1" x14ac:dyDescent="0.15">
      <c r="A243" s="1" t="s">
        <v>446</v>
      </c>
      <c r="B243" s="2" t="s">
        <v>350</v>
      </c>
      <c r="C243" s="2" t="s">
        <v>298</v>
      </c>
      <c r="D243" s="2" t="s">
        <v>431</v>
      </c>
      <c r="E243" s="6">
        <v>2500</v>
      </c>
      <c r="F243" s="18">
        <f>57170.06</f>
        <v>57170.06</v>
      </c>
      <c r="G243" s="18">
        <f>17617.06+367.65</f>
        <v>17984.710000000003</v>
      </c>
      <c r="H243" s="18">
        <f>4327.83</f>
        <v>4327.83</v>
      </c>
      <c r="I243" s="18"/>
      <c r="J243" s="18"/>
      <c r="K243" s="18">
        <f>170</f>
        <v>170</v>
      </c>
      <c r="L243" s="19">
        <f t="shared" si="4"/>
        <v>79652.600000000006</v>
      </c>
      <c r="M243" s="8"/>
      <c r="N243" s="265"/>
    </row>
    <row r="244" spans="1:14" s="3" customFormat="1" ht="12.2" customHeight="1" x14ac:dyDescent="0.15">
      <c r="A244" s="1" t="s">
        <v>447</v>
      </c>
      <c r="B244" s="2" t="s">
        <v>350</v>
      </c>
      <c r="C244" s="2" t="s">
        <v>299</v>
      </c>
      <c r="D244" s="2" t="s">
        <v>431</v>
      </c>
      <c r="E244" s="6">
        <v>2600</v>
      </c>
      <c r="F244" s="18">
        <f>68825.8+77521.08</f>
        <v>146346.88</v>
      </c>
      <c r="G244" s="18">
        <f>32543.1+40873.26+1051.47</f>
        <v>74467.83</v>
      </c>
      <c r="H244" s="18">
        <f>62496.44+4403.96</f>
        <v>66900.400000000009</v>
      </c>
      <c r="I244" s="18">
        <f>35846.55+219737.05</f>
        <v>255583.59999999998</v>
      </c>
      <c r="J244" s="18">
        <f>5965.41</f>
        <v>5965.41</v>
      </c>
      <c r="K244" s="18">
        <f>8.4</f>
        <v>8.4</v>
      </c>
      <c r="L244" s="19">
        <f t="shared" si="4"/>
        <v>549272.52</v>
      </c>
      <c r="M244" s="8"/>
      <c r="N244" s="265"/>
    </row>
    <row r="245" spans="1:14" s="3" customFormat="1" ht="12.2" customHeight="1" x14ac:dyDescent="0.15">
      <c r="A245" s="1" t="s">
        <v>448</v>
      </c>
      <c r="B245" s="2" t="s">
        <v>350</v>
      </c>
      <c r="C245" s="2" t="s">
        <v>300</v>
      </c>
      <c r="D245" s="2" t="s">
        <v>431</v>
      </c>
      <c r="E245" s="6">
        <v>2700</v>
      </c>
      <c r="F245" s="18">
        <f>24797.9+11150.71+1974.8</f>
        <v>37923.410000000003</v>
      </c>
      <c r="G245" s="18">
        <f>5309.21+852.74+150.97+272.47</f>
        <v>6585.39</v>
      </c>
      <c r="H245" s="18">
        <f>7845.92</f>
        <v>7845.92</v>
      </c>
      <c r="I245" s="18">
        <f>8457.38</f>
        <v>8457.3799999999992</v>
      </c>
      <c r="J245" s="18"/>
      <c r="K245" s="18">
        <f>43.68</f>
        <v>43.68</v>
      </c>
      <c r="L245" s="19">
        <f t="shared" si="4"/>
        <v>60855.78</v>
      </c>
      <c r="M245" s="8"/>
      <c r="N245" s="265"/>
    </row>
    <row r="246" spans="1:14" s="3" customFormat="1" ht="12.2" customHeight="1" x14ac:dyDescent="0.15">
      <c r="A246" s="1" t="s">
        <v>449</v>
      </c>
      <c r="B246" s="2" t="s">
        <v>350</v>
      </c>
      <c r="C246" s="2" t="s">
        <v>343</v>
      </c>
      <c r="D246" s="2" t="s">
        <v>431</v>
      </c>
      <c r="E246" s="6">
        <v>2800</v>
      </c>
      <c r="F246" s="18">
        <f>485.71</f>
        <v>485.71</v>
      </c>
      <c r="G246" s="18">
        <f>37.16+3.49</f>
        <v>40.65</v>
      </c>
      <c r="H246" s="18"/>
      <c r="I246" s="18"/>
      <c r="J246" s="18"/>
      <c r="K246" s="18"/>
      <c r="L246" s="19">
        <f>SUM(F246:K246)</f>
        <v>526.36</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3707904.9199999995</v>
      </c>
      <c r="G248" s="41">
        <f t="shared" si="5"/>
        <v>1698624.2</v>
      </c>
      <c r="H248" s="41">
        <f t="shared" si="5"/>
        <v>720206.37</v>
      </c>
      <c r="I248" s="41">
        <f t="shared" si="5"/>
        <v>414555.37</v>
      </c>
      <c r="J248" s="41">
        <f t="shared" si="5"/>
        <v>78769.140000000014</v>
      </c>
      <c r="K248" s="41">
        <f t="shared" si="5"/>
        <v>33304.04</v>
      </c>
      <c r="L248" s="41">
        <f t="shared" si="5"/>
        <v>6653364.0399999991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10439910.549999999</v>
      </c>
      <c r="G258" s="41">
        <f t="shared" si="8"/>
        <v>4542232.5</v>
      </c>
      <c r="H258" s="41">
        <f t="shared" si="8"/>
        <v>2203850.02</v>
      </c>
      <c r="I258" s="41">
        <f t="shared" si="8"/>
        <v>884578.19000000006</v>
      </c>
      <c r="J258" s="41">
        <f t="shared" si="8"/>
        <v>261702.09000000003</v>
      </c>
      <c r="K258" s="41">
        <f t="shared" si="8"/>
        <v>63705.919999999998</v>
      </c>
      <c r="L258" s="41">
        <f t="shared" si="8"/>
        <v>18395979.27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23572</v>
      </c>
      <c r="L261" s="19">
        <f>SUM(F261:K261)</f>
        <v>23572</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5652.71</v>
      </c>
      <c r="L262" s="19">
        <f>SUM(F262:K262)</f>
        <v>5652.71</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29224.71</v>
      </c>
      <c r="L271" s="41">
        <f t="shared" si="9"/>
        <v>29224.71</v>
      </c>
      <c r="M271" s="8"/>
      <c r="N271" s="265"/>
    </row>
    <row r="272" spans="1:14" s="34" customFormat="1" ht="12.2" customHeight="1" thickTop="1" x14ac:dyDescent="0.2">
      <c r="A272" s="43" t="s">
        <v>464</v>
      </c>
      <c r="B272" s="40">
        <v>10</v>
      </c>
      <c r="C272" s="40">
        <v>18</v>
      </c>
      <c r="D272" s="39" t="s">
        <v>431</v>
      </c>
      <c r="E272" s="40"/>
      <c r="F272" s="42">
        <f t="shared" ref="F272:L272" si="11">F258+F271</f>
        <v>10439910.549999999</v>
      </c>
      <c r="G272" s="42">
        <f t="shared" si="11"/>
        <v>4542232.5</v>
      </c>
      <c r="H272" s="42">
        <f t="shared" si="11"/>
        <v>2203850.02</v>
      </c>
      <c r="I272" s="42">
        <f t="shared" si="11"/>
        <v>884578.19000000006</v>
      </c>
      <c r="J272" s="42">
        <f t="shared" si="11"/>
        <v>261702.09000000003</v>
      </c>
      <c r="K272" s="42">
        <f t="shared" si="11"/>
        <v>92930.63</v>
      </c>
      <c r="L272" s="42">
        <f t="shared" si="11"/>
        <v>18425203.98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134893.73+71286.38</f>
        <v>206180.11000000002</v>
      </c>
      <c r="G277" s="18">
        <f>27864.91+40308.31</f>
        <v>68173.22</v>
      </c>
      <c r="H277" s="18">
        <f>47463.9+235.46+4191.25+1500</f>
        <v>53390.61</v>
      </c>
      <c r="I277" s="18">
        <f>3308.66+2574+163160.3+1434.55</f>
        <v>170477.50999999998</v>
      </c>
      <c r="J277" s="18">
        <f>6160+9196.47</f>
        <v>15356.47</v>
      </c>
      <c r="K277" s="18"/>
      <c r="L277" s="19">
        <f>SUM(F277:K277)</f>
        <v>513577.91999999993</v>
      </c>
      <c r="M277" s="8"/>
      <c r="N277" s="265"/>
    </row>
    <row r="278" spans="1:14" s="3" customFormat="1" ht="12.2" customHeight="1" x14ac:dyDescent="0.15">
      <c r="A278" s="1" t="s">
        <v>439</v>
      </c>
      <c r="B278" s="2" t="s">
        <v>357</v>
      </c>
      <c r="C278" s="2" t="s">
        <v>291</v>
      </c>
      <c r="D278" s="2" t="s">
        <v>431</v>
      </c>
      <c r="E278" s="6">
        <v>1200</v>
      </c>
      <c r="F278" s="18">
        <f>114376.29+492849.4</f>
        <v>607225.69000000006</v>
      </c>
      <c r="G278" s="18">
        <f>32519.7+177794.43</f>
        <v>210314.13</v>
      </c>
      <c r="H278" s="18">
        <f>6491.32+28800</f>
        <v>35291.32</v>
      </c>
      <c r="I278" s="18">
        <f>257.26+20176.25+3873.41</f>
        <v>24306.92</v>
      </c>
      <c r="J278" s="18">
        <f>5292.83+2500+1517.56</f>
        <v>9310.39</v>
      </c>
      <c r="K278" s="18">
        <f>9463.22</f>
        <v>9463.2199999999993</v>
      </c>
      <c r="L278" s="19">
        <f>SUM(F278:K278)</f>
        <v>895911.67</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f>153254.92</f>
        <v>153254.92000000001</v>
      </c>
      <c r="G280" s="18">
        <f>19002.31+12149.82</f>
        <v>31152.13</v>
      </c>
      <c r="H280" s="18">
        <f>1991.34</f>
        <v>1991.34</v>
      </c>
      <c r="I280" s="18">
        <f>7501.69</f>
        <v>7501.69</v>
      </c>
      <c r="J280" s="18">
        <f>5428.11+1300</f>
        <v>6728.11</v>
      </c>
      <c r="K280" s="18"/>
      <c r="L280" s="19">
        <f>SUM(F280:K280)</f>
        <v>200628.19</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f>83.6+3520</f>
        <v>3603.6</v>
      </c>
      <c r="I282" s="18">
        <f>361.14+96.7</f>
        <v>457.84</v>
      </c>
      <c r="J282" s="18"/>
      <c r="K282" s="18"/>
      <c r="L282" s="19">
        <f t="shared" ref="L282:L288" si="12">SUM(F282:K282)</f>
        <v>4061.44</v>
      </c>
      <c r="M282" s="8"/>
      <c r="N282" s="265"/>
    </row>
    <row r="283" spans="1:14" s="3" customFormat="1" ht="12.2" customHeight="1" x14ac:dyDescent="0.15">
      <c r="A283" s="1" t="s">
        <v>443</v>
      </c>
      <c r="B283" s="2" t="s">
        <v>357</v>
      </c>
      <c r="C283" s="2" t="s">
        <v>295</v>
      </c>
      <c r="D283" s="2" t="s">
        <v>431</v>
      </c>
      <c r="E283" s="6">
        <v>2200</v>
      </c>
      <c r="F283" s="18"/>
      <c r="G283" s="18"/>
      <c r="H283" s="18">
        <f>5654.44+2640</f>
        <v>8294.4399999999987</v>
      </c>
      <c r="I283" s="18"/>
      <c r="J283" s="18"/>
      <c r="K283" s="18"/>
      <c r="L283" s="19">
        <f t="shared" si="12"/>
        <v>8294.4399999999987</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f>7005.02</f>
        <v>7005.02</v>
      </c>
      <c r="G286" s="18">
        <f>1033.65+511.46+984.73</f>
        <v>2529.84</v>
      </c>
      <c r="H286" s="18"/>
      <c r="I286" s="18"/>
      <c r="J286" s="18"/>
      <c r="K286" s="18"/>
      <c r="L286" s="19">
        <f t="shared" si="12"/>
        <v>9534.86</v>
      </c>
      <c r="M286" s="8"/>
      <c r="N286" s="265"/>
    </row>
    <row r="287" spans="1:14" s="3" customFormat="1" ht="12.2" customHeight="1" x14ac:dyDescent="0.15">
      <c r="A287" s="1" t="s">
        <v>447</v>
      </c>
      <c r="B287" s="2" t="s">
        <v>357</v>
      </c>
      <c r="C287" s="2" t="s">
        <v>299</v>
      </c>
      <c r="D287" s="2" t="s">
        <v>431</v>
      </c>
      <c r="E287" s="6">
        <v>2600</v>
      </c>
      <c r="F287" s="18"/>
      <c r="G287" s="18"/>
      <c r="H287" s="18"/>
      <c r="I287" s="18">
        <f>4530.12</f>
        <v>4530.12</v>
      </c>
      <c r="J287" s="18"/>
      <c r="K287" s="18"/>
      <c r="L287" s="19">
        <f t="shared" si="12"/>
        <v>4530.12</v>
      </c>
      <c r="M287" s="8"/>
      <c r="N287" s="265"/>
    </row>
    <row r="288" spans="1:14" s="3" customFormat="1" ht="12.2" customHeight="1" x14ac:dyDescent="0.15">
      <c r="A288" s="1" t="s">
        <v>448</v>
      </c>
      <c r="B288" s="2" t="s">
        <v>357</v>
      </c>
      <c r="C288" s="2" t="s">
        <v>300</v>
      </c>
      <c r="D288" s="2" t="s">
        <v>431</v>
      </c>
      <c r="E288" s="6">
        <v>2700</v>
      </c>
      <c r="F288" s="18"/>
      <c r="G288" s="18"/>
      <c r="H288" s="18">
        <f>1143.92</f>
        <v>1143.92</v>
      </c>
      <c r="I288" s="18"/>
      <c r="J288" s="18">
        <f>88572.8</f>
        <v>88572.800000000003</v>
      </c>
      <c r="K288" s="18"/>
      <c r="L288" s="19">
        <f t="shared" si="12"/>
        <v>89716.72</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973665.74000000011</v>
      </c>
      <c r="G291" s="42">
        <f t="shared" si="13"/>
        <v>312169.32</v>
      </c>
      <c r="H291" s="42">
        <f t="shared" si="13"/>
        <v>103715.23</v>
      </c>
      <c r="I291" s="42">
        <f t="shared" si="13"/>
        <v>207274.08</v>
      </c>
      <c r="J291" s="42">
        <f t="shared" si="13"/>
        <v>119967.77</v>
      </c>
      <c r="K291" s="42">
        <f t="shared" si="13"/>
        <v>9463.2199999999993</v>
      </c>
      <c r="L291" s="41">
        <f t="shared" si="13"/>
        <v>1726255.3599999999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f>67446.86+2158</f>
        <v>69604.86</v>
      </c>
      <c r="G296" s="18">
        <f>13932.46+618.7</f>
        <v>14551.16</v>
      </c>
      <c r="H296" s="18">
        <f>23731.95+117.73+2095.63</f>
        <v>25945.31</v>
      </c>
      <c r="I296" s="18">
        <f>1654.33+1287+729.28+717.27</f>
        <v>4387.8799999999992</v>
      </c>
      <c r="J296" s="18">
        <f>3080+2014.14</f>
        <v>5094.1400000000003</v>
      </c>
      <c r="K296" s="18"/>
      <c r="L296" s="19">
        <f>SUM(F296:K296)</f>
        <v>119583.35</v>
      </c>
      <c r="M296" s="8"/>
      <c r="N296" s="265"/>
    </row>
    <row r="297" spans="1:14" s="3" customFormat="1" ht="12.2" customHeight="1" x14ac:dyDescent="0.15">
      <c r="A297" s="1" t="s">
        <v>439</v>
      </c>
      <c r="B297" s="2" t="s">
        <v>358</v>
      </c>
      <c r="C297" s="2" t="s">
        <v>291</v>
      </c>
      <c r="D297" s="2" t="s">
        <v>431</v>
      </c>
      <c r="E297" s="6">
        <v>1200</v>
      </c>
      <c r="F297" s="18">
        <f>49018.41</f>
        <v>49018.41</v>
      </c>
      <c r="G297" s="18">
        <f>13937.02</f>
        <v>13937.02</v>
      </c>
      <c r="H297" s="18">
        <f>2782</f>
        <v>2782</v>
      </c>
      <c r="I297" s="18">
        <f>110.25+1660.04</f>
        <v>1770.29</v>
      </c>
      <c r="J297" s="18">
        <f>442.62</f>
        <v>442.62</v>
      </c>
      <c r="K297" s="18"/>
      <c r="L297" s="19">
        <f>SUM(F297:K297)</f>
        <v>67950.34</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f>18941.62</f>
        <v>18941.62</v>
      </c>
      <c r="G299" s="18">
        <f>2348.6+1501.66</f>
        <v>3850.26</v>
      </c>
      <c r="H299" s="18">
        <f>246.12</f>
        <v>246.12</v>
      </c>
      <c r="I299" s="18">
        <f>927.18</f>
        <v>927.18</v>
      </c>
      <c r="J299" s="18">
        <f>670.89</f>
        <v>670.89</v>
      </c>
      <c r="K299" s="18"/>
      <c r="L299" s="19">
        <f>SUM(F299:K299)</f>
        <v>24636.069999999996</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f>12324.38+16938.57</f>
        <v>29262.949999999997</v>
      </c>
      <c r="G301" s="18">
        <f>2622.25+3677.74</f>
        <v>6299.99</v>
      </c>
      <c r="H301" s="18">
        <f>41.8+1760</f>
        <v>1801.8</v>
      </c>
      <c r="I301" s="18">
        <f>180.57+48.35</f>
        <v>228.92</v>
      </c>
      <c r="J301" s="18"/>
      <c r="K301" s="18"/>
      <c r="L301" s="19">
        <f t="shared" ref="L301:L307" si="14">SUM(F301:K301)</f>
        <v>37593.659999999996</v>
      </c>
      <c r="M301" s="8"/>
      <c r="N301" s="265"/>
    </row>
    <row r="302" spans="1:14" s="3" customFormat="1" ht="12.2" customHeight="1" x14ac:dyDescent="0.15">
      <c r="A302" s="1" t="s">
        <v>443</v>
      </c>
      <c r="B302" s="2" t="s">
        <v>358</v>
      </c>
      <c r="C302" s="2" t="s">
        <v>295</v>
      </c>
      <c r="D302" s="2" t="s">
        <v>431</v>
      </c>
      <c r="E302" s="6">
        <v>2200</v>
      </c>
      <c r="F302" s="18"/>
      <c r="G302" s="18"/>
      <c r="H302" s="18">
        <f>2827.22+1320</f>
        <v>4147.2199999999993</v>
      </c>
      <c r="I302" s="18"/>
      <c r="J302" s="18"/>
      <c r="K302" s="18"/>
      <c r="L302" s="19">
        <f t="shared" si="14"/>
        <v>4147.2199999999993</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f>3002.15</f>
        <v>3002.15</v>
      </c>
      <c r="G305" s="18">
        <f>443+219.2+422.02</f>
        <v>1084.22</v>
      </c>
      <c r="H305" s="18"/>
      <c r="I305" s="18"/>
      <c r="J305" s="18"/>
      <c r="K305" s="18"/>
      <c r="L305" s="19">
        <f t="shared" si="14"/>
        <v>4086.37</v>
      </c>
      <c r="M305" s="8"/>
      <c r="N305" s="265"/>
    </row>
    <row r="306" spans="1:14" s="3" customFormat="1" ht="12.2" customHeight="1" x14ac:dyDescent="0.15">
      <c r="A306" s="1" t="s">
        <v>447</v>
      </c>
      <c r="B306" s="2" t="s">
        <v>358</v>
      </c>
      <c r="C306" s="2" t="s">
        <v>299</v>
      </c>
      <c r="D306" s="2" t="s">
        <v>431</v>
      </c>
      <c r="E306" s="6">
        <v>2600</v>
      </c>
      <c r="F306" s="18"/>
      <c r="G306" s="18"/>
      <c r="H306" s="18"/>
      <c r="I306" s="18">
        <f>2265.07</f>
        <v>2265.0700000000002</v>
      </c>
      <c r="J306" s="18"/>
      <c r="K306" s="18"/>
      <c r="L306" s="19">
        <f t="shared" si="14"/>
        <v>2265.0700000000002</v>
      </c>
      <c r="M306" s="8"/>
      <c r="N306" s="265"/>
    </row>
    <row r="307" spans="1:14" s="3" customFormat="1" ht="12.2" customHeight="1" x14ac:dyDescent="0.15">
      <c r="A307" s="1" t="s">
        <v>448</v>
      </c>
      <c r="B307" s="2" t="s">
        <v>358</v>
      </c>
      <c r="C307" s="2" t="s">
        <v>300</v>
      </c>
      <c r="D307" s="2" t="s">
        <v>431</v>
      </c>
      <c r="E307" s="6">
        <v>2700</v>
      </c>
      <c r="F307" s="18"/>
      <c r="G307" s="18"/>
      <c r="H307" s="18">
        <f>141.38</f>
        <v>141.38</v>
      </c>
      <c r="I307" s="18"/>
      <c r="J307" s="18">
        <f>10947.2</f>
        <v>10947.2</v>
      </c>
      <c r="K307" s="18"/>
      <c r="L307" s="19">
        <f t="shared" si="14"/>
        <v>11088.58</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169829.99000000002</v>
      </c>
      <c r="G310" s="42">
        <f t="shared" si="15"/>
        <v>39722.65</v>
      </c>
      <c r="H310" s="42">
        <f t="shared" si="15"/>
        <v>35063.829999999994</v>
      </c>
      <c r="I310" s="42">
        <f t="shared" si="15"/>
        <v>9579.34</v>
      </c>
      <c r="J310" s="42">
        <f t="shared" si="15"/>
        <v>17154.850000000002</v>
      </c>
      <c r="K310" s="42">
        <f t="shared" si="15"/>
        <v>0</v>
      </c>
      <c r="L310" s="41">
        <f t="shared" si="15"/>
        <v>271350.66000000003</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f>104236.06</f>
        <v>104236.06</v>
      </c>
      <c r="G315" s="18">
        <f>21531.98</f>
        <v>21531.98</v>
      </c>
      <c r="H315" s="18">
        <f>36676.65+181.95+3238.7+1905.56</f>
        <v>42002.859999999993</v>
      </c>
      <c r="I315" s="18">
        <f>2556.69+1989+1108.52</f>
        <v>5654.2100000000009</v>
      </c>
      <c r="J315" s="18">
        <f>4760+4</f>
        <v>4764</v>
      </c>
      <c r="K315" s="18"/>
      <c r="L315" s="19">
        <f>SUM(F315:K315)</f>
        <v>178189.11</v>
      </c>
      <c r="M315" s="8"/>
      <c r="N315" s="265"/>
    </row>
    <row r="316" spans="1:14" s="3" customFormat="1" ht="12.2" customHeight="1" x14ac:dyDescent="0.15">
      <c r="A316" s="1" t="s">
        <v>439</v>
      </c>
      <c r="B316" s="2" t="s">
        <v>359</v>
      </c>
      <c r="C316" s="2" t="s">
        <v>291</v>
      </c>
      <c r="D316" s="2" t="s">
        <v>431</v>
      </c>
      <c r="E316" s="6">
        <v>1200</v>
      </c>
      <c r="F316" s="18">
        <f>70026.3</f>
        <v>70026.3</v>
      </c>
      <c r="G316" s="18">
        <f>19910.03</f>
        <v>19910.03</v>
      </c>
      <c r="H316" s="18">
        <f>3974.28</f>
        <v>3974.28</v>
      </c>
      <c r="I316" s="18">
        <f>157.5+5300+2371.48</f>
        <v>7828.98</v>
      </c>
      <c r="J316" s="18">
        <f>147.54</f>
        <v>147.54</v>
      </c>
      <c r="K316" s="18"/>
      <c r="L316" s="19">
        <f>SUM(F316:K316)</f>
        <v>101887.12999999999</v>
      </c>
      <c r="M316" s="8"/>
      <c r="N316" s="265"/>
    </row>
    <row r="317" spans="1:14" s="3" customFormat="1" ht="12.2" customHeight="1" x14ac:dyDescent="0.15">
      <c r="A317" s="1" t="s">
        <v>440</v>
      </c>
      <c r="B317" s="2" t="s">
        <v>359</v>
      </c>
      <c r="C317" s="2" t="s">
        <v>292</v>
      </c>
      <c r="D317" s="2" t="s">
        <v>431</v>
      </c>
      <c r="E317" s="6">
        <v>1300</v>
      </c>
      <c r="F317" s="18">
        <f>714</f>
        <v>714</v>
      </c>
      <c r="G317" s="18">
        <f>204.71</f>
        <v>204.71</v>
      </c>
      <c r="H317" s="18"/>
      <c r="I317" s="18">
        <f>12224.56</f>
        <v>12224.56</v>
      </c>
      <c r="J317" s="18">
        <f>47240.8+8496.89</f>
        <v>55737.69</v>
      </c>
      <c r="K317" s="18">
        <f>7042.22</f>
        <v>7042.22</v>
      </c>
      <c r="L317" s="19">
        <f>SUM(F317:K317)</f>
        <v>75923.180000000008</v>
      </c>
      <c r="M317" s="8"/>
      <c r="N317" s="265"/>
    </row>
    <row r="318" spans="1:14" s="3" customFormat="1" ht="12.2" customHeight="1" x14ac:dyDescent="0.15">
      <c r="A318" s="1" t="s">
        <v>441</v>
      </c>
      <c r="B318" s="2" t="s">
        <v>359</v>
      </c>
      <c r="C318" s="2" t="s">
        <v>293</v>
      </c>
      <c r="D318" s="2" t="s">
        <v>431</v>
      </c>
      <c r="E318" s="6">
        <v>1400</v>
      </c>
      <c r="F318" s="18"/>
      <c r="G318" s="18"/>
      <c r="H318" s="18"/>
      <c r="I318" s="18"/>
      <c r="J318" s="18">
        <f>51.44</f>
        <v>51.44</v>
      </c>
      <c r="K318" s="18"/>
      <c r="L318" s="19">
        <f>SUM(F318:K318)</f>
        <v>51.44</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f>21571.43</f>
        <v>21571.43</v>
      </c>
      <c r="G320" s="18">
        <f>4549.1</f>
        <v>4549.1000000000004</v>
      </c>
      <c r="H320" s="18">
        <f>64.6+2720</f>
        <v>2784.6</v>
      </c>
      <c r="I320" s="18">
        <f>279.06+74.73+1666.12</f>
        <v>2019.9099999999999</v>
      </c>
      <c r="J320" s="18"/>
      <c r="K320" s="18"/>
      <c r="L320" s="19">
        <f t="shared" ref="L320:L326" si="16">SUM(F320:K320)</f>
        <v>30925.039999999997</v>
      </c>
      <c r="M320" s="8"/>
      <c r="N320" s="265"/>
    </row>
    <row r="321" spans="1:14" s="3" customFormat="1" ht="12.2" customHeight="1" x14ac:dyDescent="0.15">
      <c r="A321" s="1" t="s">
        <v>443</v>
      </c>
      <c r="B321" s="2" t="s">
        <v>359</v>
      </c>
      <c r="C321" s="2" t="s">
        <v>295</v>
      </c>
      <c r="D321" s="2" t="s">
        <v>431</v>
      </c>
      <c r="E321" s="6">
        <v>2200</v>
      </c>
      <c r="F321" s="18"/>
      <c r="G321" s="18"/>
      <c r="H321" s="18">
        <f>4369.34+2040</f>
        <v>6409.34</v>
      </c>
      <c r="I321" s="18"/>
      <c r="J321" s="18"/>
      <c r="K321" s="18"/>
      <c r="L321" s="19">
        <f t="shared" si="16"/>
        <v>6409.34</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f>4288.79</f>
        <v>4288.79</v>
      </c>
      <c r="G324" s="18">
        <f>632.85+313.14+602.89</f>
        <v>1548.88</v>
      </c>
      <c r="H324" s="18"/>
      <c r="I324" s="18"/>
      <c r="J324" s="18"/>
      <c r="K324" s="18"/>
      <c r="L324" s="19">
        <f t="shared" si="16"/>
        <v>5837.67</v>
      </c>
      <c r="M324" s="8"/>
      <c r="N324" s="265"/>
    </row>
    <row r="325" spans="1:14" s="3" customFormat="1" ht="12.2" customHeight="1" x14ac:dyDescent="0.15">
      <c r="A325" s="1" t="s">
        <v>447</v>
      </c>
      <c r="B325" s="2" t="s">
        <v>359</v>
      </c>
      <c r="C325" s="2" t="s">
        <v>299</v>
      </c>
      <c r="D325" s="2" t="s">
        <v>431</v>
      </c>
      <c r="E325" s="6">
        <v>2600</v>
      </c>
      <c r="F325" s="18"/>
      <c r="G325" s="18"/>
      <c r="H325" s="18">
        <v>1306250</v>
      </c>
      <c r="I325" s="18">
        <f>3500.56</f>
        <v>3500.56</v>
      </c>
      <c r="J325" s="18"/>
      <c r="K325" s="18"/>
      <c r="L325" s="19">
        <f t="shared" si="16"/>
        <v>1309750.56</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200836.58</v>
      </c>
      <c r="G329" s="42">
        <f t="shared" si="17"/>
        <v>47744.69999999999</v>
      </c>
      <c r="H329" s="42">
        <f t="shared" si="17"/>
        <v>1361421.08</v>
      </c>
      <c r="I329" s="42">
        <f t="shared" si="17"/>
        <v>31228.22</v>
      </c>
      <c r="J329" s="42">
        <f t="shared" si="17"/>
        <v>60700.670000000006</v>
      </c>
      <c r="K329" s="42">
        <f t="shared" si="17"/>
        <v>7042.22</v>
      </c>
      <c r="L329" s="41">
        <f t="shared" si="17"/>
        <v>1708973.47</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1344332.3100000003</v>
      </c>
      <c r="G339" s="41">
        <f t="shared" si="20"/>
        <v>399636.67000000004</v>
      </c>
      <c r="H339" s="41">
        <f t="shared" si="20"/>
        <v>1500200.1400000001</v>
      </c>
      <c r="I339" s="41">
        <f t="shared" si="20"/>
        <v>248081.63999999998</v>
      </c>
      <c r="J339" s="41">
        <f t="shared" si="20"/>
        <v>197823.29</v>
      </c>
      <c r="K339" s="41">
        <f t="shared" si="20"/>
        <v>16505.439999999999</v>
      </c>
      <c r="L339" s="41">
        <f t="shared" si="20"/>
        <v>3706579.49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1344332.3100000003</v>
      </c>
      <c r="G353" s="41">
        <f>G339</f>
        <v>399636.67000000004</v>
      </c>
      <c r="H353" s="41">
        <f>H339</f>
        <v>1500200.1400000001</v>
      </c>
      <c r="I353" s="41">
        <f>I339</f>
        <v>248081.63999999998</v>
      </c>
      <c r="J353" s="41">
        <f>J339</f>
        <v>197823.29</v>
      </c>
      <c r="K353" s="47">
        <f>K339+K352</f>
        <v>16505.439999999999</v>
      </c>
      <c r="L353" s="41">
        <f>L339+L352</f>
        <v>3706579.49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f>158426.67+3264.2</f>
        <v>161690.87000000002</v>
      </c>
      <c r="G359" s="18">
        <f>29126.8+249.54</f>
        <v>29376.34</v>
      </c>
      <c r="H359" s="18">
        <f>6075.51</f>
        <v>6075.51</v>
      </c>
      <c r="I359" s="18">
        <f>157833.29</f>
        <v>157833.29</v>
      </c>
      <c r="J359" s="18">
        <f>3062.12</f>
        <v>3062.12</v>
      </c>
      <c r="K359" s="18">
        <f>718.4</f>
        <v>718.4</v>
      </c>
      <c r="L359" s="13">
        <f>SUM(F359:K359)</f>
        <v>358756.53</v>
      </c>
      <c r="M359" s="8"/>
      <c r="N359" s="265"/>
    </row>
    <row r="360" spans="1:22" s="3" customFormat="1" ht="12.2" customHeight="1" x14ac:dyDescent="0.15">
      <c r="A360" s="1" t="s">
        <v>542</v>
      </c>
      <c r="B360" s="2" t="s">
        <v>366</v>
      </c>
      <c r="C360" s="6">
        <v>2</v>
      </c>
      <c r="D360" s="2" t="s">
        <v>431</v>
      </c>
      <c r="E360" s="6"/>
      <c r="F360" s="18">
        <v>50922.86</v>
      </c>
      <c r="G360" s="18">
        <v>9362.19</v>
      </c>
      <c r="H360" s="18">
        <f>3169.84</f>
        <v>3169.84</v>
      </c>
      <c r="I360" s="18">
        <f>82347.81</f>
        <v>82347.81</v>
      </c>
      <c r="J360" s="18">
        <f>1597.63</f>
        <v>1597.63</v>
      </c>
      <c r="K360" s="18">
        <f>374.82</f>
        <v>374.82</v>
      </c>
      <c r="L360" s="19">
        <f>SUM(F360:K360)</f>
        <v>147775.15000000002</v>
      </c>
      <c r="M360" s="8"/>
      <c r="N360" s="265"/>
    </row>
    <row r="361" spans="1:22" s="3" customFormat="1" ht="12.2" customHeight="1" x14ac:dyDescent="0.15">
      <c r="A361" s="3" t="s">
        <v>543</v>
      </c>
      <c r="B361" s="2" t="s">
        <v>366</v>
      </c>
      <c r="C361" s="6">
        <v>3</v>
      </c>
      <c r="D361" s="2" t="s">
        <v>431</v>
      </c>
      <c r="E361" s="6"/>
      <c r="F361" s="18">
        <f>73555.24</f>
        <v>73555.240000000005</v>
      </c>
      <c r="G361" s="18">
        <v>13523.16</v>
      </c>
      <c r="H361" s="18">
        <f>3962.3</f>
        <v>3962.3</v>
      </c>
      <c r="I361" s="18">
        <f>102934.76</f>
        <v>102934.76</v>
      </c>
      <c r="J361" s="18">
        <f>1997.03</f>
        <v>1997.03</v>
      </c>
      <c r="K361" s="18">
        <f>468.53</f>
        <v>468.53</v>
      </c>
      <c r="L361" s="19">
        <f>SUM(F361:K361)</f>
        <v>196441.02000000002</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286168.97000000003</v>
      </c>
      <c r="G363" s="47">
        <f t="shared" si="22"/>
        <v>52261.69</v>
      </c>
      <c r="H363" s="47">
        <f t="shared" si="22"/>
        <v>13207.650000000001</v>
      </c>
      <c r="I363" s="47">
        <f t="shared" si="22"/>
        <v>343115.86</v>
      </c>
      <c r="J363" s="47">
        <f t="shared" si="22"/>
        <v>6656.78</v>
      </c>
      <c r="K363" s="47">
        <f t="shared" si="22"/>
        <v>1561.75</v>
      </c>
      <c r="L363" s="47">
        <f t="shared" si="22"/>
        <v>702972.70000000007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142829.87</f>
        <v>142829.87</v>
      </c>
      <c r="G368" s="18">
        <f>74519.93</f>
        <v>74519.929999999993</v>
      </c>
      <c r="H368" s="18">
        <f>93149.92</f>
        <v>93149.92</v>
      </c>
      <c r="I368" s="56">
        <f>SUM(F368:H368)</f>
        <v>310499.71999999997</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15003.42</f>
        <v>15003.42</v>
      </c>
      <c r="G369" s="63">
        <f>7827.88</f>
        <v>7827.88</v>
      </c>
      <c r="H369" s="63">
        <f>9784.84</f>
        <v>9784.84</v>
      </c>
      <c r="I369" s="56">
        <f>SUM(F369:H369)</f>
        <v>32616.14</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157833.29</v>
      </c>
      <c r="G370" s="47">
        <f>SUM(G368:G369)</f>
        <v>82347.81</v>
      </c>
      <c r="H370" s="47">
        <f>SUM(H368:H369)</f>
        <v>102934.76</v>
      </c>
      <c r="I370" s="47">
        <f>SUM(I368:I369)</f>
        <v>343115.86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c r="G466" s="18">
        <v>118221.5</v>
      </c>
      <c r="H466" s="18"/>
      <c r="I466" s="18"/>
      <c r="J466" s="18"/>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thickBot="1" x14ac:dyDescent="0.25">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thickTop="1" x14ac:dyDescent="0.2">
      <c r="A469" s="93" t="s">
        <v>610</v>
      </c>
      <c r="B469" s="75">
        <v>19</v>
      </c>
      <c r="C469" s="80">
        <v>2</v>
      </c>
      <c r="D469" s="2" t="s">
        <v>432</v>
      </c>
      <c r="E469" s="80"/>
      <c r="F469" s="372">
        <v>18425203.98</v>
      </c>
      <c r="G469" s="18">
        <v>945326</v>
      </c>
      <c r="H469" s="18">
        <v>3570472.64</v>
      </c>
      <c r="I469" s="18"/>
      <c r="J469" s="18"/>
      <c r="K469" s="24" t="s">
        <v>288</v>
      </c>
      <c r="L469" s="24" t="s">
        <v>288</v>
      </c>
      <c r="N469" s="264"/>
    </row>
    <row r="470" spans="1:14" s="52" customFormat="1" ht="12.2" customHeight="1" x14ac:dyDescent="0.2">
      <c r="A470" s="93" t="s">
        <v>611</v>
      </c>
      <c r="B470" s="75">
        <v>19</v>
      </c>
      <c r="C470" s="80">
        <v>3</v>
      </c>
      <c r="D470" s="2" t="s">
        <v>432</v>
      </c>
      <c r="E470" s="80"/>
      <c r="F470" s="18"/>
      <c r="G470" s="18"/>
      <c r="H470" s="18">
        <v>136106.85</v>
      </c>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18425203.98</v>
      </c>
      <c r="G471" s="53">
        <f>SUM(G469:G470)</f>
        <v>945326</v>
      </c>
      <c r="H471" s="53">
        <f>SUM(H469:H470)</f>
        <v>3706579.49</v>
      </c>
      <c r="I471" s="53">
        <f>SUM(I469:I470)</f>
        <v>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18425203.98</v>
      </c>
      <c r="G473" s="18">
        <v>702972.7</v>
      </c>
      <c r="H473" s="18">
        <v>3706579.49</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18425203.98</v>
      </c>
      <c r="G475" s="53">
        <f>SUM(G473:G474)</f>
        <v>702972.7</v>
      </c>
      <c r="H475" s="53">
        <f>SUM(H473:H474)</f>
        <v>3706579.49</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0</v>
      </c>
      <c r="G477" s="53">
        <f>(G466+G471)- G475</f>
        <v>360574.80000000005</v>
      </c>
      <c r="H477" s="53">
        <f>(H466+H471)- H475</f>
        <v>0</v>
      </c>
      <c r="I477" s="53">
        <f>(I466+I471)- I475</f>
        <v>0</v>
      </c>
      <c r="J477" s="53">
        <f>(J466+J471)- J475</f>
        <v>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29</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357204.63</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2.85</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130325.33</v>
      </c>
      <c r="G496" s="18"/>
      <c r="H496" s="18"/>
      <c r="I496" s="18"/>
      <c r="J496" s="18"/>
      <c r="K496" s="53">
        <f>SUM(F496:J496)</f>
        <v>130325.33</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23572</v>
      </c>
      <c r="G498" s="18"/>
      <c r="H498" s="18"/>
      <c r="I498" s="18"/>
      <c r="J498" s="18"/>
      <c r="K498" s="53">
        <f t="shared" si="35"/>
        <v>23572</v>
      </c>
      <c r="L498" s="24" t="s">
        <v>288</v>
      </c>
      <c r="N498" s="264"/>
    </row>
    <row r="499" spans="1:14" s="52" customFormat="1" ht="12.2" customHeight="1" x14ac:dyDescent="0.2">
      <c r="A499" s="199" t="s">
        <v>622</v>
      </c>
      <c r="B499" s="200">
        <v>20</v>
      </c>
      <c r="C499" s="201">
        <v>9</v>
      </c>
      <c r="D499" s="202" t="s">
        <v>432</v>
      </c>
      <c r="E499" s="201"/>
      <c r="F499" s="203">
        <v>122788.93</v>
      </c>
      <c r="G499" s="203"/>
      <c r="H499" s="203"/>
      <c r="I499" s="203"/>
      <c r="J499" s="203"/>
      <c r="K499" s="204">
        <f t="shared" si="35"/>
        <v>122788.93</v>
      </c>
      <c r="L499" s="205" t="s">
        <v>288</v>
      </c>
      <c r="N499" s="264"/>
    </row>
    <row r="500" spans="1:14" s="52" customFormat="1" ht="12.2" customHeight="1" thickBot="1" x14ac:dyDescent="0.25">
      <c r="A500" s="22" t="s">
        <v>623</v>
      </c>
      <c r="B500" s="75">
        <v>20</v>
      </c>
      <c r="C500" s="115">
        <v>10</v>
      </c>
      <c r="D500" s="2" t="s">
        <v>432</v>
      </c>
      <c r="E500" s="115"/>
      <c r="F500" s="18">
        <v>9658.5400000000009</v>
      </c>
      <c r="G500" s="18"/>
      <c r="H500" s="18"/>
      <c r="I500" s="18"/>
      <c r="J500" s="18"/>
      <c r="K500" s="53">
        <f t="shared" si="35"/>
        <v>9658.5400000000009</v>
      </c>
      <c r="L500" s="24" t="s">
        <v>288</v>
      </c>
      <c r="N500" s="264"/>
    </row>
    <row r="501" spans="1:14" s="52" customFormat="1" ht="12.2" customHeight="1" thickTop="1" x14ac:dyDescent="0.2">
      <c r="A501" s="139" t="s">
        <v>624</v>
      </c>
      <c r="B501" s="44">
        <v>20</v>
      </c>
      <c r="C501" s="194">
        <v>11</v>
      </c>
      <c r="D501" s="39" t="s">
        <v>432</v>
      </c>
      <c r="E501" s="194"/>
      <c r="F501" s="42">
        <f>SUM(F499:F500)</f>
        <v>132447.47</v>
      </c>
      <c r="G501" s="42">
        <f>SUM(G499:G500)</f>
        <v>0</v>
      </c>
      <c r="H501" s="42">
        <f>SUM(H499:H500)</f>
        <v>0</v>
      </c>
      <c r="I501" s="42">
        <f>SUM(I499:I500)</f>
        <v>0</v>
      </c>
      <c r="J501" s="42">
        <f>SUM(J499:J500)</f>
        <v>0</v>
      </c>
      <c r="K501" s="42">
        <f t="shared" si="35"/>
        <v>132447.47</v>
      </c>
      <c r="L501" s="45" t="s">
        <v>288</v>
      </c>
      <c r="N501" s="264"/>
    </row>
    <row r="502" spans="1:14" s="52" customFormat="1" ht="12.2" customHeight="1" x14ac:dyDescent="0.2">
      <c r="A502" s="199" t="s">
        <v>651</v>
      </c>
      <c r="B502" s="200">
        <v>20</v>
      </c>
      <c r="C502" s="201">
        <v>12</v>
      </c>
      <c r="D502" s="202" t="s">
        <v>432</v>
      </c>
      <c r="E502" s="201"/>
      <c r="F502" s="203">
        <v>81853.33</v>
      </c>
      <c r="G502" s="203"/>
      <c r="H502" s="203"/>
      <c r="I502" s="203"/>
      <c r="J502" s="203"/>
      <c r="K502" s="204">
        <f t="shared" si="35"/>
        <v>81853.33</v>
      </c>
      <c r="L502" s="205" t="s">
        <v>288</v>
      </c>
      <c r="N502" s="264"/>
    </row>
    <row r="503" spans="1:14" s="52" customFormat="1" ht="12.2" customHeight="1" thickBot="1" x14ac:dyDescent="0.25">
      <c r="A503" s="22" t="s">
        <v>625</v>
      </c>
      <c r="B503" s="75">
        <v>20</v>
      </c>
      <c r="C503" s="115">
        <v>13</v>
      </c>
      <c r="D503" s="2" t="s">
        <v>432</v>
      </c>
      <c r="E503" s="115"/>
      <c r="F503" s="18">
        <v>5302.46</v>
      </c>
      <c r="G503" s="18"/>
      <c r="H503" s="18"/>
      <c r="I503" s="18"/>
      <c r="J503" s="18"/>
      <c r="K503" s="53">
        <f t="shared" si="35"/>
        <v>5302.46</v>
      </c>
      <c r="L503" s="24" t="s">
        <v>288</v>
      </c>
      <c r="N503" s="264"/>
    </row>
    <row r="504" spans="1:14" s="52" customFormat="1" ht="12.2" customHeight="1" thickTop="1" x14ac:dyDescent="0.2">
      <c r="A504" s="139" t="s">
        <v>626</v>
      </c>
      <c r="B504" s="44">
        <v>20</v>
      </c>
      <c r="C504" s="194">
        <v>14</v>
      </c>
      <c r="D504" s="39" t="s">
        <v>432</v>
      </c>
      <c r="E504" s="194"/>
      <c r="F504" s="42">
        <f>SUM(F502:F503)</f>
        <v>87155.790000000008</v>
      </c>
      <c r="G504" s="42">
        <f>SUM(G502:G503)</f>
        <v>0</v>
      </c>
      <c r="H504" s="42">
        <f>SUM(H502:H503)</f>
        <v>0</v>
      </c>
      <c r="I504" s="42">
        <f>SUM(I502:I503)</f>
        <v>0</v>
      </c>
      <c r="J504" s="42">
        <f>SUM(J502:J503)</f>
        <v>0</v>
      </c>
      <c r="K504" s="42">
        <f t="shared" si="35"/>
        <v>87155.790000000008</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878.61+825028.36+117737.03+114376.29</f>
        <v>1058020.29</v>
      </c>
      <c r="G522" s="18">
        <f>67.22+270901.74+43228.22+32519.7</f>
        <v>346716.87999999995</v>
      </c>
      <c r="H522" s="18">
        <f>38734.24+267021.63+149+3540+6491.32</f>
        <v>315936.19</v>
      </c>
      <c r="I522" s="18">
        <f>366.16+2385.18+524.13+257.26+4906.19</f>
        <v>8438.9199999999983</v>
      </c>
      <c r="J522" s="18">
        <f>2159.1</f>
        <v>2159.1</v>
      </c>
      <c r="K522" s="18"/>
      <c r="L522" s="88">
        <f>SUM(F522:K522)</f>
        <v>1731271.38</v>
      </c>
      <c r="N522" s="264"/>
    </row>
    <row r="523" spans="1:14" s="52" customFormat="1" ht="12.2" customHeight="1" x14ac:dyDescent="0.2">
      <c r="A523" s="22" t="s">
        <v>634</v>
      </c>
      <c r="B523" s="105">
        <v>21</v>
      </c>
      <c r="C523" s="115">
        <v>2</v>
      </c>
      <c r="D523" s="2" t="s">
        <v>432</v>
      </c>
      <c r="E523" s="115"/>
      <c r="F523" s="18">
        <f>376.55+432441.01+49018.41</f>
        <v>481835.97</v>
      </c>
      <c r="G523" s="18">
        <f>28.81+187864.1+13937.02</f>
        <v>201829.93</v>
      </c>
      <c r="H523" s="18">
        <f>16600.39+328365.97+2782</f>
        <v>347748.36</v>
      </c>
      <c r="I523" s="18">
        <f>106.8+1802.81+110.25+2102.66</f>
        <v>4122.5199999999995</v>
      </c>
      <c r="J523" s="18"/>
      <c r="K523" s="18"/>
      <c r="L523" s="88">
        <f>SUM(F523:K523)</f>
        <v>1035536.7799999999</v>
      </c>
      <c r="N523" s="264"/>
    </row>
    <row r="524" spans="1:14" s="52" customFormat="1" ht="12.2" customHeight="1" thickBot="1" x14ac:dyDescent="0.25">
      <c r="A524" s="22" t="s">
        <v>635</v>
      </c>
      <c r="B524" s="105">
        <v>21</v>
      </c>
      <c r="C524" s="115">
        <v>3</v>
      </c>
      <c r="D524" s="2" t="s">
        <v>432</v>
      </c>
      <c r="E524" s="115"/>
      <c r="F524" s="18">
        <f>537.92+284886.44+70026.3</f>
        <v>355450.66</v>
      </c>
      <c r="G524" s="18">
        <f>41.15+118549.17+19910.03</f>
        <v>138500.34999999998</v>
      </c>
      <c r="H524" s="18">
        <f>23714.84+443387.4+3974.28</f>
        <v>471076.52000000008</v>
      </c>
      <c r="I524" s="18">
        <f>35.6+2677.78+157.5+3003.8</f>
        <v>5874.68</v>
      </c>
      <c r="J524" s="18"/>
      <c r="K524" s="18"/>
      <c r="L524" s="88">
        <f>SUM(F524:K524)</f>
        <v>970902.21000000008</v>
      </c>
      <c r="N524" s="264"/>
    </row>
    <row r="525" spans="1:14" s="52" customFormat="1" ht="12.2" customHeight="1" thickTop="1" x14ac:dyDescent="0.2">
      <c r="A525" s="139" t="s">
        <v>63</v>
      </c>
      <c r="B525" s="107">
        <v>21</v>
      </c>
      <c r="C525" s="194">
        <v>4</v>
      </c>
      <c r="D525" s="195" t="s">
        <v>432</v>
      </c>
      <c r="E525" s="194"/>
      <c r="F525" s="108">
        <f>SUM(F522:F524)</f>
        <v>1895306.92</v>
      </c>
      <c r="G525" s="108">
        <f t="shared" ref="G525:L525" si="36">SUM(G522:G524)</f>
        <v>687047.15999999992</v>
      </c>
      <c r="H525" s="108">
        <f t="shared" si="36"/>
        <v>1134761.07</v>
      </c>
      <c r="I525" s="108">
        <f t="shared" si="36"/>
        <v>18436.12</v>
      </c>
      <c r="J525" s="108">
        <f t="shared" si="36"/>
        <v>2159.1</v>
      </c>
      <c r="K525" s="108">
        <f t="shared" si="36"/>
        <v>0</v>
      </c>
      <c r="L525" s="89">
        <f t="shared" si="36"/>
        <v>3737710.3699999996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100156.18+182917.76</f>
        <v>283073.94</v>
      </c>
      <c r="G527" s="18">
        <f>38978.17+76139.47</f>
        <v>115117.64</v>
      </c>
      <c r="H527" s="18">
        <f>22582.78+319301.66+1602</f>
        <v>343486.43999999994</v>
      </c>
      <c r="I527" s="18">
        <f>2460.67+2533.31</f>
        <v>4993.9799999999996</v>
      </c>
      <c r="J527" s="18"/>
      <c r="K527" s="18"/>
      <c r="L527" s="88">
        <f>SUM(F527:K527)</f>
        <v>746672</v>
      </c>
      <c r="M527" s="8"/>
      <c r="N527" s="265"/>
    </row>
    <row r="528" spans="1:14" s="3" customFormat="1" ht="12.2" customHeight="1" x14ac:dyDescent="0.15">
      <c r="A528" s="22" t="s">
        <v>634</v>
      </c>
      <c r="B528" s="105">
        <v>21</v>
      </c>
      <c r="C528" s="115">
        <v>6</v>
      </c>
      <c r="D528" s="2" t="s">
        <v>432</v>
      </c>
      <c r="E528" s="115"/>
      <c r="F528" s="18">
        <f>34479.99+82884.61</f>
        <v>117364.6</v>
      </c>
      <c r="G528" s="18">
        <f>13418.72+34500.7</f>
        <v>47919.42</v>
      </c>
      <c r="H528" s="18">
        <f>10232.82+39464.25+38216.75</f>
        <v>87913.82</v>
      </c>
      <c r="I528" s="18">
        <f>847.11+1147.9</f>
        <v>1995.0100000000002</v>
      </c>
      <c r="J528" s="18"/>
      <c r="K528" s="18"/>
      <c r="L528" s="88">
        <f>SUM(F528:K528)</f>
        <v>255192.85000000003</v>
      </c>
      <c r="M528" s="8"/>
      <c r="N528" s="265"/>
    </row>
    <row r="529" spans="1:14" s="3" customFormat="1" ht="12.2" customHeight="1" thickBot="1" x14ac:dyDescent="0.2">
      <c r="A529" s="22" t="s">
        <v>635</v>
      </c>
      <c r="B529" s="118">
        <v>21</v>
      </c>
      <c r="C529" s="118">
        <v>7</v>
      </c>
      <c r="D529" s="2" t="s">
        <v>432</v>
      </c>
      <c r="E529" s="118"/>
      <c r="F529" s="18">
        <f>29554.28+20006.63</f>
        <v>49560.91</v>
      </c>
      <c r="G529" s="18">
        <f>11501.76+8327.76</f>
        <v>19829.52</v>
      </c>
      <c r="H529" s="18">
        <f>2469.99</f>
        <v>2469.9899999999998</v>
      </c>
      <c r="I529" s="18">
        <f>726.1+277.08</f>
        <v>1003.1800000000001</v>
      </c>
      <c r="J529" s="18"/>
      <c r="K529" s="18"/>
      <c r="L529" s="88">
        <f>SUM(F529:K529)</f>
        <v>72863.600000000006</v>
      </c>
      <c r="M529" s="8"/>
      <c r="N529" s="265"/>
    </row>
    <row r="530" spans="1:14" s="3" customFormat="1" ht="12.2" customHeight="1" thickTop="1" x14ac:dyDescent="0.15">
      <c r="A530" s="139" t="s">
        <v>65</v>
      </c>
      <c r="B530" s="107">
        <v>21</v>
      </c>
      <c r="C530" s="107">
        <v>8</v>
      </c>
      <c r="D530" s="158" t="s">
        <v>432</v>
      </c>
      <c r="E530" s="107"/>
      <c r="F530" s="89">
        <f>SUM(F527:F529)</f>
        <v>449999.45000000007</v>
      </c>
      <c r="G530" s="89">
        <f t="shared" ref="G530:L530" si="37">SUM(G527:G529)</f>
        <v>182866.58</v>
      </c>
      <c r="H530" s="89">
        <f t="shared" si="37"/>
        <v>433870.24999999994</v>
      </c>
      <c r="I530" s="89">
        <f t="shared" si="37"/>
        <v>7992.17</v>
      </c>
      <c r="J530" s="89">
        <f t="shared" si="37"/>
        <v>0</v>
      </c>
      <c r="K530" s="89">
        <f t="shared" si="37"/>
        <v>0</v>
      </c>
      <c r="L530" s="89">
        <f t="shared" si="37"/>
        <v>1074728.4500000002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66667.52</f>
        <v>66667.520000000004</v>
      </c>
      <c r="G532" s="18">
        <f>18306.11</f>
        <v>18306.11</v>
      </c>
      <c r="H532" s="18">
        <f>4154.08</f>
        <v>4154.08</v>
      </c>
      <c r="I532" s="18">
        <f>1853.63</f>
        <v>1853.63</v>
      </c>
      <c r="J532" s="18">
        <f>3053.3</f>
        <v>3053.3</v>
      </c>
      <c r="K532" s="18">
        <f>675.71</f>
        <v>675.71</v>
      </c>
      <c r="L532" s="88">
        <f>SUM(F532:K532)</f>
        <v>94710.35000000002</v>
      </c>
      <c r="M532" s="8"/>
      <c r="N532" s="265"/>
    </row>
    <row r="533" spans="1:14" s="3" customFormat="1" ht="12.2" customHeight="1" x14ac:dyDescent="0.15">
      <c r="A533" s="22" t="s">
        <v>634</v>
      </c>
      <c r="B533" s="105">
        <v>21</v>
      </c>
      <c r="C533" s="105">
        <v>10</v>
      </c>
      <c r="D533" s="2" t="s">
        <v>432</v>
      </c>
      <c r="E533" s="105"/>
      <c r="F533" s="18">
        <f>28571.79</f>
        <v>28571.79</v>
      </c>
      <c r="G533" s="18">
        <f>7845.48</f>
        <v>7845.48</v>
      </c>
      <c r="H533" s="18">
        <f>1780.32</f>
        <v>1780.32</v>
      </c>
      <c r="I533" s="18">
        <f>540.64</f>
        <v>540.64</v>
      </c>
      <c r="J533" s="18">
        <f>1308.56</f>
        <v>1308.56</v>
      </c>
      <c r="K533" s="18">
        <f>289.59</f>
        <v>289.58999999999997</v>
      </c>
      <c r="L533" s="88">
        <f>SUM(F533:K533)</f>
        <v>40336.379999999997</v>
      </c>
      <c r="M533" s="8"/>
      <c r="N533" s="265"/>
    </row>
    <row r="534" spans="1:14" s="3" customFormat="1" ht="12.2" customHeight="1" thickBot="1" x14ac:dyDescent="0.2">
      <c r="A534" s="22" t="s">
        <v>635</v>
      </c>
      <c r="B534" s="105">
        <v>21</v>
      </c>
      <c r="C534" s="105">
        <v>11</v>
      </c>
      <c r="D534" s="2" t="s">
        <v>432</v>
      </c>
      <c r="E534" s="105"/>
      <c r="F534" s="18">
        <f>40816.85</f>
        <v>40816.85</v>
      </c>
      <c r="G534" s="18">
        <f>11207.82</f>
        <v>11207.82</v>
      </c>
      <c r="H534" s="18">
        <f>2543.32</f>
        <v>2543.3200000000002</v>
      </c>
      <c r="I534" s="18">
        <f>180.21</f>
        <v>180.21</v>
      </c>
      <c r="J534" s="18">
        <f>1869.37</f>
        <v>1869.37</v>
      </c>
      <c r="K534" s="18">
        <f>413.7</f>
        <v>413.7</v>
      </c>
      <c r="L534" s="88">
        <f>SUM(F534:K534)</f>
        <v>57031.27</v>
      </c>
      <c r="M534" s="8"/>
      <c r="N534" s="265"/>
    </row>
    <row r="535" spans="1:14" s="3" customFormat="1" ht="12.2" customHeight="1" thickTop="1" x14ac:dyDescent="0.15">
      <c r="A535" s="139" t="s">
        <v>67</v>
      </c>
      <c r="B535" s="107">
        <v>21</v>
      </c>
      <c r="C535" s="107">
        <v>12</v>
      </c>
      <c r="D535" s="158" t="s">
        <v>432</v>
      </c>
      <c r="E535" s="107"/>
      <c r="F535" s="89">
        <f>SUM(F532:F534)</f>
        <v>136056.16</v>
      </c>
      <c r="G535" s="89">
        <f t="shared" ref="G535:L535" si="38">SUM(G532:G534)</f>
        <v>37359.410000000003</v>
      </c>
      <c r="H535" s="89">
        <f t="shared" si="38"/>
        <v>8477.7199999999993</v>
      </c>
      <c r="I535" s="89">
        <f t="shared" si="38"/>
        <v>2574.48</v>
      </c>
      <c r="J535" s="89">
        <f t="shared" si="38"/>
        <v>6231.2300000000005</v>
      </c>
      <c r="K535" s="89">
        <f t="shared" si="38"/>
        <v>1379</v>
      </c>
      <c r="L535" s="89">
        <f t="shared" si="38"/>
        <v>192078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2481362.5300000003</v>
      </c>
      <c r="G546" s="89">
        <f t="shared" ref="G546:L546" si="41">G525+G530+G535+G540+G545</f>
        <v>907273.14999999991</v>
      </c>
      <c r="H546" s="89">
        <f t="shared" si="41"/>
        <v>1577109.04</v>
      </c>
      <c r="I546" s="89">
        <f t="shared" si="41"/>
        <v>29002.77</v>
      </c>
      <c r="J546" s="89">
        <f t="shared" si="41"/>
        <v>8390.33</v>
      </c>
      <c r="K546" s="89">
        <f t="shared" si="41"/>
        <v>1379</v>
      </c>
      <c r="L546" s="89">
        <f t="shared" si="41"/>
        <v>5004516.82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1731271.38</v>
      </c>
      <c r="G550" s="87">
        <f>L527</f>
        <v>746672</v>
      </c>
      <c r="H550" s="87">
        <f>L532</f>
        <v>94710.35000000002</v>
      </c>
      <c r="I550" s="87">
        <f>L537</f>
        <v>0</v>
      </c>
      <c r="J550" s="87">
        <f>L542</f>
        <v>0</v>
      </c>
      <c r="K550" s="87">
        <f>SUM(F550:J550)</f>
        <v>2572653.73</v>
      </c>
      <c r="L550" s="24" t="s">
        <v>288</v>
      </c>
      <c r="M550" s="8"/>
      <c r="N550" s="265"/>
    </row>
    <row r="551" spans="1:14" s="3" customFormat="1" ht="12.2" customHeight="1" x14ac:dyDescent="0.15">
      <c r="A551" s="22" t="s">
        <v>634</v>
      </c>
      <c r="B551" s="75">
        <v>21</v>
      </c>
      <c r="C551" s="75">
        <v>23</v>
      </c>
      <c r="D551" s="2" t="s">
        <v>432</v>
      </c>
      <c r="E551" s="75"/>
      <c r="F551" s="87">
        <f>L523</f>
        <v>1035536.7799999999</v>
      </c>
      <c r="G551" s="87">
        <f>L528</f>
        <v>255192.85000000003</v>
      </c>
      <c r="H551" s="87">
        <f>L533</f>
        <v>40336.379999999997</v>
      </c>
      <c r="I551" s="87">
        <f>L538</f>
        <v>0</v>
      </c>
      <c r="J551" s="87">
        <f>L543</f>
        <v>0</v>
      </c>
      <c r="K551" s="87">
        <f>SUM(F551:J551)</f>
        <v>1331066.0099999998</v>
      </c>
      <c r="L551" s="24" t="s">
        <v>288</v>
      </c>
      <c r="M551" s="8"/>
      <c r="N551" s="265"/>
    </row>
    <row r="552" spans="1:14" s="3" customFormat="1" ht="12.2" customHeight="1" thickBot="1" x14ac:dyDescent="0.2">
      <c r="A552" s="22" t="s">
        <v>635</v>
      </c>
      <c r="B552" s="75">
        <v>21</v>
      </c>
      <c r="C552" s="75">
        <v>24</v>
      </c>
      <c r="D552" s="2" t="s">
        <v>432</v>
      </c>
      <c r="E552" s="75"/>
      <c r="F552" s="87">
        <f>L524</f>
        <v>970902.21000000008</v>
      </c>
      <c r="G552" s="87">
        <f>L529</f>
        <v>72863.600000000006</v>
      </c>
      <c r="H552" s="87">
        <f>L534</f>
        <v>57031.27</v>
      </c>
      <c r="I552" s="87">
        <f>L539</f>
        <v>0</v>
      </c>
      <c r="J552" s="87">
        <f>L544</f>
        <v>0</v>
      </c>
      <c r="K552" s="87">
        <f>SUM(F552:J552)</f>
        <v>1100797.08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3737710.3699999996</v>
      </c>
      <c r="G553" s="89">
        <f t="shared" si="42"/>
        <v>1074728.4500000002</v>
      </c>
      <c r="H553" s="89">
        <f t="shared" si="42"/>
        <v>192078</v>
      </c>
      <c r="I553" s="89">
        <f t="shared" si="42"/>
        <v>0</v>
      </c>
      <c r="J553" s="89">
        <f t="shared" si="42"/>
        <v>0</v>
      </c>
      <c r="K553" s="89">
        <f t="shared" si="42"/>
        <v>5004516.82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f>492849.4</f>
        <v>492849.4</v>
      </c>
      <c r="G558" s="18">
        <f>177794.43</f>
        <v>177794.43</v>
      </c>
      <c r="H558" s="18">
        <f>28800</f>
        <v>28800</v>
      </c>
      <c r="I558" s="18">
        <f>20792.25</f>
        <v>20792.25</v>
      </c>
      <c r="J558" s="18">
        <f>5292.83+2500</f>
        <v>7792.83</v>
      </c>
      <c r="K558" s="18">
        <f>9463.22</f>
        <v>9463.2199999999993</v>
      </c>
      <c r="L558" s="88">
        <f>SUM(F558:K558)</f>
        <v>737492.13</v>
      </c>
      <c r="M558" s="8"/>
      <c r="N558" s="265"/>
    </row>
    <row r="559" spans="1:14" s="3" customFormat="1" ht="12.2" customHeight="1" x14ac:dyDescent="0.15">
      <c r="A559" s="22" t="s">
        <v>634</v>
      </c>
      <c r="B559" s="105">
        <v>22</v>
      </c>
      <c r="C559" s="115">
        <v>2</v>
      </c>
      <c r="D559" s="2" t="s">
        <v>432</v>
      </c>
      <c r="E559" s="115"/>
      <c r="F559" s="18">
        <f>70280.29</f>
        <v>70280.289999999994</v>
      </c>
      <c r="G559" s="18">
        <f>44045.5</f>
        <v>44045.5</v>
      </c>
      <c r="H559" s="18"/>
      <c r="I559" s="18"/>
      <c r="J559" s="18">
        <f>1101.15</f>
        <v>1101.1500000000001</v>
      </c>
      <c r="K559" s="18"/>
      <c r="L559" s="88">
        <f>SUM(F559:K559)</f>
        <v>115426.93999999999</v>
      </c>
      <c r="M559" s="8"/>
      <c r="N559" s="265"/>
    </row>
    <row r="560" spans="1:14" s="3" customFormat="1" ht="12.2" customHeight="1" thickBot="1" x14ac:dyDescent="0.2">
      <c r="A560" s="22" t="s">
        <v>635</v>
      </c>
      <c r="B560" s="105">
        <v>22</v>
      </c>
      <c r="C560" s="115">
        <v>3</v>
      </c>
      <c r="D560" s="2" t="s">
        <v>432</v>
      </c>
      <c r="E560" s="115"/>
      <c r="F560" s="18"/>
      <c r="G560" s="18"/>
      <c r="H560" s="18">
        <f>18000+25000</f>
        <v>43000</v>
      </c>
      <c r="I560" s="18"/>
      <c r="J560" s="18"/>
      <c r="K560" s="18"/>
      <c r="L560" s="88">
        <f>SUM(F560:K560)</f>
        <v>43000</v>
      </c>
      <c r="M560" s="8"/>
      <c r="N560" s="265"/>
    </row>
    <row r="561" spans="1:14" s="3" customFormat="1" ht="12.2" customHeight="1" thickTop="1" x14ac:dyDescent="0.15">
      <c r="A561" s="139" t="s">
        <v>63</v>
      </c>
      <c r="B561" s="107">
        <v>22</v>
      </c>
      <c r="C561" s="194">
        <v>4</v>
      </c>
      <c r="D561" s="195" t="s">
        <v>432</v>
      </c>
      <c r="E561" s="194"/>
      <c r="F561" s="108">
        <f t="shared" ref="F561:L561" si="43">SUM(F558:F560)</f>
        <v>563129.69000000006</v>
      </c>
      <c r="G561" s="108">
        <f t="shared" si="43"/>
        <v>221839.93</v>
      </c>
      <c r="H561" s="108">
        <f t="shared" si="43"/>
        <v>71800</v>
      </c>
      <c r="I561" s="108">
        <f t="shared" si="43"/>
        <v>20792.25</v>
      </c>
      <c r="J561" s="108">
        <f t="shared" si="43"/>
        <v>8893.98</v>
      </c>
      <c r="K561" s="108">
        <f t="shared" si="43"/>
        <v>9463.2199999999993</v>
      </c>
      <c r="L561" s="89">
        <f t="shared" si="43"/>
        <v>895919.07</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563129.69000000006</v>
      </c>
      <c r="G572" s="89">
        <f t="shared" ref="G572:L572" si="46">G561+G566+G571</f>
        <v>221839.93</v>
      </c>
      <c r="H572" s="89">
        <f t="shared" si="46"/>
        <v>71800</v>
      </c>
      <c r="I572" s="89">
        <f t="shared" si="46"/>
        <v>20792.25</v>
      </c>
      <c r="J572" s="89">
        <f t="shared" si="46"/>
        <v>8893.98</v>
      </c>
      <c r="K572" s="89">
        <f t="shared" si="46"/>
        <v>9463.2199999999993</v>
      </c>
      <c r="L572" s="89">
        <f t="shared" si="46"/>
        <v>895919.07</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f>11041.32</f>
        <v>11041.32</v>
      </c>
      <c r="G576" s="18">
        <f>5677.24</f>
        <v>5677.24</v>
      </c>
      <c r="H576" s="18">
        <f>16718.56</f>
        <v>16718.560000000001</v>
      </c>
      <c r="I576" s="87">
        <f>SUM(F576:H576)</f>
        <v>33437.119999999995</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f>12500</f>
        <v>12500</v>
      </c>
      <c r="I578" s="87">
        <f t="shared" si="47"/>
        <v>12500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4"/>
      <c r="H579" s="4"/>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255980.31+3540</f>
        <v>259520.31</v>
      </c>
      <c r="G583" s="18">
        <f>328144.35</f>
        <v>328144.34999999998</v>
      </c>
      <c r="H583" s="18">
        <v>436860.84</v>
      </c>
      <c r="I583" s="87">
        <f>SUM(F583:H583)</f>
        <v>1024525.5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215679.73+848.45+0.01</f>
        <v>216528.19000000003</v>
      </c>
      <c r="I592" s="18">
        <f>69681.14+275.5</f>
        <v>69956.639999999999</v>
      </c>
      <c r="J592" s="18">
        <f>46454.1+272.47-0.01</f>
        <v>46726.559999999998</v>
      </c>
      <c r="K592" s="104">
        <f t="shared" ref="K592:K598" si="48">SUM(H592:J592)</f>
        <v>333211.39</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1648.02</v>
      </c>
      <c r="I595" s="18">
        <v>843</v>
      </c>
      <c r="J595" s="18">
        <v>12003.45</v>
      </c>
      <c r="K595" s="104">
        <f t="shared" si="48"/>
        <v>14494.470000000001</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973.13</v>
      </c>
      <c r="I596" s="18">
        <v>506.39</v>
      </c>
      <c r="J596" s="18">
        <v>2125.77</v>
      </c>
      <c r="K596" s="104">
        <f t="shared" si="48"/>
        <v>3605.29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3181.94</v>
      </c>
      <c r="I598" s="18">
        <v>393.27</v>
      </c>
      <c r="J598" s="18"/>
      <c r="K598" s="104">
        <f t="shared" si="48"/>
        <v>3575.21</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222331.28000000003</v>
      </c>
      <c r="I599" s="108">
        <f>SUM(I592:I598)</f>
        <v>71699.3</v>
      </c>
      <c r="J599" s="108">
        <f>SUM(J592:J598)</f>
        <v>60855.779999999992</v>
      </c>
      <c r="K599" s="108">
        <f>SUM(K592:K598)</f>
        <v>354886.36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180721.31</f>
        <v>180721.31</v>
      </c>
      <c r="I605" s="18">
        <f>100317.28</f>
        <v>100317.28</v>
      </c>
      <c r="J605" s="18">
        <f>178486.79</f>
        <v>178486.79</v>
      </c>
      <c r="K605" s="104">
        <f>SUM(H605:J605)</f>
        <v>459525.38</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180721.31</v>
      </c>
      <c r="I606" s="108">
        <f>SUM(I603:I605)</f>
        <v>100317.28</v>
      </c>
      <c r="J606" s="108">
        <f>SUM(J603:J605)</f>
        <v>178486.79</v>
      </c>
      <c r="K606" s="108">
        <f>SUM(K603:K605)</f>
        <v>459525.38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360574.8</v>
      </c>
      <c r="H619" s="109">
        <f>SUM(G52)</f>
        <v>360574.8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360574.8</v>
      </c>
      <c r="H624" s="109">
        <f>G477</f>
        <v>360574.80000000005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18425203.979999997</v>
      </c>
      <c r="H628" s="104">
        <f>SUM(F469)</f>
        <v>18425203.98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945326</v>
      </c>
      <c r="H629" s="104">
        <f>SUM(G469)</f>
        <v>945326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3570472.6400000006</v>
      </c>
      <c r="H630" s="104">
        <f>SUM(H469)</f>
        <v>3570472.64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18425203.98</v>
      </c>
      <c r="H633" s="104">
        <f>SUM(F473)</f>
        <v>18425203.98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3706579.49</v>
      </c>
      <c r="H634" s="104">
        <f>SUM(H473)</f>
        <v>3706579.49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343115.86</v>
      </c>
      <c r="H635" s="104">
        <f>I370</f>
        <v>343115.86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702972.70000000007</v>
      </c>
      <c r="H636" s="104">
        <f>SUM(G473)</f>
        <v>702972.7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354886.36</v>
      </c>
      <c r="H648" s="104">
        <f>L209+L227+L245</f>
        <v>354886.36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459525.38</v>
      </c>
      <c r="H649" s="104">
        <f>(J258+J339)-(J256+J337)</f>
        <v>459525.38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222331.27999999997</v>
      </c>
      <c r="H650" s="104">
        <f>H599</f>
        <v>222331.28000000003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71699.3</v>
      </c>
      <c r="H651" s="104">
        <f>I599</f>
        <v>71699.3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60855.78</v>
      </c>
      <c r="H652" s="104">
        <f>J599</f>
        <v>60855.779999999992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9715615.0099999998</v>
      </c>
      <c r="G661" s="19">
        <f>(L230+L310+L360)</f>
        <v>4531137.9200000009</v>
      </c>
      <c r="H661" s="19">
        <f>(L248+L329+L361)</f>
        <v>8558778.5299999993</v>
      </c>
      <c r="I661" s="19">
        <f>SUM(F661:H661)</f>
        <v>22805531.460000001</v>
      </c>
      <c r="J661" s="13"/>
      <c r="K661" s="13"/>
      <c r="L661" s="13"/>
      <c r="M661" s="9"/>
    </row>
    <row r="662" spans="1:13" s="3" customFormat="1" ht="12.2" customHeight="1" x14ac:dyDescent="0.2">
      <c r="A662" s="1" t="s">
        <v>127</v>
      </c>
      <c r="F662" s="19">
        <f>(L359/IF(SUM(L359:L361)=0,1,SUM(L359:L361))*(SUM(G97:G110)))</f>
        <v>23962.718073720222</v>
      </c>
      <c r="G662" s="19">
        <f>(L360/IF(SUM(L359:L361)=0,1,SUM(L359:L361))*(SUM(G97:G110)))</f>
        <v>9870.4663515162119</v>
      </c>
      <c r="H662" s="19">
        <f>(L361/IF(SUM(L359:L361)=0,1,SUM(L359:L361))*(SUM(G97:G110)))</f>
        <v>13121.045574763573</v>
      </c>
      <c r="I662" s="19">
        <f>SUM(F662:H662)</f>
        <v>46954.23</v>
      </c>
      <c r="J662"/>
      <c r="K662" s="13"/>
      <c r="L662" s="13"/>
      <c r="M662" s="8"/>
    </row>
    <row r="663" spans="1:13" s="3" customFormat="1" ht="12.2" customHeight="1" x14ac:dyDescent="0.2">
      <c r="A663" s="1" t="s">
        <v>128</v>
      </c>
      <c r="F663" s="19">
        <f>(L209+L288)-(J209+J288)</f>
        <v>223475.20000000001</v>
      </c>
      <c r="G663" s="19">
        <f>(L227+L307)-(J227+J307)</f>
        <v>71840.680000000008</v>
      </c>
      <c r="H663" s="19">
        <f>(L245+L326)-(J245+J326)</f>
        <v>60855.78</v>
      </c>
      <c r="I663" s="19">
        <f>SUM(F663:H663)</f>
        <v>356171.66000000003</v>
      </c>
      <c r="J663"/>
      <c r="K663" s="13"/>
      <c r="L663" s="13"/>
      <c r="M663" s="9"/>
    </row>
    <row r="664" spans="1:13" s="3" customFormat="1" ht="12.2" customHeight="1" x14ac:dyDescent="0.15">
      <c r="A664" s="197" t="s">
        <v>129</v>
      </c>
      <c r="B664" s="169"/>
      <c r="C664" s="169"/>
      <c r="D664" s="169"/>
      <c r="E664" s="169"/>
      <c r="F664" s="198">
        <f>SUM(F576:F588)+SUM(H603:H605)+SUM(L612)</f>
        <v>451282.94</v>
      </c>
      <c r="G664" s="198">
        <f>SUM(G576:G588)+SUM(I603:I605)+L613</f>
        <v>434138.87</v>
      </c>
      <c r="H664" s="198">
        <f>SUM(H576:H588)+SUM(J603:J605)+L614</f>
        <v>644566.19000000006</v>
      </c>
      <c r="I664" s="19">
        <f>SUM(F664:H664)</f>
        <v>1529988</v>
      </c>
      <c r="J664" s="13"/>
      <c r="K664" s="13"/>
      <c r="L664" s="13"/>
      <c r="M664" s="9"/>
    </row>
    <row r="665" spans="1:13" s="3" customFormat="1" ht="12.2" customHeight="1" x14ac:dyDescent="0.15">
      <c r="A665" s="1" t="s">
        <v>130</v>
      </c>
      <c r="F665" s="19">
        <f>F661-SUM(F662:F664)</f>
        <v>9016894.1519262791</v>
      </c>
      <c r="G665" s="19">
        <f>G661-SUM(G662:G664)</f>
        <v>4015287.9036484845</v>
      </c>
      <c r="H665" s="19">
        <f>H661-SUM(H662:H664)</f>
        <v>7840235.5144252358</v>
      </c>
      <c r="I665" s="19">
        <f>I661-SUM(I662:I664)</f>
        <v>20872417.57</v>
      </c>
      <c r="J665" s="13"/>
      <c r="K665" s="13"/>
      <c r="L665" s="13"/>
      <c r="M665" s="8"/>
    </row>
    <row r="666" spans="1:13" s="3" customFormat="1" ht="12.2" customHeight="1" x14ac:dyDescent="0.2">
      <c r="A666" s="1" t="s">
        <v>131</v>
      </c>
      <c r="F666" s="245">
        <v>445.39</v>
      </c>
      <c r="G666" s="246">
        <v>242.96</v>
      </c>
      <c r="H666" s="246">
        <v>344.16</v>
      </c>
      <c r="I666" s="19">
        <f>SUM(F666:H666)</f>
        <v>1032.51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20244.939999999999</v>
      </c>
      <c r="G668" s="19">
        <f>ROUND(G665/G666,2)</f>
        <v>16526.54</v>
      </c>
      <c r="H668" s="19">
        <f>ROUND(H665/H666,2)</f>
        <v>22780.79</v>
      </c>
      <c r="I668" s="19">
        <f>ROUND(I665/I666,2)</f>
        <v>20215.22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6.78</v>
      </c>
      <c r="I671" s="19">
        <f>SUM(F671:H671)</f>
        <v>6.78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20244.939999999999</v>
      </c>
      <c r="G673" s="19">
        <f>ROUND((G665+G670)/(G666+G671),2)</f>
        <v>16526.54</v>
      </c>
      <c r="H673" s="19">
        <f>ROUND((H665+H670)/(H666+H671),2)</f>
        <v>22340.67</v>
      </c>
      <c r="I673" s="19">
        <f>ROUND((I665+I670)/(I666+I671),2)</f>
        <v>20083.34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356445.26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125222.81</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14000</v>
      </c>
      <c r="F13" s="349" t="s">
        <v>1646</v>
      </c>
    </row>
    <row r="14" spans="2:8" x14ac:dyDescent="0.25">
      <c r="B14" s="348"/>
      <c r="C14" s="348"/>
      <c r="D14" s="349"/>
      <c r="E14" s="348"/>
      <c r="F14" s="348"/>
    </row>
    <row r="15" spans="2:8" x14ac:dyDescent="0.25">
      <c r="B15" s="348"/>
      <c r="C15" s="349" t="s">
        <v>1640</v>
      </c>
      <c r="D15" s="349" t="s">
        <v>1653</v>
      </c>
      <c r="E15" s="336">
        <v>217222.45</v>
      </c>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Berlin</v>
      </c>
      <c r="C5" s="376"/>
      <c r="D5" s="376"/>
      <c r="E5" s="376"/>
      <c r="F5" s="376"/>
    </row>
    <row r="8" spans="1:9" ht="18" x14ac:dyDescent="0.25">
      <c r="A8" s="312" t="s">
        <v>1568</v>
      </c>
      <c r="F8" s="319" t="s">
        <v>1586</v>
      </c>
    </row>
    <row r="9" spans="1:9" ht="15" x14ac:dyDescent="0.2">
      <c r="A9" s="310" t="s">
        <v>1569</v>
      </c>
      <c r="B9" s="313">
        <f>'DOE25'!G97</f>
        <v>46954.23</v>
      </c>
      <c r="F9" s="310" t="s">
        <v>1582</v>
      </c>
    </row>
    <row r="10" spans="1:9" ht="15" x14ac:dyDescent="0.2">
      <c r="A10" s="310" t="s">
        <v>1570</v>
      </c>
      <c r="B10" s="313">
        <f>'DOE25'!G112-'DOE25'!G97</f>
        <v>0</v>
      </c>
      <c r="F10" s="310" t="s">
        <v>1583</v>
      </c>
    </row>
    <row r="11" spans="1:9" ht="15" x14ac:dyDescent="0.2">
      <c r="A11" s="310" t="s">
        <v>1571</v>
      </c>
      <c r="B11" s="313">
        <f>'DOE25'!G140</f>
        <v>30124.21</v>
      </c>
      <c r="F11" s="310" t="s">
        <v>1584</v>
      </c>
    </row>
    <row r="12" spans="1:9" ht="15" x14ac:dyDescent="0.2">
      <c r="A12" s="310" t="s">
        <v>1572</v>
      </c>
      <c r="B12" s="313">
        <f>'DOE25'!G170</f>
        <v>868247.56</v>
      </c>
      <c r="F12" s="310" t="s">
        <v>1585</v>
      </c>
    </row>
    <row r="13" spans="1:9" ht="15" x14ac:dyDescent="0.2">
      <c r="A13" s="310" t="s">
        <v>1573</v>
      </c>
      <c r="B13" s="313">
        <f>'DOE25'!G193-'DOE25'!G180</f>
        <v>0</v>
      </c>
      <c r="F13" s="310" t="s">
        <v>1595</v>
      </c>
    </row>
    <row r="14" spans="1:9" ht="18" x14ac:dyDescent="0.25">
      <c r="A14" s="312" t="s">
        <v>732</v>
      </c>
      <c r="B14" s="314">
        <f>SUM(B9:B13)</f>
        <v>945326</v>
      </c>
    </row>
    <row r="16" spans="1:9" ht="18" x14ac:dyDescent="0.25">
      <c r="A16" s="312" t="s">
        <v>786</v>
      </c>
      <c r="F16" s="319" t="s">
        <v>1587</v>
      </c>
    </row>
    <row r="17" spans="1:6" ht="15" x14ac:dyDescent="0.2">
      <c r="A17" s="310" t="s">
        <v>1574</v>
      </c>
      <c r="B17" s="313">
        <f>'DOE25'!L363-'DOE25'!L362</f>
        <v>702972.70000000007</v>
      </c>
      <c r="F17" s="310" t="s">
        <v>1588</v>
      </c>
    </row>
    <row r="18" spans="1:6" ht="15" x14ac:dyDescent="0.2">
      <c r="A18" s="310" t="s">
        <v>1575</v>
      </c>
      <c r="B18" s="323"/>
      <c r="F18" s="319" t="s">
        <v>1612</v>
      </c>
    </row>
    <row r="19" spans="1:6" ht="18" x14ac:dyDescent="0.25">
      <c r="A19" s="312" t="s">
        <v>725</v>
      </c>
      <c r="B19" s="314">
        <f>SUM(B17:B18)</f>
        <v>702972.70000000007</v>
      </c>
    </row>
    <row r="21" spans="1:6" ht="18.75" thickBot="1" x14ac:dyDescent="0.3">
      <c r="A21" s="312" t="s">
        <v>1576</v>
      </c>
    </row>
    <row r="22" spans="1:6" ht="18.75" thickTop="1" x14ac:dyDescent="0.25">
      <c r="A22" s="312" t="s">
        <v>1577</v>
      </c>
      <c r="B22" s="318">
        <f>B14-B19</f>
        <v>242353.29999999993</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118221.5</v>
      </c>
      <c r="F31" s="310" t="s">
        <v>1592</v>
      </c>
    </row>
    <row r="33" spans="1:6" ht="15" x14ac:dyDescent="0.2">
      <c r="A33" s="310" t="s">
        <v>1635</v>
      </c>
      <c r="B33" s="313">
        <f>'DOE25'!G477</f>
        <v>360574.80000000005</v>
      </c>
      <c r="F33" s="310" t="s">
        <v>1593</v>
      </c>
    </row>
    <row r="36" spans="1:6" ht="15" x14ac:dyDescent="0.2">
      <c r="A36" s="310" t="s">
        <v>1579</v>
      </c>
      <c r="B36" s="324">
        <v>31842.45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120" zoomScaleNormal="12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Berlin</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5442173.7999999998</v>
      </c>
      <c r="C9" s="228">
        <f>'DOE25'!G198+'DOE25'!G216+'DOE25'!G234+'DOE25'!G277+'DOE25'!G296+'DOE25'!G315</f>
        <v>2440056.9700000002</v>
      </c>
    </row>
    <row r="10" spans="1:3" x14ac:dyDescent="0.2">
      <c r="A10" t="s">
        <v>775</v>
      </c>
      <c r="B10" s="239">
        <f>4969828.07-87400.5</f>
        <v>4882427.57</v>
      </c>
      <c r="C10" s="239">
        <v>2437188.79</v>
      </c>
    </row>
    <row r="11" spans="1:3" x14ac:dyDescent="0.2">
      <c r="A11" t="s">
        <v>776</v>
      </c>
      <c r="B11" s="239">
        <v>232738.69</v>
      </c>
      <c r="C11" s="239">
        <v>765.63</v>
      </c>
    </row>
    <row r="12" spans="1:3" x14ac:dyDescent="0.2">
      <c r="A12" t="s">
        <v>777</v>
      </c>
      <c r="B12" s="239">
        <v>327007.53999999998</v>
      </c>
      <c r="C12" s="239">
        <v>2102.5500000000002</v>
      </c>
    </row>
    <row r="13" spans="1:3" x14ac:dyDescent="0.2">
      <c r="A13" t="str">
        <f>IF(B9=B13,IF(C9=C13,"Check Total OK","Check Total Error"),"Check Total Error")</f>
        <v>Check Total OK</v>
      </c>
      <c r="B13" s="230">
        <f>SUM(B10:B12)</f>
        <v>5442173.8000000007</v>
      </c>
      <c r="C13" s="230">
        <f>SUM(C10:C12)</f>
        <v>2440056.9699999997</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2458436.61</v>
      </c>
      <c r="C18" s="228">
        <f>'DOE25'!G199+'DOE25'!G217+'DOE25'!G235+'DOE25'!G278+'DOE25'!G297+'DOE25'!G316</f>
        <v>914053.71000000008</v>
      </c>
    </row>
    <row r="19" spans="1:3" x14ac:dyDescent="0.2">
      <c r="A19" t="s">
        <v>775</v>
      </c>
      <c r="B19" s="239">
        <f>1465518.48-10594</f>
        <v>1454924.48</v>
      </c>
      <c r="C19" s="239">
        <v>833836.01</v>
      </c>
    </row>
    <row r="20" spans="1:3" x14ac:dyDescent="0.2">
      <c r="A20" t="s">
        <v>776</v>
      </c>
      <c r="B20" s="239">
        <v>1001719.05</v>
      </c>
      <c r="C20" s="239">
        <f>79937.54-0.1</f>
        <v>79937.439999999988</v>
      </c>
    </row>
    <row r="21" spans="1:3" x14ac:dyDescent="0.2">
      <c r="A21" t="s">
        <v>777</v>
      </c>
      <c r="B21" s="239">
        <v>1793.08</v>
      </c>
      <c r="C21" s="239">
        <v>280.26</v>
      </c>
    </row>
    <row r="22" spans="1:3" x14ac:dyDescent="0.2">
      <c r="A22" t="str">
        <f>IF(B18=B22,IF(C18=C22,"Check Total OK","Check Total Error"),"Check Total Error")</f>
        <v>Check Total OK</v>
      </c>
      <c r="B22" s="230">
        <f>SUM(B19:B21)</f>
        <v>2458436.6100000003</v>
      </c>
      <c r="C22" s="230">
        <f>SUM(C19:C21)</f>
        <v>914053.71</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473250.28</v>
      </c>
      <c r="C27" s="233">
        <f>'DOE25'!G200+'DOE25'!G218+'DOE25'!G236+'DOE25'!G279+'DOE25'!G298+'DOE25'!G317</f>
        <v>240627.41</v>
      </c>
    </row>
    <row r="28" spans="1:3" x14ac:dyDescent="0.2">
      <c r="A28" t="s">
        <v>775</v>
      </c>
      <c r="B28" s="239">
        <v>453006.1</v>
      </c>
      <c r="C28" s="239">
        <v>238933.5</v>
      </c>
    </row>
    <row r="29" spans="1:3" x14ac:dyDescent="0.2">
      <c r="A29" t="s">
        <v>776</v>
      </c>
      <c r="B29" s="239">
        <v>20244.18</v>
      </c>
      <c r="C29" s="239">
        <v>1693.91</v>
      </c>
    </row>
    <row r="30" spans="1:3" x14ac:dyDescent="0.2">
      <c r="A30" t="s">
        <v>777</v>
      </c>
      <c r="B30" s="239"/>
      <c r="C30" s="239"/>
    </row>
    <row r="31" spans="1:3" x14ac:dyDescent="0.2">
      <c r="A31" t="str">
        <f>IF(B27=B31,IF(C27=C31,"Check Total OK","Check Total Error"),"Check Total Error")</f>
        <v>Check Total OK</v>
      </c>
      <c r="B31" s="230">
        <f>SUM(B28:B30)</f>
        <v>473250.27999999997</v>
      </c>
      <c r="C31" s="230">
        <f>SUM(C28:C30)</f>
        <v>240627.41</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406010.1</v>
      </c>
      <c r="C36" s="234">
        <f>'DOE25'!G201+'DOE25'!G219+'DOE25'!G237+'DOE25'!G280+'DOE25'!G299+'DOE25'!G318</f>
        <v>79409.41</v>
      </c>
    </row>
    <row r="37" spans="1:3" x14ac:dyDescent="0.2">
      <c r="A37" t="s">
        <v>775</v>
      </c>
      <c r="B37" s="239">
        <v>37507.129999999997</v>
      </c>
      <c r="C37" s="239">
        <v>9591.2000000000007</v>
      </c>
    </row>
    <row r="38" spans="1:3" x14ac:dyDescent="0.2">
      <c r="A38" t="s">
        <v>776</v>
      </c>
      <c r="B38" s="239">
        <v>28957.14</v>
      </c>
      <c r="C38" s="239">
        <v>2251.5300000000002</v>
      </c>
    </row>
    <row r="39" spans="1:3" x14ac:dyDescent="0.2">
      <c r="A39" t="s">
        <v>777</v>
      </c>
      <c r="B39" s="239">
        <v>339545.83</v>
      </c>
      <c r="C39" s="239">
        <f>59922.5+7644.18</f>
        <v>67566.679999999993</v>
      </c>
    </row>
    <row r="40" spans="1:3" x14ac:dyDescent="0.2">
      <c r="A40" t="str">
        <f>IF(B36=B40,IF(C36=C40,"Check Total OK","Check Total Error"),"Check Total Error")</f>
        <v>Check Total OK</v>
      </c>
      <c r="B40" s="230">
        <f>SUM(B37:B39)</f>
        <v>406010.1</v>
      </c>
      <c r="C40" s="230">
        <f>SUM(C37:C39)</f>
        <v>79409.409999999989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8" sqref="F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Berlin</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12593074.960000001</v>
      </c>
      <c r="D5" s="20">
        <f>SUM('DOE25'!L198:L201)+SUM('DOE25'!L216:L219)+SUM('DOE25'!L234:L237)-F5-G5-H5</f>
        <v>12359465.33</v>
      </c>
      <c r="E5" s="242"/>
      <c r="F5" s="243"/>
      <c r="G5" s="53">
        <f>SUM('DOE25'!J198:J201)+SUM('DOE25'!J216:J219)+SUM('DOE25'!J234:J237)</f>
        <v>218543.63000000003</v>
      </c>
      <c r="H5" s="53">
        <f>SUM('DOE25'!K198:K201)+SUM('DOE25'!K216:K219)+SUM('DOE25'!K234:K237)</f>
        <v>15066</v>
      </c>
      <c r="I5" s="255"/>
    </row>
    <row r="6" spans="1:9" x14ac:dyDescent="0.2">
      <c r="A6" s="32">
        <v>2100</v>
      </c>
      <c r="B6" t="s">
        <v>796</v>
      </c>
      <c r="C6" s="274">
        <f t="shared" si="0"/>
        <v>1904403.25</v>
      </c>
      <c r="D6" s="20">
        <f>'DOE25'!L203+'DOE25'!L221+'DOE25'!L239-F6-G6-H6</f>
        <v>1824669.25</v>
      </c>
      <c r="E6" s="242"/>
      <c r="F6" s="243">
        <v>76500</v>
      </c>
      <c r="G6" s="53">
        <f>'DOE25'!J203+'DOE25'!J221+'DOE25'!J239</f>
        <v>2751.05</v>
      </c>
      <c r="H6" s="53">
        <f>'DOE25'!K203+'DOE25'!K221+'DOE25'!K239</f>
        <v>482.95</v>
      </c>
      <c r="I6" s="255"/>
    </row>
    <row r="7" spans="1:9" x14ac:dyDescent="0.2">
      <c r="A7" s="32">
        <v>2200</v>
      </c>
      <c r="B7" t="s">
        <v>821</v>
      </c>
      <c r="C7" s="274">
        <f t="shared" si="0"/>
        <v>266096.82</v>
      </c>
      <c r="D7" s="20">
        <f>'DOE25'!L204+'DOE25'!L222+'DOE25'!L240-F7-G7-H7</f>
        <v>265848.46000000002</v>
      </c>
      <c r="E7" s="242"/>
      <c r="F7" s="243"/>
      <c r="G7" s="53">
        <f>'DOE25'!J204+'DOE25'!J222+'DOE25'!J240</f>
        <v>198.99</v>
      </c>
      <c r="H7" s="53">
        <f>'DOE25'!K204+'DOE25'!K222+'DOE25'!K240</f>
        <v>49.37</v>
      </c>
      <c r="I7" s="255"/>
    </row>
    <row r="8" spans="1:9" x14ac:dyDescent="0.2">
      <c r="A8" s="32">
        <v>2300</v>
      </c>
      <c r="B8" t="s">
        <v>797</v>
      </c>
      <c r="C8" s="274">
        <f t="shared" si="0"/>
        <v>412593.98</v>
      </c>
      <c r="D8" s="242"/>
      <c r="E8" s="20">
        <f>'DOE25'!L205+'DOE25'!L223+'DOE25'!L241-F8-G8-H8-D9-D11</f>
        <v>367674.16000000003</v>
      </c>
      <c r="F8" s="243"/>
      <c r="G8" s="53">
        <f>'DOE25'!J205+'DOE25'!J223+'DOE25'!J241</f>
        <v>6781.22</v>
      </c>
      <c r="H8" s="53">
        <f>'DOE25'!K205+'DOE25'!K223+'DOE25'!K241</f>
        <v>38138.600000000006</v>
      </c>
      <c r="I8" s="255"/>
    </row>
    <row r="9" spans="1:9" ht="14.25" x14ac:dyDescent="0.2">
      <c r="A9" s="32">
        <v>2310</v>
      </c>
      <c r="B9" s="184" t="s">
        <v>888</v>
      </c>
      <c r="C9" s="274">
        <f t="shared" si="0"/>
        <v>6666.56</v>
      </c>
      <c r="D9" s="243">
        <v>6666.56</v>
      </c>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238161.5</v>
      </c>
      <c r="D11" s="243">
        <v>238161.5</v>
      </c>
      <c r="E11" s="242"/>
      <c r="F11" s="252"/>
      <c r="G11" s="252"/>
      <c r="H11" s="252"/>
      <c r="I11" s="255"/>
    </row>
    <row r="12" spans="1:9" x14ac:dyDescent="0.2">
      <c r="A12" s="32">
        <v>2400</v>
      </c>
      <c r="B12" t="s">
        <v>711</v>
      </c>
      <c r="C12" s="274">
        <f t="shared" si="0"/>
        <v>933318.14999999991</v>
      </c>
      <c r="D12" s="20">
        <f>'DOE25'!L206+'DOE25'!L224+'DOE25'!L242-F12-G12-H12</f>
        <v>923844.21999999986</v>
      </c>
      <c r="E12" s="242"/>
      <c r="F12" s="243"/>
      <c r="G12" s="53">
        <f>'DOE25'!J206+'DOE25'!J224+'DOE25'!J242</f>
        <v>436.93</v>
      </c>
      <c r="H12" s="53">
        <f>'DOE25'!K206+'DOE25'!K224+'DOE25'!K242</f>
        <v>9037</v>
      </c>
      <c r="I12" s="255"/>
    </row>
    <row r="13" spans="1:9" x14ac:dyDescent="0.2">
      <c r="A13" s="32">
        <v>2500</v>
      </c>
      <c r="B13" t="s">
        <v>798</v>
      </c>
      <c r="C13" s="274">
        <f t="shared" si="0"/>
        <v>234356.03</v>
      </c>
      <c r="D13" s="242"/>
      <c r="E13" s="20">
        <f>'DOE25'!L207+'DOE25'!L225+'DOE25'!L243-F13-G13-H13</f>
        <v>233856.03</v>
      </c>
      <c r="F13" s="243"/>
      <c r="G13" s="53">
        <f>'DOE25'!J207+'DOE25'!J225+'DOE25'!J243</f>
        <v>0</v>
      </c>
      <c r="H13" s="53">
        <f>'DOE25'!K207+'DOE25'!K225+'DOE25'!K243</f>
        <v>500</v>
      </c>
      <c r="I13" s="255"/>
    </row>
    <row r="14" spans="1:9" x14ac:dyDescent="0.2">
      <c r="A14" s="32">
        <v>2600</v>
      </c>
      <c r="B14" t="s">
        <v>819</v>
      </c>
      <c r="C14" s="274">
        <f t="shared" si="0"/>
        <v>1450870.1400000001</v>
      </c>
      <c r="D14" s="20">
        <f>'DOE25'!L208+'DOE25'!L226+'DOE25'!L244-F14-G14-H14</f>
        <v>1417759.87</v>
      </c>
      <c r="E14" s="242"/>
      <c r="F14" s="243"/>
      <c r="G14" s="53">
        <f>'DOE25'!J208+'DOE25'!J226+'DOE25'!J244</f>
        <v>32990.270000000004</v>
      </c>
      <c r="H14" s="53">
        <f>'DOE25'!K208+'DOE25'!K226+'DOE25'!K244</f>
        <v>120</v>
      </c>
      <c r="I14" s="255"/>
    </row>
    <row r="15" spans="1:9" x14ac:dyDescent="0.2">
      <c r="A15" s="32">
        <v>2700</v>
      </c>
      <c r="B15" t="s">
        <v>799</v>
      </c>
      <c r="C15" s="274">
        <f t="shared" si="0"/>
        <v>354886.36</v>
      </c>
      <c r="D15" s="20">
        <f>'DOE25'!L209+'DOE25'!L227+'DOE25'!L245-F15-G15-H15</f>
        <v>354574.36</v>
      </c>
      <c r="E15" s="242"/>
      <c r="F15" s="243"/>
      <c r="G15" s="53">
        <f>'DOE25'!J209+'DOE25'!J227+'DOE25'!J245</f>
        <v>0</v>
      </c>
      <c r="H15" s="53">
        <f>'DOE25'!K209+'DOE25'!K227+'DOE25'!K245</f>
        <v>312</v>
      </c>
      <c r="I15" s="255"/>
    </row>
    <row r="16" spans="1:9" x14ac:dyDescent="0.2">
      <c r="A16" s="32">
        <v>2800</v>
      </c>
      <c r="B16" t="s">
        <v>800</v>
      </c>
      <c r="C16" s="274">
        <f t="shared" si="0"/>
        <v>1551.52</v>
      </c>
      <c r="D16" s="242"/>
      <c r="E16" s="20">
        <f>'DOE25'!L210+'DOE25'!L228+'DOE25'!L246-F16-G16-H16</f>
        <v>1551.52</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29224.71</v>
      </c>
      <c r="D25" s="242"/>
      <c r="E25" s="242"/>
      <c r="F25" s="254"/>
      <c r="G25" s="252"/>
      <c r="H25" s="252"/>
      <c r="I25" s="253">
        <f>'DOE25'!L261+'DOE25'!L262+'DOE25'!L342+'DOE25'!L343</f>
        <v>29224.71</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392472.9800000001</v>
      </c>
      <c r="D29" s="282">
        <f>'DOE25'!L359+'DOE25'!L360+'DOE25'!L361-'DOE25'!I368-F29-G29-H29</f>
        <v>384254.45000000007</v>
      </c>
      <c r="E29" s="242"/>
      <c r="F29" s="243"/>
      <c r="G29" s="53">
        <f>'DOE25'!J359+'DOE25'!J360+'DOE25'!J361</f>
        <v>6656.78</v>
      </c>
      <c r="H29" s="53">
        <f>'DOE25'!K359+'DOE25'!K360+'DOE25'!K361</f>
        <v>1561.75</v>
      </c>
      <c r="I29" s="255"/>
    </row>
    <row r="30" spans="1:9" x14ac:dyDescent="0.2">
      <c r="A30" s="32"/>
      <c r="C30" s="275"/>
      <c r="D30" s="20"/>
      <c r="E30" s="279"/>
      <c r="F30" s="269"/>
      <c r="G30" s="53"/>
      <c r="H30" s="53"/>
      <c r="I30" s="255"/>
    </row>
    <row r="31" spans="1:9" x14ac:dyDescent="0.2">
      <c r="A31" s="32" t="s">
        <v>818</v>
      </c>
      <c r="B31" t="s">
        <v>817</v>
      </c>
      <c r="C31" s="274">
        <f>SUM(D31:I31)</f>
        <v>3706579.49</v>
      </c>
      <c r="D31" s="20">
        <f>'DOE25'!L291+'DOE25'!L310+'DOE25'!L329+'DOE25'!L334+'DOE25'!L335+'DOE25'!L336-F31-G31-H31</f>
        <v>3492250.7600000002</v>
      </c>
      <c r="E31" s="242"/>
      <c r="F31" s="243"/>
      <c r="G31" s="53">
        <f>'DOE25'!J291+'DOE25'!J310+'DOE25'!J329+'DOE25'!J334+'DOE25'!J335+'DOE25'!J336</f>
        <v>197823.29</v>
      </c>
      <c r="H31" s="53">
        <f>'DOE25'!K291+'DOE25'!K310+'DOE25'!K329+'DOE25'!K334+'DOE25'!K335+'DOE25'!K336</f>
        <v>16505.439999999999</v>
      </c>
      <c r="I31" s="255"/>
    </row>
    <row r="32" spans="1:9" ht="12" thickBot="1" x14ac:dyDescent="0.25">
      <c r="C32" s="275"/>
      <c r="G32" s="250"/>
      <c r="H32" s="250"/>
      <c r="I32" s="257"/>
    </row>
    <row r="33" spans="1:9" ht="12" thickTop="1" x14ac:dyDescent="0.2">
      <c r="B33" t="s">
        <v>809</v>
      </c>
      <c r="D33" s="244">
        <f t="shared" ref="D33:I33" si="1">SUM(D5:D31)</f>
        <v>21267494.760000002</v>
      </c>
      <c r="E33" s="244">
        <f t="shared" si="1"/>
        <v>603081.71000000008</v>
      </c>
      <c r="F33" s="244">
        <f t="shared" si="1"/>
        <v>76500</v>
      </c>
      <c r="G33" s="244">
        <f t="shared" si="1"/>
        <v>466182.16000000003</v>
      </c>
      <c r="H33" s="244">
        <f t="shared" si="1"/>
        <v>81773.11</v>
      </c>
      <c r="I33" s="244">
        <f t="shared" si="1"/>
        <v>29224.71</v>
      </c>
    </row>
    <row r="35" spans="1:9" ht="12" thickBot="1" x14ac:dyDescent="0.25">
      <c r="B35" s="250" t="s">
        <v>831</v>
      </c>
      <c r="D35" s="251">
        <f>E33</f>
        <v>603081.71000000008</v>
      </c>
      <c r="E35" s="247"/>
      <c r="F35" s="328" t="s">
        <v>1617</v>
      </c>
      <c r="G35" s="329"/>
      <c r="H35" s="329"/>
      <c r="I35" s="329"/>
    </row>
    <row r="36" spans="1:9" ht="12" thickTop="1" x14ac:dyDescent="0.2">
      <c r="B36" t="s">
        <v>810</v>
      </c>
      <c r="D36" s="20">
        <f>D33</f>
        <v>21267494.760000002</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9" zoomScaleNormal="100" workbookViewId="0">
      <selection activeCell="G3" sqref="G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Berlin</v>
      </c>
      <c r="B2" s="126">
        <f>'DOE25'!B2</f>
        <v>51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9356858.4800000004</v>
      </c>
      <c r="G4" s="299">
        <f>'DOE25'!L212+'DOE25'!L291</f>
        <v>9356858.4800000004</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Berlin Elementary School</v>
      </c>
      <c r="B6" s="300">
        <f>IFERROR(VLOOKUP(A6,'School Tables'!$C$3:$D$365,2,FALSE),"")</f>
        <v>27035</v>
      </c>
      <c r="C6" s="293" t="str">
        <f>IFERROR(INDEX('School Tables'!$B$3:$B$365,MATCH('School Level Expenditures'!B6,'School Tables'!$D$3:$D$365,0)),"")</f>
        <v>Berlin</v>
      </c>
      <c r="D6" s="290">
        <v>7630603.1200000001</v>
      </c>
      <c r="E6" s="290">
        <v>1726255.36</v>
      </c>
      <c r="F6" s="303">
        <f t="shared" ref="F6:F20" si="0">D6+E6</f>
        <v>9356858.4800000004</v>
      </c>
      <c r="G6" s="293"/>
      <c r="H6" s="293"/>
      <c r="I6" s="385"/>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7630603.1200000001</v>
      </c>
      <c r="E21" s="338">
        <f>SUM(E5:E20)</f>
        <v>1726255.36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4383362.7699999996</v>
      </c>
      <c r="G24" s="299">
        <f>'DOE25'!L230+'DOE25'!L310</f>
        <v>4383362.7700000005</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Berlin Middle School</v>
      </c>
      <c r="B26" s="300">
        <f>IFERROR(VLOOKUP(A26,'School Tables'!$N$4:$O$75,2,FALSE),"")</f>
        <v>20045</v>
      </c>
      <c r="C26" s="293" t="str">
        <f>IFERROR(INDEX('School Tables'!$M$4:$M$75,MATCH('School Level Expenditures'!A26,'School Tables'!$N$4:$N$75,0)),"")</f>
        <v>Berlin</v>
      </c>
      <c r="D26" s="290">
        <v>4112012.11</v>
      </c>
      <c r="E26" s="290">
        <v>271350.65999999997</v>
      </c>
      <c r="F26" s="303">
        <f t="shared" ref="F26:F32" si="1">D26+E26</f>
        <v>4383362.7699999996</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4112012.11</v>
      </c>
      <c r="E33" s="338">
        <f>SUM(E25:E32)</f>
        <v>271350.65999999997</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8362337.5099999998</v>
      </c>
      <c r="G36" s="299">
        <f>'DOE25'!L248+'DOE25'!L329</f>
        <v>8362337.5099999988</v>
      </c>
      <c r="H36" s="340">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Berlin Senior High School</v>
      </c>
      <c r="B38" s="300">
        <f>IFERROR(VLOOKUP(A38,'School Tables'!$Y$4:$Z$100,2,FALSE),"")</f>
        <v>20050</v>
      </c>
      <c r="C38" s="293" t="str">
        <f>IFERROR(INDEX('School Tables'!$X$4:$X$100,MATCH('School Level Expenditures'!A38,'School Tables'!$Y$4:$Y$100,0)),"")</f>
        <v>Berlin</v>
      </c>
      <c r="D38" s="290">
        <v>6653364.04</v>
      </c>
      <c r="E38" s="290">
        <v>1708973.47</v>
      </c>
      <c r="F38" s="303">
        <f t="shared" si="2"/>
        <v>8362337.5099999998</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6653364.04</v>
      </c>
      <c r="E43" s="339">
        <f>SUM(E37:E42)</f>
        <v>1708973.47</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55"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Berlin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0</v>
      </c>
      <c r="D8" s="95">
        <f>'DOE25'!G9</f>
        <v>360574.8</v>
      </c>
      <c r="E8" s="95">
        <f>'DOE25'!H9</f>
        <v>0</v>
      </c>
      <c r="F8" s="95">
        <f>'DOE25'!I9</f>
        <v>0</v>
      </c>
      <c r="G8" s="95">
        <f>'DOE25'!J9</f>
        <v>0</v>
      </c>
      <c r="H8" s="124">
        <f>SUM(C8:G8)</f>
        <v>360574.8</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0</v>
      </c>
      <c r="D18" s="41">
        <f>SUM(D8:D17)</f>
        <v>360574.8</v>
      </c>
      <c r="E18" s="41">
        <f>SUM(E8:E17)</f>
        <v>0</v>
      </c>
      <c r="F18" s="41">
        <f>SUM(F8:F17)</f>
        <v>0</v>
      </c>
      <c r="G18" s="41">
        <f>SUM(G8:G17)</f>
        <v>0</v>
      </c>
      <c r="H18" s="41">
        <f t="shared" si="0"/>
        <v>360574.8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0</v>
      </c>
      <c r="D31" s="41">
        <f>SUM(D21:D30)</f>
        <v>0</v>
      </c>
      <c r="E31" s="41">
        <f>SUM(E21:E30)</f>
        <v>0</v>
      </c>
      <c r="F31" s="41">
        <f>SUM(F21:F30)</f>
        <v>0</v>
      </c>
      <c r="G31" s="41">
        <f>SUM(G21:G30)</f>
        <v>0</v>
      </c>
      <c r="H31" s="41">
        <f t="shared" si="1"/>
        <v>0</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360574.8</v>
      </c>
      <c r="E47" s="95">
        <f>'DOE25'!H48</f>
        <v>0</v>
      </c>
      <c r="F47" s="95">
        <f>'DOE25'!I48</f>
        <v>0</v>
      </c>
      <c r="G47" s="95">
        <f>'DOE25'!J48</f>
        <v>0</v>
      </c>
      <c r="H47" s="124">
        <f t="shared" si="2"/>
        <v>360574.8</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0</v>
      </c>
      <c r="D50" s="41">
        <f>SUM(D34:D49)</f>
        <v>360574.8</v>
      </c>
      <c r="E50" s="41">
        <f>SUM(E34:E49)</f>
        <v>0</v>
      </c>
      <c r="F50" s="41">
        <f>SUM(F34:F49)</f>
        <v>0</v>
      </c>
      <c r="G50" s="41">
        <f>SUM(G34:G49)</f>
        <v>0</v>
      </c>
      <c r="H50" s="41">
        <f t="shared" si="2"/>
        <v>360574.8</v>
      </c>
      <c r="I50" s="124"/>
    </row>
    <row r="51" spans="1:9" ht="12" thickTop="1" x14ac:dyDescent="0.2">
      <c r="A51" s="38" t="s">
        <v>885</v>
      </c>
      <c r="B51" s="2"/>
      <c r="C51" s="41">
        <f>C50+C31</f>
        <v>0</v>
      </c>
      <c r="D51" s="41">
        <f>D50+D31</f>
        <v>360574.8</v>
      </c>
      <c r="E51" s="41">
        <f>E50+E31</f>
        <v>0</v>
      </c>
      <c r="F51" s="41">
        <f>F50+F31</f>
        <v>0</v>
      </c>
      <c r="G51" s="41">
        <f>G50+G31</f>
        <v>0</v>
      </c>
      <c r="H51" s="41">
        <f t="shared" si="2"/>
        <v>360574.8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5261076.0199999996</v>
      </c>
      <c r="D56" s="95">
        <f>'DOE25'!G60</f>
        <v>0</v>
      </c>
      <c r="E56" s="95">
        <f>'DOE25'!H60</f>
        <v>0</v>
      </c>
      <c r="F56" s="95">
        <f>'DOE25'!I60</f>
        <v>0</v>
      </c>
      <c r="G56" s="95">
        <f>'DOE25'!J60</f>
        <v>0</v>
      </c>
      <c r="H56" s="124">
        <f t="shared" ref="H56:H63" si="3">SUM(C56:G56)</f>
        <v>5261076.0199999996</v>
      </c>
      <c r="I56"/>
    </row>
    <row r="57" spans="1:9" x14ac:dyDescent="0.2">
      <c r="A57" s="1" t="s">
        <v>164</v>
      </c>
      <c r="B57" s="6" t="s">
        <v>165</v>
      </c>
      <c r="C57" s="95">
        <f>'DOE25'!F79</f>
        <v>1461431.25</v>
      </c>
      <c r="D57" s="24" t="s">
        <v>288</v>
      </c>
      <c r="E57" s="95">
        <f>'DOE25'!H79</f>
        <v>0</v>
      </c>
      <c r="F57" s="24" t="s">
        <v>288</v>
      </c>
      <c r="G57" s="24" t="s">
        <v>288</v>
      </c>
      <c r="H57" s="124">
        <f t="shared" si="3"/>
        <v>1461431.25</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0</v>
      </c>
      <c r="H59" s="124">
        <f t="shared" si="3"/>
        <v>0</v>
      </c>
      <c r="I59"/>
    </row>
    <row r="60" spans="1:9" x14ac:dyDescent="0.2">
      <c r="A60" s="1" t="s">
        <v>170</v>
      </c>
      <c r="B60" s="118" t="s">
        <v>171</v>
      </c>
      <c r="C60" s="24" t="s">
        <v>288</v>
      </c>
      <c r="D60" s="95">
        <f>'DOE25'!G97</f>
        <v>46954.23</v>
      </c>
      <c r="E60" s="24" t="s">
        <v>288</v>
      </c>
      <c r="F60" s="24" t="s">
        <v>288</v>
      </c>
      <c r="G60" s="24" t="s">
        <v>288</v>
      </c>
      <c r="H60" s="124">
        <f t="shared" si="3"/>
        <v>46954.23</v>
      </c>
      <c r="I60"/>
    </row>
    <row r="61" spans="1:9" ht="12" thickBot="1" x14ac:dyDescent="0.25">
      <c r="A61" s="1" t="s">
        <v>172</v>
      </c>
      <c r="B61" s="118" t="s">
        <v>173</v>
      </c>
      <c r="C61" s="95">
        <f>SUM('DOE25'!F98:F110)</f>
        <v>12236.54</v>
      </c>
      <c r="D61" s="95">
        <f>SUM('DOE25'!G98:G110)</f>
        <v>0</v>
      </c>
      <c r="E61" s="95">
        <f>SUM('DOE25'!H98:H110)</f>
        <v>71613.399999999994</v>
      </c>
      <c r="F61" s="95">
        <f>SUM('DOE25'!I98:I110)</f>
        <v>0</v>
      </c>
      <c r="G61" s="95">
        <f>SUM('DOE25'!J98:J110)</f>
        <v>0</v>
      </c>
      <c r="H61" s="124">
        <f t="shared" si="3"/>
        <v>83849.94</v>
      </c>
      <c r="I61"/>
    </row>
    <row r="62" spans="1:9" ht="12.75" thickTop="1" thickBot="1" x14ac:dyDescent="0.25">
      <c r="A62" s="29" t="s">
        <v>174</v>
      </c>
      <c r="B62" s="6"/>
      <c r="C62" s="130">
        <f>SUM(C57:C61)</f>
        <v>1473667.79</v>
      </c>
      <c r="D62" s="130">
        <f>SUM(D57:D61)</f>
        <v>46954.23</v>
      </c>
      <c r="E62" s="130">
        <f>SUM(E57:E61)</f>
        <v>71613.399999999994</v>
      </c>
      <c r="F62" s="130">
        <f>SUM(F57:F61)</f>
        <v>0</v>
      </c>
      <c r="G62" s="130">
        <f>SUM(G57:G61)</f>
        <v>0</v>
      </c>
      <c r="H62" s="124">
        <f t="shared" si="3"/>
        <v>1592235.42</v>
      </c>
      <c r="I62"/>
    </row>
    <row r="63" spans="1:9" ht="12" thickTop="1" x14ac:dyDescent="0.2">
      <c r="A63" s="29" t="s">
        <v>175</v>
      </c>
      <c r="B63" s="6"/>
      <c r="C63" s="22">
        <f>C56+C62</f>
        <v>6734743.8099999996</v>
      </c>
      <c r="D63" s="22">
        <f>D56+D62</f>
        <v>46954.23</v>
      </c>
      <c r="E63" s="22">
        <f>E56+E62</f>
        <v>71613.399999999994</v>
      </c>
      <c r="F63" s="22">
        <f>F56+F62</f>
        <v>0</v>
      </c>
      <c r="G63" s="22">
        <f>G56+G62</f>
        <v>0</v>
      </c>
      <c r="H63" s="124">
        <f t="shared" si="3"/>
        <v>6853311.4400000004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10645884.9</v>
      </c>
      <c r="D66" s="24" t="s">
        <v>288</v>
      </c>
      <c r="E66" s="24" t="s">
        <v>288</v>
      </c>
      <c r="F66" s="24" t="s">
        <v>288</v>
      </c>
      <c r="G66" s="24" t="s">
        <v>288</v>
      </c>
      <c r="H66" s="124">
        <f t="shared" ref="H66:H81" si="4">SUM(C66:G66)</f>
        <v>10645884.9</v>
      </c>
      <c r="I66"/>
    </row>
    <row r="67" spans="1:9" x14ac:dyDescent="0.2">
      <c r="A67" s="1" t="s">
        <v>770</v>
      </c>
      <c r="B67" s="6">
        <v>3112</v>
      </c>
      <c r="C67" s="95">
        <f>'DOE25'!F118</f>
        <v>645350</v>
      </c>
      <c r="D67" s="24"/>
      <c r="E67" s="24"/>
      <c r="F67" s="24"/>
      <c r="G67" s="24"/>
      <c r="H67" s="124">
        <f t="shared" si="4"/>
        <v>645350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1185.95</v>
      </c>
      <c r="D69" s="95">
        <f>'DOE25'!G120</f>
        <v>0</v>
      </c>
      <c r="E69" s="95">
        <f>'DOE25'!H120</f>
        <v>0</v>
      </c>
      <c r="F69" s="95">
        <f>'DOE25'!I120</f>
        <v>0</v>
      </c>
      <c r="G69" s="95">
        <f>'DOE25'!J120</f>
        <v>0</v>
      </c>
      <c r="H69" s="124">
        <f t="shared" si="4"/>
        <v>1185.95</v>
      </c>
      <c r="I69"/>
    </row>
    <row r="70" spans="1:9" ht="12" thickTop="1" x14ac:dyDescent="0.2">
      <c r="A70" s="29" t="s">
        <v>252</v>
      </c>
      <c r="B70" s="2"/>
      <c r="C70" s="139">
        <f>SUM(C66:C69)</f>
        <v>11292420.85</v>
      </c>
      <c r="D70" s="139">
        <f>D69</f>
        <v>0</v>
      </c>
      <c r="E70" s="139">
        <f>E69</f>
        <v>0</v>
      </c>
      <c r="F70" s="139">
        <f>F69</f>
        <v>0</v>
      </c>
      <c r="G70" s="139">
        <f>G69</f>
        <v>0</v>
      </c>
      <c r="H70" s="124">
        <f t="shared" si="4"/>
        <v>11292420.85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86327.53</v>
      </c>
      <c r="D76" s="24" t="s">
        <v>288</v>
      </c>
      <c r="E76" s="95">
        <f>SUM('DOE25'!H127:H130)</f>
        <v>9415.6</v>
      </c>
      <c r="F76" s="95">
        <f>SUM('DOE25'!I127:I130)</f>
        <v>0</v>
      </c>
      <c r="G76" s="24" t="s">
        <v>288</v>
      </c>
      <c r="H76" s="124">
        <f t="shared" si="4"/>
        <v>95743.13</v>
      </c>
      <c r="I76"/>
    </row>
    <row r="77" spans="1:9" ht="12" thickBot="1" x14ac:dyDescent="0.25">
      <c r="A77" s="1" t="s">
        <v>258</v>
      </c>
      <c r="B77" s="6" t="s">
        <v>180</v>
      </c>
      <c r="C77" s="95">
        <f>SUM('DOE25'!F131:F135)</f>
        <v>0</v>
      </c>
      <c r="D77" s="95">
        <f>SUM('DOE25'!G131:G135)</f>
        <v>30124.21</v>
      </c>
      <c r="E77" s="95">
        <f>SUM('DOE25'!H131:H135)</f>
        <v>0</v>
      </c>
      <c r="F77" s="95">
        <f>SUM('DOE25'!I131:I135)</f>
        <v>0</v>
      </c>
      <c r="G77" s="95">
        <f>SUM('DOE25'!J131:J135)</f>
        <v>0</v>
      </c>
      <c r="H77" s="124">
        <f t="shared" si="4"/>
        <v>30124.21</v>
      </c>
      <c r="I77"/>
    </row>
    <row r="78" spans="1:9" ht="12.75" thickTop="1" thickBot="1" x14ac:dyDescent="0.25">
      <c r="A78" s="29" t="s">
        <v>259</v>
      </c>
      <c r="B78" s="6"/>
      <c r="C78" s="130">
        <f>SUM(C72:C77)</f>
        <v>86327.53</v>
      </c>
      <c r="D78" s="130">
        <f>SUM(D72:D77)</f>
        <v>30124.21</v>
      </c>
      <c r="E78" s="130">
        <f>SUM(E72:E77)</f>
        <v>9415.6</v>
      </c>
      <c r="F78" s="130">
        <f>SUM(F72:F77)</f>
        <v>0</v>
      </c>
      <c r="G78" s="130">
        <f>SUM(G72:G77)</f>
        <v>0</v>
      </c>
      <c r="H78" s="124">
        <f t="shared" si="4"/>
        <v>125867.34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11378748.379999999</v>
      </c>
      <c r="D81" s="130">
        <f>SUM(D79:D80)+D78+D70</f>
        <v>30124.21</v>
      </c>
      <c r="E81" s="130">
        <f>SUM(E79:E80)+E78+E70</f>
        <v>9415.6</v>
      </c>
      <c r="F81" s="130">
        <f>SUM(F79:F80)+F78+F70</f>
        <v>0</v>
      </c>
      <c r="G81" s="130">
        <f>SUM(G79:G80)+G78+G70</f>
        <v>0</v>
      </c>
      <c r="H81" s="130">
        <f t="shared" si="4"/>
        <v>11418288.189999999</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299024.69</v>
      </c>
      <c r="D88" s="326">
        <f>SUM('DOE25'!G153:G162)</f>
        <v>868247.56</v>
      </c>
      <c r="E88" s="326">
        <f>SUM('DOE25'!H153:H162)</f>
        <v>3480364.5200000005</v>
      </c>
      <c r="F88" s="326">
        <f>SUM('DOE25'!I153:I162)</f>
        <v>0</v>
      </c>
      <c r="G88" s="24" t="s">
        <v>288</v>
      </c>
      <c r="H88" s="124">
        <f t="shared" si="5"/>
        <v>4647636.7700000005</v>
      </c>
    </row>
    <row r="89" spans="1:9" x14ac:dyDescent="0.2">
      <c r="A89" t="s">
        <v>748</v>
      </c>
      <c r="B89" s="32" t="s">
        <v>185</v>
      </c>
      <c r="C89" s="95">
        <f>'DOE25'!F164+'DOE25'!F167+'DOE25'!F169</f>
        <v>0</v>
      </c>
      <c r="D89" s="95">
        <f>'DOE25'!G164+'DOE25'!G169</f>
        <v>0</v>
      </c>
      <c r="E89" s="95">
        <f>'DOE25'!H164+'DOE25'!H169</f>
        <v>9079.1200000000008</v>
      </c>
      <c r="F89" s="95">
        <f>'DOE25'!I164</f>
        <v>0</v>
      </c>
      <c r="G89" s="24" t="s">
        <v>288</v>
      </c>
      <c r="H89" s="124">
        <f t="shared" si="5"/>
        <v>9079.1200000000008</v>
      </c>
    </row>
    <row r="90" spans="1:9" ht="12" thickBot="1" x14ac:dyDescent="0.25">
      <c r="A90" t="s">
        <v>749</v>
      </c>
      <c r="B90" s="32">
        <v>4810</v>
      </c>
      <c r="C90" s="95">
        <f>'DOE25'!F166</f>
        <v>12687.1</v>
      </c>
      <c r="D90" s="24" t="s">
        <v>288</v>
      </c>
      <c r="E90" s="24" t="s">
        <v>288</v>
      </c>
      <c r="F90" s="24" t="s">
        <v>288</v>
      </c>
      <c r="G90" s="24" t="s">
        <v>288</v>
      </c>
      <c r="H90" s="124">
        <f t="shared" si="5"/>
        <v>12687.1</v>
      </c>
    </row>
    <row r="91" spans="1:9" ht="12.75" thickTop="1" thickBot="1" x14ac:dyDescent="0.25">
      <c r="A91" s="33" t="s">
        <v>750</v>
      </c>
      <c r="C91" s="131">
        <f>SUM(C85:C90)</f>
        <v>311711.78999999998</v>
      </c>
      <c r="D91" s="131">
        <f>SUM(D85:D90)</f>
        <v>868247.56</v>
      </c>
      <c r="E91" s="131">
        <f>SUM(E85:E90)</f>
        <v>3489443.6400000006</v>
      </c>
      <c r="F91" s="131">
        <f>SUM(F85:F90)</f>
        <v>0</v>
      </c>
      <c r="G91" s="24" t="s">
        <v>288</v>
      </c>
      <c r="H91" s="124">
        <f t="shared" si="5"/>
        <v>4669402.99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18425203.979999997</v>
      </c>
      <c r="D104" s="86">
        <f>D63+D81+D91+D103</f>
        <v>945326</v>
      </c>
      <c r="E104" s="86">
        <f>E63+E81+E91+E103</f>
        <v>3570472.6400000006</v>
      </c>
      <c r="F104" s="86">
        <f>F63+F81+F91+F103</f>
        <v>0</v>
      </c>
      <c r="G104" s="86">
        <f>G63+G81+G103</f>
        <v>0</v>
      </c>
      <c r="H104" s="86">
        <f t="shared" si="5"/>
        <v>22941002.619999997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7835682.1500000004</v>
      </c>
      <c r="D109" s="24" t="s">
        <v>288</v>
      </c>
      <c r="E109" s="95">
        <f>('DOE25'!L277)+('DOE25'!L296)+('DOE25'!L315)</f>
        <v>811350.37999999989</v>
      </c>
      <c r="F109" s="24" t="s">
        <v>288</v>
      </c>
      <c r="G109" s="24" t="s">
        <v>288</v>
      </c>
      <c r="H109" s="124">
        <f t="shared" ref="H109:H115" si="6">SUM(C109:G109)</f>
        <v>8647032.5300000012</v>
      </c>
    </row>
    <row r="110" spans="1:8" x14ac:dyDescent="0.2">
      <c r="A110" t="s">
        <v>198</v>
      </c>
      <c r="B110" s="32" t="s">
        <v>199</v>
      </c>
      <c r="C110" s="95">
        <f>('DOE25'!L199)+('DOE25'!L217)+('DOE25'!L235)</f>
        <v>3602574.92</v>
      </c>
      <c r="D110" s="24" t="s">
        <v>288</v>
      </c>
      <c r="E110" s="95">
        <f>('DOE25'!L278)+('DOE25'!L297)+('DOE25'!L316)</f>
        <v>1065749.1399999999</v>
      </c>
      <c r="F110" s="24" t="s">
        <v>288</v>
      </c>
      <c r="G110" s="24" t="s">
        <v>288</v>
      </c>
      <c r="H110" s="124">
        <f t="shared" si="6"/>
        <v>4668324.0599999996</v>
      </c>
    </row>
    <row r="111" spans="1:8" x14ac:dyDescent="0.2">
      <c r="A111" t="s">
        <v>200</v>
      </c>
      <c r="B111" s="32" t="s">
        <v>165</v>
      </c>
      <c r="C111" s="95">
        <f>('DOE25'!L200)+('DOE25'!L218)+('DOE25'!L236)</f>
        <v>755842.5199999999</v>
      </c>
      <c r="D111" s="24" t="s">
        <v>288</v>
      </c>
      <c r="E111" s="95">
        <f>('DOE25'!L279)+('DOE25'!L298)+('DOE25'!L317)</f>
        <v>75923.180000000008</v>
      </c>
      <c r="F111" s="24" t="s">
        <v>288</v>
      </c>
      <c r="G111" s="24" t="s">
        <v>288</v>
      </c>
      <c r="H111" s="124">
        <f t="shared" si="6"/>
        <v>831765.7</v>
      </c>
    </row>
    <row r="112" spans="1:8" x14ac:dyDescent="0.2">
      <c r="A112" t="s">
        <v>201</v>
      </c>
      <c r="B112" s="32" t="s">
        <v>167</v>
      </c>
      <c r="C112" s="95">
        <f>('DOE25'!L201)+('DOE25'!L219)+('DOE25'!L237)</f>
        <v>398975.37</v>
      </c>
      <c r="D112" s="24" t="s">
        <v>288</v>
      </c>
      <c r="E112" s="95">
        <f>+('DOE25'!L280)+('DOE25'!L299)+('DOE25'!L318)</f>
        <v>225315.7</v>
      </c>
      <c r="F112" s="24" t="s">
        <v>288</v>
      </c>
      <c r="G112" s="24" t="s">
        <v>288</v>
      </c>
      <c r="H112" s="124">
        <f t="shared" si="6"/>
        <v>624291.07000000007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12593074.959999999</v>
      </c>
      <c r="D115" s="86">
        <f>SUM(D109:D114)</f>
        <v>0</v>
      </c>
      <c r="E115" s="86">
        <f>SUM(E109:E114)</f>
        <v>2178338.4</v>
      </c>
      <c r="F115" s="86">
        <f>SUM(F109:F114)</f>
        <v>0</v>
      </c>
      <c r="G115" s="86">
        <f>SUM(G109:G114)</f>
        <v>0</v>
      </c>
      <c r="H115" s="86">
        <f t="shared" si="6"/>
        <v>14771413.359999999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1904403.25</v>
      </c>
      <c r="D118" s="24" t="s">
        <v>288</v>
      </c>
      <c r="E118" s="95">
        <f>+('DOE25'!L282)+('DOE25'!L301)+('DOE25'!L320)</f>
        <v>72580.14</v>
      </c>
      <c r="F118" s="24" t="s">
        <v>288</v>
      </c>
      <c r="G118" s="24" t="s">
        <v>288</v>
      </c>
      <c r="H118" s="124">
        <f t="shared" ref="H118:H145" si="7">SUM(C118:G118)</f>
        <v>1976983.39</v>
      </c>
    </row>
    <row r="119" spans="1:8" x14ac:dyDescent="0.2">
      <c r="A119" t="s">
        <v>208</v>
      </c>
      <c r="B119" s="32" t="s">
        <v>209</v>
      </c>
      <c r="C119" s="95">
        <f>('DOE25'!L204)+('DOE25'!L222)+('DOE25'!L240)</f>
        <v>266096.82</v>
      </c>
      <c r="D119" s="24" t="s">
        <v>288</v>
      </c>
      <c r="E119" s="95">
        <f>+('DOE25'!L283)+('DOE25'!L302)+('DOE25'!L321)</f>
        <v>18851</v>
      </c>
      <c r="F119" s="24" t="s">
        <v>288</v>
      </c>
      <c r="G119" s="24" t="s">
        <v>288</v>
      </c>
      <c r="H119" s="124">
        <f t="shared" si="7"/>
        <v>284947.82</v>
      </c>
    </row>
    <row r="120" spans="1:8" x14ac:dyDescent="0.2">
      <c r="A120" t="s">
        <v>210</v>
      </c>
      <c r="B120" s="32" t="s">
        <v>211</v>
      </c>
      <c r="C120" s="95">
        <f>('DOE25'!L205)+('DOE25'!L223)+('DOE25'!L241)</f>
        <v>657422.04</v>
      </c>
      <c r="D120" s="24" t="s">
        <v>288</v>
      </c>
      <c r="E120" s="95">
        <f>+('DOE25'!L284)+('DOE25'!L303)+('DOE25'!L322)</f>
        <v>0</v>
      </c>
      <c r="F120" s="24" t="s">
        <v>288</v>
      </c>
      <c r="G120" s="24" t="s">
        <v>288</v>
      </c>
      <c r="H120" s="124">
        <f t="shared" si="7"/>
        <v>657422.04</v>
      </c>
    </row>
    <row r="121" spans="1:8" x14ac:dyDescent="0.2">
      <c r="A121" t="s">
        <v>212</v>
      </c>
      <c r="B121" s="32" t="s">
        <v>213</v>
      </c>
      <c r="C121" s="95">
        <f>('DOE25'!L206)+('DOE25'!L224)+('DOE25'!L242)</f>
        <v>933318.14999999991</v>
      </c>
      <c r="D121" s="24" t="s">
        <v>288</v>
      </c>
      <c r="E121" s="95">
        <f>+('DOE25'!L285)+('DOE25'!L304)+('DOE25'!L323)</f>
        <v>0</v>
      </c>
      <c r="F121" s="24" t="s">
        <v>288</v>
      </c>
      <c r="G121" s="24" t="s">
        <v>288</v>
      </c>
      <c r="H121" s="124">
        <f t="shared" si="7"/>
        <v>933318.14999999991</v>
      </c>
    </row>
    <row r="122" spans="1:8" x14ac:dyDescent="0.2">
      <c r="A122" t="s">
        <v>214</v>
      </c>
      <c r="B122" s="32" t="s">
        <v>215</v>
      </c>
      <c r="C122" s="95">
        <f>('DOE25'!L207)+('DOE25'!L225)+('DOE25'!L243)</f>
        <v>234356.03</v>
      </c>
      <c r="D122" s="24" t="s">
        <v>288</v>
      </c>
      <c r="E122" s="95">
        <f>+('DOE25'!L286)+('DOE25'!L305)+('DOE25'!L324)</f>
        <v>19458.900000000001</v>
      </c>
      <c r="F122" s="24" t="s">
        <v>288</v>
      </c>
      <c r="G122" s="24" t="s">
        <v>288</v>
      </c>
      <c r="H122" s="124">
        <f t="shared" si="7"/>
        <v>253814.93</v>
      </c>
    </row>
    <row r="123" spans="1:8" x14ac:dyDescent="0.2">
      <c r="A123" t="s">
        <v>216</v>
      </c>
      <c r="B123" s="32" t="s">
        <v>217</v>
      </c>
      <c r="C123" s="95">
        <f>('DOE25'!L208)+('DOE25'!L226)+('DOE25'!L244)</f>
        <v>1450870.1400000001</v>
      </c>
      <c r="D123" s="24" t="s">
        <v>288</v>
      </c>
      <c r="E123" s="95">
        <f>+('DOE25'!L287)+('DOE25'!L306)+('DOE25'!L325)</f>
        <v>1316545.75</v>
      </c>
      <c r="F123" s="24" t="s">
        <v>288</v>
      </c>
      <c r="G123" s="24" t="s">
        <v>288</v>
      </c>
      <c r="H123" s="124">
        <f t="shared" si="7"/>
        <v>2767415.89</v>
      </c>
    </row>
    <row r="124" spans="1:8" x14ac:dyDescent="0.2">
      <c r="A124" t="s">
        <v>218</v>
      </c>
      <c r="B124" s="32" t="s">
        <v>219</v>
      </c>
      <c r="C124" s="95">
        <f>('DOE25'!L209)+('DOE25'!L227)+('DOE25'!L245+'DOE25'!L255)</f>
        <v>354886.36</v>
      </c>
      <c r="D124" s="24" t="s">
        <v>288</v>
      </c>
      <c r="E124" s="95">
        <f>+('DOE25'!L288)+('DOE25'!L307)+('DOE25'!L326)</f>
        <v>100805.3</v>
      </c>
      <c r="F124" s="24" t="s">
        <v>288</v>
      </c>
      <c r="G124" s="24" t="s">
        <v>288</v>
      </c>
      <c r="H124" s="124">
        <f t="shared" si="7"/>
        <v>455691.66</v>
      </c>
    </row>
    <row r="125" spans="1:8" x14ac:dyDescent="0.2">
      <c r="A125" t="s">
        <v>220</v>
      </c>
      <c r="B125" s="32" t="s">
        <v>221</v>
      </c>
      <c r="C125" s="95">
        <f>('DOE25'!L210)+('DOE25'!L228)+('DOE25'!L246)</f>
        <v>1551.52</v>
      </c>
      <c r="D125" s="24" t="s">
        <v>288</v>
      </c>
      <c r="E125" s="95">
        <f>+('DOE25'!L289)+('DOE25'!L308)+('DOE25'!L327)</f>
        <v>0</v>
      </c>
      <c r="F125" s="24" t="s">
        <v>288</v>
      </c>
      <c r="G125" s="24" t="s">
        <v>288</v>
      </c>
      <c r="H125" s="124">
        <f t="shared" si="7"/>
        <v>1551.52</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702972.70000000007</v>
      </c>
      <c r="E127" s="24" t="s">
        <v>288</v>
      </c>
      <c r="F127" s="24" t="s">
        <v>288</v>
      </c>
      <c r="G127" s="24" t="s">
        <v>288</v>
      </c>
      <c r="H127" s="124">
        <f t="shared" si="7"/>
        <v>702972.70000000007</v>
      </c>
    </row>
    <row r="128" spans="1:8" ht="12.75" thickTop="1" thickBot="1" x14ac:dyDescent="0.25">
      <c r="A128" s="33" t="s">
        <v>226</v>
      </c>
      <c r="C128" s="86">
        <f>SUM(C118:C127)</f>
        <v>5802904.3099999996</v>
      </c>
      <c r="D128" s="86">
        <f>SUM(D118:D127)</f>
        <v>702972.70000000007</v>
      </c>
      <c r="E128" s="86">
        <f>SUM(E118:E127)</f>
        <v>1528241.09</v>
      </c>
      <c r="F128" s="86">
        <f>SUM(F118:F127)</f>
        <v>0</v>
      </c>
      <c r="G128" s="86">
        <f>SUM(G118:G127)</f>
        <v>0</v>
      </c>
      <c r="H128" s="86">
        <f t="shared" si="7"/>
        <v>8034118.0999999996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23572</v>
      </c>
      <c r="D131" s="24" t="s">
        <v>288</v>
      </c>
      <c r="E131" s="129">
        <f>'DOE25'!L342</f>
        <v>0</v>
      </c>
      <c r="F131" s="24" t="s">
        <v>288</v>
      </c>
      <c r="G131" s="24" t="s">
        <v>288</v>
      </c>
      <c r="H131" s="124">
        <f t="shared" si="7"/>
        <v>23572</v>
      </c>
    </row>
    <row r="132" spans="1:8" x14ac:dyDescent="0.2">
      <c r="A132" t="s">
        <v>230</v>
      </c>
      <c r="B132" s="32">
        <v>5120</v>
      </c>
      <c r="C132" s="95">
        <f>'DOE25'!L262</f>
        <v>5652.71</v>
      </c>
      <c r="D132" s="24" t="s">
        <v>288</v>
      </c>
      <c r="E132" s="129">
        <f>'DOE25'!L343</f>
        <v>0</v>
      </c>
      <c r="F132" s="24" t="s">
        <v>288</v>
      </c>
      <c r="G132" s="24" t="s">
        <v>288</v>
      </c>
      <c r="H132" s="124">
        <f t="shared" si="7"/>
        <v>5652.71</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29224.71</v>
      </c>
      <c r="D144" s="141">
        <f>SUM(D130:D143)</f>
        <v>0</v>
      </c>
      <c r="E144" s="141">
        <f>SUM(E130:E143)</f>
        <v>0</v>
      </c>
      <c r="F144" s="141">
        <f>SUM(F130:F143)</f>
        <v>0</v>
      </c>
      <c r="G144" s="141">
        <f>SUM(G130:G143)</f>
        <v>0</v>
      </c>
      <c r="H144" s="141">
        <f t="shared" si="7"/>
        <v>29224.71</v>
      </c>
    </row>
    <row r="145" spans="1:9" ht="12.75" thickTop="1" thickBot="1" x14ac:dyDescent="0.25">
      <c r="A145" s="33" t="s">
        <v>244</v>
      </c>
      <c r="C145" s="86">
        <f>(C115+C128+C144)</f>
        <v>18425203.98</v>
      </c>
      <c r="D145" s="86">
        <f>(D115+D128+D144)</f>
        <v>702972.70000000007</v>
      </c>
      <c r="E145" s="86">
        <f>(E115+E128+E144)</f>
        <v>3706579.49</v>
      </c>
      <c r="F145" s="86">
        <f>(F115+F128+F144)</f>
        <v>0</v>
      </c>
      <c r="G145" s="86">
        <f>(G115+G128+G144)</f>
        <v>0</v>
      </c>
      <c r="H145" s="86">
        <f t="shared" si="7"/>
        <v>22834756.170000002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29</v>
      </c>
      <c r="C151" s="153">
        <f>'DOE25'!G491</f>
        <v>0</v>
      </c>
      <c r="D151" s="153">
        <f>'DOE25'!H491</f>
        <v>0</v>
      </c>
      <c r="E151" s="153">
        <f>'DOE25'!I491</f>
        <v>0</v>
      </c>
      <c r="F151" s="153">
        <f>'DOE25'!J491</f>
        <v>0</v>
      </c>
      <c r="G151" s="24" t="s">
        <v>288</v>
      </c>
    </row>
    <row r="152" spans="1:9" x14ac:dyDescent="0.2">
      <c r="A152" s="136" t="s">
        <v>28</v>
      </c>
      <c r="B152" s="152" t="str">
        <f>'DOE25'!F492</f>
        <v>01/10</v>
      </c>
      <c r="C152" s="152">
        <f>'DOE25'!G492</f>
        <v>0</v>
      </c>
      <c r="D152" s="152">
        <f>'DOE25'!H492</f>
        <v>0</v>
      </c>
      <c r="E152" s="152">
        <f>'DOE25'!I492</f>
        <v>0</v>
      </c>
      <c r="F152" s="152">
        <f>'DOE25'!J492</f>
        <v>0</v>
      </c>
      <c r="G152" s="24" t="s">
        <v>288</v>
      </c>
    </row>
    <row r="153" spans="1:9" x14ac:dyDescent="0.2">
      <c r="A153" s="136" t="s">
        <v>29</v>
      </c>
      <c r="B153" s="152" t="str">
        <f>'DOE25'!F493</f>
        <v>8/25</v>
      </c>
      <c r="C153" s="152">
        <f>'DOE25'!G493</f>
        <v>0</v>
      </c>
      <c r="D153" s="152">
        <f>'DOE25'!H493</f>
        <v>0</v>
      </c>
      <c r="E153" s="152">
        <f>'DOE25'!I493</f>
        <v>0</v>
      </c>
      <c r="F153" s="152">
        <f>'DOE25'!J493</f>
        <v>0</v>
      </c>
      <c r="G153" s="24" t="s">
        <v>288</v>
      </c>
    </row>
    <row r="154" spans="1:9" x14ac:dyDescent="0.2">
      <c r="A154" s="136" t="s">
        <v>30</v>
      </c>
      <c r="B154" s="137">
        <f>'DOE25'!F494</f>
        <v>357204.63</v>
      </c>
      <c r="C154" s="137">
        <f>'DOE25'!G494</f>
        <v>0</v>
      </c>
      <c r="D154" s="137">
        <f>'DOE25'!H494</f>
        <v>0</v>
      </c>
      <c r="E154" s="137">
        <f>'DOE25'!I494</f>
        <v>0</v>
      </c>
      <c r="F154" s="137">
        <f>'DOE25'!J494</f>
        <v>0</v>
      </c>
      <c r="G154" s="24" t="s">
        <v>288</v>
      </c>
    </row>
    <row r="155" spans="1:9" x14ac:dyDescent="0.2">
      <c r="A155" s="136" t="s">
        <v>31</v>
      </c>
      <c r="B155" s="137">
        <f>'DOE25'!F495</f>
        <v>2.85</v>
      </c>
      <c r="C155" s="137">
        <f>'DOE25'!G495</f>
        <v>0</v>
      </c>
      <c r="D155" s="137">
        <f>'DOE25'!H495</f>
        <v>0</v>
      </c>
      <c r="E155" s="137">
        <f>'DOE25'!I495</f>
        <v>0</v>
      </c>
      <c r="F155" s="137">
        <f>'DOE25'!J495</f>
        <v>0</v>
      </c>
      <c r="G155" s="24" t="s">
        <v>288</v>
      </c>
    </row>
    <row r="156" spans="1:9" x14ac:dyDescent="0.2">
      <c r="A156" s="22" t="s">
        <v>32</v>
      </c>
      <c r="B156" s="137">
        <f>'DOE25'!F496</f>
        <v>130325.33</v>
      </c>
      <c r="C156" s="137">
        <f>'DOE25'!G496</f>
        <v>0</v>
      </c>
      <c r="D156" s="137">
        <f>'DOE25'!H496</f>
        <v>0</v>
      </c>
      <c r="E156" s="137">
        <f>'DOE25'!I496</f>
        <v>0</v>
      </c>
      <c r="F156" s="137">
        <f>'DOE25'!J496</f>
        <v>0</v>
      </c>
      <c r="G156" s="138">
        <f>SUM(B156:F156)</f>
        <v>130325.33</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23572</v>
      </c>
      <c r="C158" s="137">
        <f>'DOE25'!G498</f>
        <v>0</v>
      </c>
      <c r="D158" s="137">
        <f>'DOE25'!H498</f>
        <v>0</v>
      </c>
      <c r="E158" s="137">
        <f>'DOE25'!I498</f>
        <v>0</v>
      </c>
      <c r="F158" s="137">
        <f>'DOE25'!J498</f>
        <v>0</v>
      </c>
      <c r="G158" s="138">
        <f t="shared" si="8"/>
        <v>23572</v>
      </c>
    </row>
    <row r="159" spans="1:9" x14ac:dyDescent="0.2">
      <c r="A159" s="22" t="s">
        <v>35</v>
      </c>
      <c r="B159" s="137">
        <f>'DOE25'!F499</f>
        <v>122788.93</v>
      </c>
      <c r="C159" s="137">
        <f>'DOE25'!G499</f>
        <v>0</v>
      </c>
      <c r="D159" s="137">
        <f>'DOE25'!H499</f>
        <v>0</v>
      </c>
      <c r="E159" s="137">
        <f>'DOE25'!I499</f>
        <v>0</v>
      </c>
      <c r="F159" s="137">
        <f>'DOE25'!J499</f>
        <v>0</v>
      </c>
      <c r="G159" s="138">
        <f t="shared" si="8"/>
        <v>122788.93</v>
      </c>
    </row>
    <row r="160" spans="1:9" x14ac:dyDescent="0.2">
      <c r="A160" s="22" t="s">
        <v>36</v>
      </c>
      <c r="B160" s="137">
        <f>'DOE25'!F500</f>
        <v>9658.5400000000009</v>
      </c>
      <c r="C160" s="137">
        <f>'DOE25'!G500</f>
        <v>0</v>
      </c>
      <c r="D160" s="137">
        <f>'DOE25'!H500</f>
        <v>0</v>
      </c>
      <c r="E160" s="137">
        <f>'DOE25'!I500</f>
        <v>0</v>
      </c>
      <c r="F160" s="137">
        <f>'DOE25'!J500</f>
        <v>0</v>
      </c>
      <c r="G160" s="138">
        <f t="shared" si="8"/>
        <v>9658.5400000000009</v>
      </c>
    </row>
    <row r="161" spans="1:7" x14ac:dyDescent="0.2">
      <c r="A161" s="22" t="s">
        <v>37</v>
      </c>
      <c r="B161" s="137">
        <f>'DOE25'!F501</f>
        <v>132447.47</v>
      </c>
      <c r="C161" s="137">
        <f>'DOE25'!G501</f>
        <v>0</v>
      </c>
      <c r="D161" s="137">
        <f>'DOE25'!H501</f>
        <v>0</v>
      </c>
      <c r="E161" s="137">
        <f>'DOE25'!I501</f>
        <v>0</v>
      </c>
      <c r="F161" s="137">
        <f>'DOE25'!J501</f>
        <v>0</v>
      </c>
      <c r="G161" s="138">
        <f t="shared" si="8"/>
        <v>132447.47</v>
      </c>
    </row>
    <row r="162" spans="1:7" x14ac:dyDescent="0.2">
      <c r="A162" s="22" t="s">
        <v>38</v>
      </c>
      <c r="B162" s="137">
        <f>'DOE25'!F502</f>
        <v>81853.33</v>
      </c>
      <c r="C162" s="137">
        <f>'DOE25'!G502</f>
        <v>0</v>
      </c>
      <c r="D162" s="137">
        <f>'DOE25'!H502</f>
        <v>0</v>
      </c>
      <c r="E162" s="137">
        <f>'DOE25'!I502</f>
        <v>0</v>
      </c>
      <c r="F162" s="137">
        <f>'DOE25'!J502</f>
        <v>0</v>
      </c>
      <c r="G162" s="138">
        <f t="shared" si="8"/>
        <v>81853.33</v>
      </c>
    </row>
    <row r="163" spans="1:7" x14ac:dyDescent="0.2">
      <c r="A163" s="22" t="s">
        <v>39</v>
      </c>
      <c r="B163" s="137">
        <f>'DOE25'!F503</f>
        <v>5302.46</v>
      </c>
      <c r="C163" s="137">
        <f>'DOE25'!G503</f>
        <v>0</v>
      </c>
      <c r="D163" s="137">
        <f>'DOE25'!H503</f>
        <v>0</v>
      </c>
      <c r="E163" s="137">
        <f>'DOE25'!I503</f>
        <v>0</v>
      </c>
      <c r="F163" s="137">
        <f>'DOE25'!J503</f>
        <v>0</v>
      </c>
      <c r="G163" s="138">
        <f t="shared" si="8"/>
        <v>5302.46</v>
      </c>
    </row>
    <row r="164" spans="1:7" x14ac:dyDescent="0.2">
      <c r="A164" s="22" t="s">
        <v>246</v>
      </c>
      <c r="B164" s="137">
        <f>'DOE25'!F504</f>
        <v>87155.790000000008</v>
      </c>
      <c r="C164" s="137">
        <f>'DOE25'!G504</f>
        <v>0</v>
      </c>
      <c r="D164" s="137">
        <f>'DOE25'!H504</f>
        <v>0</v>
      </c>
      <c r="E164" s="137">
        <f>'DOE25'!I504</f>
        <v>0</v>
      </c>
      <c r="F164" s="137">
        <f>'DOE25'!J504</f>
        <v>0</v>
      </c>
      <c r="G164" s="138">
        <f t="shared" si="8"/>
        <v>87155.790000000008</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Berlin</v>
      </c>
    </row>
    <row r="3" spans="1:4" x14ac:dyDescent="0.2">
      <c r="B3" s="187" t="s">
        <v>1799</v>
      </c>
    </row>
    <row r="4" spans="1:4" x14ac:dyDescent="0.2">
      <c r="B4" t="s">
        <v>61</v>
      </c>
      <c r="C4" s="178">
        <f>IF('DOE25'!F666+'DOE25'!F671=0,0,ROUND('DOE25'!F673,0))</f>
        <v>20245</v>
      </c>
    </row>
    <row r="5" spans="1:4" x14ac:dyDescent="0.2">
      <c r="B5" t="s">
        <v>700</v>
      </c>
      <c r="C5" s="178">
        <f>IF('DOE25'!G666+'DOE25'!G671=0,0,ROUND('DOE25'!G673,0))</f>
        <v>16527</v>
      </c>
    </row>
    <row r="6" spans="1:4" x14ac:dyDescent="0.2">
      <c r="B6" t="s">
        <v>62</v>
      </c>
      <c r="C6" s="178">
        <f>IF('DOE25'!H666+'DOE25'!H671=0,0,ROUND('DOE25'!H673,0))</f>
        <v>22341</v>
      </c>
    </row>
    <row r="7" spans="1:4" x14ac:dyDescent="0.2">
      <c r="B7" t="s">
        <v>701</v>
      </c>
      <c r="C7" s="178">
        <f>IF('DOE25'!I666+'DOE25'!I671=0,0,ROUND('DOE25'!I673,0))</f>
        <v>20083</v>
      </c>
    </row>
    <row r="9" spans="1:4" x14ac:dyDescent="0.2">
      <c r="A9" s="186" t="s">
        <v>94</v>
      </c>
      <c r="B9" s="187" t="s">
        <v>1800</v>
      </c>
      <c r="C9" s="180" t="s">
        <v>720</v>
      </c>
      <c r="D9" s="180" t="s">
        <v>721</v>
      </c>
    </row>
    <row r="10" spans="1:4" x14ac:dyDescent="0.2">
      <c r="A10">
        <v>1100</v>
      </c>
      <c r="B10" t="s">
        <v>702</v>
      </c>
      <c r="C10" s="178">
        <f>ROUND('DOE25'!L198+'DOE25'!L216+'DOE25'!L234+'DOE25'!L277+'DOE25'!L296+'DOE25'!L315,0)</f>
        <v>8647033</v>
      </c>
      <c r="D10" s="181">
        <f>ROUND((C10/$C$28)*100,1)</f>
        <v>38</v>
      </c>
    </row>
    <row r="11" spans="1:4" x14ac:dyDescent="0.2">
      <c r="A11">
        <v>1200</v>
      </c>
      <c r="B11" t="s">
        <v>703</v>
      </c>
      <c r="C11" s="178">
        <f>ROUND('DOE25'!L199+'DOE25'!L217+'DOE25'!L235+'DOE25'!L278+'DOE25'!L297+'DOE25'!L316,0)</f>
        <v>4668324</v>
      </c>
      <c r="D11" s="181">
        <f>ROUND((C11/$C$28)*100,1)</f>
        <v>20.5</v>
      </c>
    </row>
    <row r="12" spans="1:4" x14ac:dyDescent="0.2">
      <c r="A12">
        <v>1300</v>
      </c>
      <c r="B12" t="s">
        <v>704</v>
      </c>
      <c r="C12" s="178">
        <f>ROUND('DOE25'!L200+'DOE25'!L218+'DOE25'!L236+'DOE25'!L279+'DOE25'!L298+'DOE25'!L317,0)</f>
        <v>831766</v>
      </c>
      <c r="D12" s="181">
        <f>ROUND((C12/$C$28)*100,1)</f>
        <v>3.7</v>
      </c>
    </row>
    <row r="13" spans="1:4" x14ac:dyDescent="0.2">
      <c r="A13">
        <v>1400</v>
      </c>
      <c r="B13" t="s">
        <v>705</v>
      </c>
      <c r="C13" s="178">
        <f>ROUND('DOE25'!L201+'DOE25'!L219+'DOE25'!L237+'DOE25'!L280+'DOE25'!L299+'DOE25'!L318,0)</f>
        <v>624291</v>
      </c>
      <c r="D13" s="181">
        <f>ROUND((C13/$C$28)*100,1)</f>
        <v>2.7</v>
      </c>
    </row>
    <row r="14" spans="1:4" x14ac:dyDescent="0.2">
      <c r="D14" s="181"/>
    </row>
    <row r="15" spans="1:4" x14ac:dyDescent="0.2">
      <c r="A15">
        <v>2100</v>
      </c>
      <c r="B15" t="s">
        <v>706</v>
      </c>
      <c r="C15" s="178">
        <f>ROUND('DOE25'!L203+'DOE25'!L221+'DOE25'!L239+'DOE25'!L282+'DOE25'!L301+'DOE25'!L320,0)</f>
        <v>1976983</v>
      </c>
      <c r="D15" s="181">
        <f t="shared" ref="D15:D27" si="0">ROUND((C15/$C$28)*100,1)</f>
        <v>8.6999999999999993</v>
      </c>
    </row>
    <row r="16" spans="1:4" x14ac:dyDescent="0.2">
      <c r="A16">
        <v>2200</v>
      </c>
      <c r="B16" t="s">
        <v>707</v>
      </c>
      <c r="C16" s="178">
        <f>ROUND('DOE25'!L204+'DOE25'!L222+'DOE25'!L240+'DOE25'!L283+'DOE25'!L302+'DOE25'!L321,0)</f>
        <v>284948</v>
      </c>
      <c r="D16" s="181">
        <f t="shared" si="0"/>
        <v>1.3</v>
      </c>
    </row>
    <row r="17" spans="1:4" x14ac:dyDescent="0.2">
      <c r="A17" s="182" t="s">
        <v>723</v>
      </c>
      <c r="B17" t="s">
        <v>738</v>
      </c>
      <c r="C17" s="178">
        <f>ROUND('DOE25'!L205+'DOE25'!L210+'DOE25'!L223+'DOE25'!L228+'DOE25'!L241+'DOE25'!L246+'DOE25'!L284+'DOE25'!L289+'DOE25'!L303+'DOE25'!L308+'DOE25'!L322+'DOE25'!L327,0)</f>
        <v>658974</v>
      </c>
      <c r="D17" s="181">
        <f t="shared" si="0"/>
        <v>2.9</v>
      </c>
    </row>
    <row r="18" spans="1:4" x14ac:dyDescent="0.2">
      <c r="A18">
        <v>2400</v>
      </c>
      <c r="B18" t="s">
        <v>711</v>
      </c>
      <c r="C18" s="178">
        <f>ROUND('DOE25'!L206+'DOE25'!L224+'DOE25'!L242+'DOE25'!L285+'DOE25'!L304+'DOE25'!L323,0)</f>
        <v>933318</v>
      </c>
      <c r="D18" s="181">
        <f t="shared" si="0"/>
        <v>4.0999999999999996</v>
      </c>
    </row>
    <row r="19" spans="1:4" x14ac:dyDescent="0.2">
      <c r="A19">
        <v>2500</v>
      </c>
      <c r="B19" t="s">
        <v>708</v>
      </c>
      <c r="C19" s="178">
        <f>ROUND('DOE25'!L207+'DOE25'!L225+'DOE25'!L243+'DOE25'!L286+'DOE25'!L305+'DOE25'!L324,0)</f>
        <v>253815</v>
      </c>
      <c r="D19" s="181">
        <f t="shared" si="0"/>
        <v>1.1000000000000001</v>
      </c>
    </row>
    <row r="20" spans="1:4" x14ac:dyDescent="0.2">
      <c r="A20">
        <v>2600</v>
      </c>
      <c r="B20" t="s">
        <v>709</v>
      </c>
      <c r="C20" s="178">
        <f>ROUND('DOE25'!L208+'DOE25'!L226+'DOE25'!L244+'DOE25'!L287+'DOE25'!L306+'DOE25'!L325,0)</f>
        <v>2767416</v>
      </c>
      <c r="D20" s="181">
        <f t="shared" si="0"/>
        <v>12.2</v>
      </c>
    </row>
    <row r="21" spans="1:4" x14ac:dyDescent="0.2">
      <c r="A21">
        <v>2700</v>
      </c>
      <c r="B21" t="s">
        <v>710</v>
      </c>
      <c r="C21" s="178">
        <f>ROUND('DOE25'!L209+'DOE25'!L227+'DOE25'!L245+'DOE25'!L288+'DOE25'!L307+'DOE25'!L326,0)</f>
        <v>455692</v>
      </c>
      <c r="D21" s="181">
        <f t="shared" si="0"/>
        <v>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5653</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656018.77</v>
      </c>
      <c r="D27" s="181">
        <f t="shared" si="0"/>
        <v>2.9</v>
      </c>
    </row>
    <row r="28" spans="1:4" x14ac:dyDescent="0.2">
      <c r="B28" s="186" t="s">
        <v>719</v>
      </c>
      <c r="C28" s="179">
        <f>SUM(C10:C27)</f>
        <v>22764231.77</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22764231.77</v>
      </c>
    </row>
    <row r="31" spans="1:4" x14ac:dyDescent="0.2">
      <c r="B31" s="33"/>
      <c r="C31" s="179"/>
    </row>
    <row r="32" spans="1:4" x14ac:dyDescent="0.2">
      <c r="A32">
        <v>5100</v>
      </c>
      <c r="B32" s="33" t="s">
        <v>726</v>
      </c>
      <c r="C32" s="179">
        <f>ROUND('DOE25'!L261+'DOE25'!L342,0)</f>
        <v>23572</v>
      </c>
    </row>
    <row r="34" spans="1:4" x14ac:dyDescent="0.2">
      <c r="A34" s="186" t="s">
        <v>94</v>
      </c>
      <c r="B34" s="187" t="s">
        <v>1801</v>
      </c>
      <c r="C34" s="180" t="s">
        <v>720</v>
      </c>
      <c r="D34" s="180" t="s">
        <v>721</v>
      </c>
    </row>
    <row r="35" spans="1:4" x14ac:dyDescent="0.2">
      <c r="A35">
        <v>1100</v>
      </c>
      <c r="B35" s="184" t="s">
        <v>727</v>
      </c>
      <c r="C35" s="178">
        <f>ROUND('DOE25'!F60+'DOE25'!G60+'DOE25'!H60+'DOE25'!I60+'DOE25'!J60,0)</f>
        <v>5261076</v>
      </c>
      <c r="D35" s="181">
        <f t="shared" ref="D35:D40" si="1">ROUND((C35/$C$41)*100,1)</f>
        <v>23</v>
      </c>
    </row>
    <row r="36" spans="1:4" x14ac:dyDescent="0.2">
      <c r="B36" s="184" t="s">
        <v>739</v>
      </c>
      <c r="C36" s="178">
        <f>SUM('DOE25'!F112:J112)-SUM('DOE25'!G97:G110)+('DOE25'!F175+'DOE25'!F176+'DOE25'!I175+'DOE25'!I176)-C35</f>
        <v>1545281.21</v>
      </c>
      <c r="D36" s="181">
        <f t="shared" si="1"/>
        <v>6.7</v>
      </c>
    </row>
    <row r="37" spans="1:4" x14ac:dyDescent="0.2">
      <c r="A37" s="182" t="s">
        <v>835</v>
      </c>
      <c r="B37" s="184" t="s">
        <v>728</v>
      </c>
      <c r="C37" s="178">
        <f>ROUND('DOE25'!F117+'DOE25'!F118,0)</f>
        <v>11291235</v>
      </c>
      <c r="D37" s="181">
        <f t="shared" si="1"/>
        <v>49.3</v>
      </c>
    </row>
    <row r="38" spans="1:4" x14ac:dyDescent="0.2">
      <c r="A38" s="182" t="s">
        <v>734</v>
      </c>
      <c r="B38" s="184" t="s">
        <v>729</v>
      </c>
      <c r="C38" s="178">
        <f>ROUND(SUM('DOE25'!F140:J140)-SUM('DOE25'!F117:F119),0)</f>
        <v>127053</v>
      </c>
      <c r="D38" s="181">
        <f t="shared" si="1"/>
        <v>0.6</v>
      </c>
    </row>
    <row r="39" spans="1:4" x14ac:dyDescent="0.2">
      <c r="A39">
        <v>4000</v>
      </c>
      <c r="B39" s="184" t="s">
        <v>730</v>
      </c>
      <c r="C39" s="178">
        <f>ROUND('DOE25'!F170+'DOE25'!G170+'DOE25'!H170+'DOE25'!I170,0)</f>
        <v>4669403</v>
      </c>
      <c r="D39" s="181">
        <f t="shared" si="1"/>
        <v>20.399999999999999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22894048.210000001</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10" sqref="A10"/>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Berlin</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v>22</v>
      </c>
      <c r="B4" s="218">
        <v>17</v>
      </c>
      <c r="C4" s="388" t="s">
        <v>1804</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v>13</v>
      </c>
      <c r="B5" s="218">
        <v>10</v>
      </c>
      <c r="C5" s="388" t="s">
        <v>1805</v>
      </c>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t="s">
        <v>1806</v>
      </c>
      <c r="B7" s="218" t="s">
        <v>1807</v>
      </c>
      <c r="C7" s="388" t="s">
        <v>1808</v>
      </c>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t="s">
        <v>1809</v>
      </c>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t="s">
        <v>1810</v>
      </c>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6</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5</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f>IF('School Level Expenditures'!$B$2='School Tables'!W8,'School Tables'!AD8,"")</f>
        <v>5</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f>IF('School Level Expenditures'!$B$2='School Tables'!L9,'School Tables'!S9,"")</f>
        <v>6</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f>IF('School Level Expenditures'!$B$2=A25,'School Tables'!H25,"")</f>
        <v>22</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2022-07-27T12:41:22Z</cp:lastPrinted>
  <dcterms:created xsi:type="dcterms:W3CDTF">1997-12-04T19:04:30Z</dcterms:created>
  <dcterms:modified xsi:type="dcterms:W3CDTF">2022-12-19T12:58:23Z</dcterms:modified>
</cp:coreProperties>
</file>