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EC4AB68-A446-4D17-93A8-F1F48EAE449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24" i="1" l="1"/>
  <c r="F524" i="1"/>
  <c r="G523" i="1"/>
  <c r="F523" i="1"/>
  <c r="G522" i="1"/>
  <c r="F522" i="1"/>
  <c r="F22" i="1" l="1"/>
  <c r="F12" i="1"/>
  <c r="F9" i="1"/>
  <c r="I234" i="1"/>
  <c r="I237" i="1"/>
  <c r="G24" i="1"/>
  <c r="G158" i="1" l="1"/>
  <c r="G97" i="1"/>
  <c r="F441" i="1"/>
  <c r="F15" i="13"/>
  <c r="F6" i="13"/>
  <c r="F5" i="13"/>
  <c r="E38" i="14" l="1"/>
  <c r="E26" i="14"/>
  <c r="E6" i="14"/>
  <c r="C37" i="12"/>
  <c r="B37" i="12"/>
  <c r="C38" i="12"/>
  <c r="B38" i="12"/>
  <c r="C39" i="12" l="1"/>
  <c r="B39" i="12"/>
  <c r="C20" i="12"/>
  <c r="C19" i="12"/>
  <c r="C21" i="12"/>
  <c r="B21" i="12"/>
  <c r="B19" i="12"/>
  <c r="B20" i="12" s="1"/>
  <c r="C10" i="12"/>
  <c r="B10" i="12"/>
  <c r="C12" i="12"/>
  <c r="B12" i="12"/>
  <c r="C11" i="12"/>
  <c r="B11" i="12"/>
  <c r="E9" i="17" l="1"/>
  <c r="E13" i="17"/>
  <c r="J96" i="1" l="1"/>
  <c r="J180" i="1"/>
  <c r="G390" i="1"/>
  <c r="K416" i="1"/>
  <c r="J605" i="1" l="1"/>
  <c r="I605" i="1"/>
  <c r="H605" i="1"/>
  <c r="J594" i="1"/>
  <c r="J593" i="1"/>
  <c r="I593" i="1"/>
  <c r="H593" i="1"/>
  <c r="G583" i="1" l="1"/>
  <c r="H527" i="1"/>
  <c r="G529" i="1"/>
  <c r="G528" i="1"/>
  <c r="G527" i="1"/>
  <c r="J529" i="1"/>
  <c r="J528" i="1"/>
  <c r="J527" i="1"/>
  <c r="I529" i="1"/>
  <c r="I528" i="1"/>
  <c r="I527" i="1"/>
  <c r="H529" i="1"/>
  <c r="H528" i="1"/>
  <c r="F529" i="1"/>
  <c r="F528" i="1"/>
  <c r="F527" i="1"/>
  <c r="K524" i="1"/>
  <c r="J524" i="1"/>
  <c r="I524" i="1"/>
  <c r="H524" i="1"/>
  <c r="K523" i="1"/>
  <c r="J523" i="1"/>
  <c r="I523" i="1"/>
  <c r="H523" i="1"/>
  <c r="K522" i="1"/>
  <c r="J522" i="1"/>
  <c r="I522" i="1"/>
  <c r="H522" i="1"/>
  <c r="F36" i="1" l="1"/>
  <c r="F17" i="1"/>
  <c r="H204" i="1"/>
  <c r="H240" i="1"/>
  <c r="H222" i="1"/>
  <c r="G240" i="1"/>
  <c r="G222" i="1"/>
  <c r="G204" i="1"/>
  <c r="F240" i="1"/>
  <c r="F222" i="1"/>
  <c r="F204" i="1"/>
  <c r="G245" i="1"/>
  <c r="G227" i="1"/>
  <c r="G209" i="1"/>
  <c r="J245" i="1"/>
  <c r="J227" i="1"/>
  <c r="J209" i="1"/>
  <c r="I245" i="1"/>
  <c r="I227" i="1"/>
  <c r="I209" i="1"/>
  <c r="H245" i="1"/>
  <c r="H227" i="1"/>
  <c r="H209" i="1"/>
  <c r="F245" i="1"/>
  <c r="F227" i="1"/>
  <c r="F209" i="1"/>
  <c r="K245" i="1"/>
  <c r="K227" i="1"/>
  <c r="K209" i="1"/>
  <c r="H244" i="1"/>
  <c r="H226" i="1"/>
  <c r="H208" i="1"/>
  <c r="F208" i="1"/>
  <c r="F226" i="1"/>
  <c r="F244" i="1"/>
  <c r="G244" i="1"/>
  <c r="G226" i="1"/>
  <c r="G208" i="1"/>
  <c r="I244" i="1"/>
  <c r="I226" i="1"/>
  <c r="I208" i="1"/>
  <c r="J244" i="1"/>
  <c r="G242" i="1"/>
  <c r="K242" i="1"/>
  <c r="K224" i="1"/>
  <c r="K206" i="1"/>
  <c r="I242" i="1"/>
  <c r="I224" i="1"/>
  <c r="I206" i="1"/>
  <c r="H224" i="1"/>
  <c r="H242" i="1"/>
  <c r="H206" i="1"/>
  <c r="F242" i="1"/>
  <c r="F224" i="1"/>
  <c r="F206" i="1"/>
  <c r="H241" i="1"/>
  <c r="H223" i="1"/>
  <c r="H205" i="1"/>
  <c r="G241" i="1"/>
  <c r="G223" i="1"/>
  <c r="G205" i="1"/>
  <c r="F241" i="1"/>
  <c r="F223" i="1"/>
  <c r="F205" i="1"/>
  <c r="I241" i="1"/>
  <c r="I223" i="1"/>
  <c r="I205" i="1"/>
  <c r="J240" i="1"/>
  <c r="J222" i="1"/>
  <c r="J204" i="1"/>
  <c r="K240" i="1"/>
  <c r="I240" i="1"/>
  <c r="I222" i="1"/>
  <c r="I204" i="1"/>
  <c r="G239" i="1"/>
  <c r="G221" i="1"/>
  <c r="G203" i="1"/>
  <c r="J239" i="1"/>
  <c r="J221" i="1"/>
  <c r="J203" i="1"/>
  <c r="I239" i="1"/>
  <c r="I221" i="1"/>
  <c r="I203" i="1"/>
  <c r="H239" i="1"/>
  <c r="H221" i="1"/>
  <c r="H203" i="1"/>
  <c r="F239" i="1"/>
  <c r="F221" i="1"/>
  <c r="F203" i="1"/>
  <c r="K239" i="1"/>
  <c r="G237" i="1"/>
  <c r="F237" i="1"/>
  <c r="G219" i="1"/>
  <c r="F219" i="1"/>
  <c r="K237" i="1"/>
  <c r="K219" i="1"/>
  <c r="J237" i="1"/>
  <c r="J219" i="1"/>
  <c r="I219" i="1"/>
  <c r="H237" i="1"/>
  <c r="H219" i="1"/>
  <c r="G201" i="1"/>
  <c r="K201" i="1"/>
  <c r="I201" i="1"/>
  <c r="F201" i="1"/>
  <c r="G217" i="1"/>
  <c r="I235" i="1"/>
  <c r="F217" i="1"/>
  <c r="H235" i="1"/>
  <c r="H217" i="1"/>
  <c r="G234" i="1" l="1"/>
  <c r="G216" i="1"/>
  <c r="G198" i="1"/>
  <c r="F234" i="1"/>
  <c r="F216" i="1"/>
  <c r="G235" i="1" l="1"/>
  <c r="G199" i="1"/>
  <c r="F235" i="1"/>
  <c r="F199" i="1"/>
  <c r="K235" i="1"/>
  <c r="K217" i="1"/>
  <c r="K199" i="1"/>
  <c r="J235" i="1"/>
  <c r="J217" i="1"/>
  <c r="J199" i="1"/>
  <c r="I217" i="1"/>
  <c r="I199" i="1"/>
  <c r="H199" i="1"/>
  <c r="I216" i="1"/>
  <c r="I198" i="1"/>
  <c r="H234" i="1"/>
  <c r="H216" i="1"/>
  <c r="H198" i="1"/>
  <c r="K234" i="1"/>
  <c r="J234" i="1"/>
  <c r="J198" i="1"/>
  <c r="J216" i="1"/>
  <c r="F198" i="1"/>
  <c r="F469" i="1" l="1"/>
  <c r="F110" i="1"/>
  <c r="F63" i="1"/>
  <c r="F69" i="1"/>
  <c r="F68" i="1"/>
  <c r="K277" i="1"/>
  <c r="J277" i="1"/>
  <c r="K296" i="1"/>
  <c r="H302" i="1"/>
  <c r="H283" i="1"/>
  <c r="I296" i="1"/>
  <c r="I277" i="1"/>
  <c r="K302" i="1"/>
  <c r="K283" i="1"/>
  <c r="I302" i="1"/>
  <c r="I283" i="1"/>
  <c r="G302" i="1"/>
  <c r="F302" i="1"/>
  <c r="K278" i="1"/>
  <c r="H278" i="1"/>
  <c r="H277" i="1"/>
  <c r="G301" i="1"/>
  <c r="F301" i="1"/>
  <c r="G278" i="1"/>
  <c r="F278" i="1"/>
  <c r="H321" i="1"/>
  <c r="H316" i="1"/>
  <c r="J297" i="1"/>
  <c r="J316" i="1"/>
  <c r="J278" i="1"/>
  <c r="H297" i="1"/>
  <c r="H135" i="1"/>
  <c r="H161" i="1"/>
  <c r="H162" i="1"/>
  <c r="H155" i="1"/>
  <c r="H368" i="1"/>
  <c r="G368" i="1"/>
  <c r="F368"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E21" i="14"/>
  <c r="G36" i="13" l="1"/>
  <c r="G29" i="13"/>
  <c r="B22" i="12" l="1"/>
  <c r="B5" i="14" l="1"/>
  <c r="C5" i="14" s="1"/>
  <c r="F88" i="2" l="1"/>
  <c r="E88" i="2"/>
  <c r="D88" i="2"/>
  <c r="C88" i="2"/>
  <c r="I163" i="1"/>
  <c r="H163" i="1"/>
  <c r="G163" i="1"/>
  <c r="F163" i="1"/>
  <c r="H88" i="2" l="1"/>
  <c r="B31" i="16"/>
  <c r="B27" i="16"/>
  <c r="B9" i="16"/>
  <c r="B5" i="16"/>
  <c r="F42" i="14" l="1"/>
  <c r="F39" i="14" l="1"/>
  <c r="F40" i="14"/>
  <c r="F41" i="14"/>
  <c r="F37" i="14"/>
  <c r="F27" i="14"/>
  <c r="F28" i="14"/>
  <c r="F29" i="14"/>
  <c r="F30" i="14"/>
  <c r="F31" i="14"/>
  <c r="F32" i="14"/>
  <c r="F7" i="14"/>
  <c r="F8" i="14"/>
  <c r="F9" i="14"/>
  <c r="F10" i="14"/>
  <c r="F11" i="14"/>
  <c r="F12" i="14"/>
  <c r="F13" i="14"/>
  <c r="F14" i="14"/>
  <c r="F15" i="14"/>
  <c r="F16" i="14"/>
  <c r="F17" i="14"/>
  <c r="F18" i="14"/>
  <c r="F19" i="14"/>
  <c r="F20" i="14"/>
  <c r="F25" i="14"/>
  <c r="F5"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E38" i="2"/>
  <c r="D38" i="2"/>
  <c r="C38"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G14" i="13"/>
  <c r="H14" i="13"/>
  <c r="L208" i="1"/>
  <c r="L226" i="1"/>
  <c r="G15" i="13"/>
  <c r="H15" i="13"/>
  <c r="L209" i="1"/>
  <c r="L227" i="1"/>
  <c r="G663" i="1" s="1"/>
  <c r="L245" i="1"/>
  <c r="G652" i="1" s="1"/>
  <c r="G17" i="13"/>
  <c r="H17" i="13"/>
  <c r="L252" i="1"/>
  <c r="G18" i="13"/>
  <c r="H18" i="13"/>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36" i="1"/>
  <c r="J140" i="1" s="1"/>
  <c r="F147" i="1"/>
  <c r="C85" i="2" s="1"/>
  <c r="G147" i="1"/>
  <c r="D85" i="2" s="1"/>
  <c r="H147" i="1"/>
  <c r="H170" i="1" s="1"/>
  <c r="I147" i="1"/>
  <c r="L251" i="1"/>
  <c r="C113" i="2" s="1"/>
  <c r="L333" i="1"/>
  <c r="E113" i="2" s="1"/>
  <c r="L269" i="1"/>
  <c r="L270" i="1"/>
  <c r="C143" i="2" s="1"/>
  <c r="L350" i="1"/>
  <c r="E142" i="2" s="1"/>
  <c r="L351" i="1"/>
  <c r="E143" i="2" s="1"/>
  <c r="H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42" i="1"/>
  <c r="J550" i="1" s="1"/>
  <c r="L543" i="1"/>
  <c r="J551" i="1" s="1"/>
  <c r="L544" i="1"/>
  <c r="J552" i="1" s="1"/>
  <c r="E132" i="2"/>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H26" i="2" s="1"/>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E69" i="2"/>
  <c r="E70" i="2" s="1"/>
  <c r="F69" i="2"/>
  <c r="F70" i="2" s="1"/>
  <c r="G69" i="2"/>
  <c r="G70" i="2" s="1"/>
  <c r="C72" i="2"/>
  <c r="F72" i="2"/>
  <c r="H72" i="2" s="1"/>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F93" i="2"/>
  <c r="C94" i="2"/>
  <c r="F94" i="2"/>
  <c r="H94" i="2" s="1"/>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4" i="2"/>
  <c r="F128" i="2"/>
  <c r="G128" i="2"/>
  <c r="D134" i="2"/>
  <c r="F134" i="2"/>
  <c r="K420" i="1"/>
  <c r="K428" i="1"/>
  <c r="K434" i="1"/>
  <c r="L264" i="1"/>
  <c r="C135"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G32" i="1"/>
  <c r="G52" i="1" s="1"/>
  <c r="H32" i="1"/>
  <c r="I32" i="1"/>
  <c r="H51" i="1"/>
  <c r="G625" i="1" s="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I248" i="1"/>
  <c r="J248" i="1"/>
  <c r="K248" i="1"/>
  <c r="F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G644" i="1"/>
  <c r="G645" i="1"/>
  <c r="H653" i="1"/>
  <c r="G654" i="1"/>
  <c r="I170" i="1"/>
  <c r="H618" i="1" l="1"/>
  <c r="F36" i="2"/>
  <c r="H36" i="2" s="1"/>
  <c r="H619" i="1"/>
  <c r="G62" i="2"/>
  <c r="I409" i="1"/>
  <c r="F409" i="1"/>
  <c r="H644" i="1" s="1"/>
  <c r="G646" i="1"/>
  <c r="G409" i="1"/>
  <c r="H646" i="1" s="1"/>
  <c r="J646" i="1" s="1"/>
  <c r="H48" i="2"/>
  <c r="J652" i="1"/>
  <c r="H25" i="2"/>
  <c r="H135" i="2"/>
  <c r="H113" i="2"/>
  <c r="C125" i="2"/>
  <c r="L253" i="1"/>
  <c r="H132" i="2"/>
  <c r="C32" i="10"/>
  <c r="H125" i="2"/>
  <c r="G651" i="1"/>
  <c r="C120" i="2"/>
  <c r="H120" i="2" s="1"/>
  <c r="C119" i="2"/>
  <c r="D6" i="13"/>
  <c r="C6" i="13" s="1"/>
  <c r="C112" i="2"/>
  <c r="H112" i="2" s="1"/>
  <c r="C12" i="10"/>
  <c r="D15" i="13"/>
  <c r="C15" i="13" s="1"/>
  <c r="E13" i="13"/>
  <c r="C13" i="13" s="1"/>
  <c r="C110" i="2"/>
  <c r="H93" i="2"/>
  <c r="F170" i="1"/>
  <c r="H80" i="2"/>
  <c r="H73" i="2"/>
  <c r="H58" i="2"/>
  <c r="H76" i="2"/>
  <c r="H44" i="2"/>
  <c r="H22" i="2"/>
  <c r="E121" i="2"/>
  <c r="C13" i="10"/>
  <c r="E111" i="2"/>
  <c r="A40" i="12"/>
  <c r="H101" i="2"/>
  <c r="H98" i="2"/>
  <c r="H96" i="2"/>
  <c r="H87" i="2"/>
  <c r="H79" i="2"/>
  <c r="H140" i="1"/>
  <c r="H102" i="2"/>
  <c r="H100" i="2"/>
  <c r="H97" i="2"/>
  <c r="H89" i="2"/>
  <c r="H85" i="2"/>
  <c r="H61" i="2"/>
  <c r="H59" i="2"/>
  <c r="H47" i="2"/>
  <c r="H43" i="2"/>
  <c r="H35" i="2"/>
  <c r="H34" i="2"/>
  <c r="H30" i="2"/>
  <c r="H29" i="2"/>
  <c r="H27" i="2"/>
  <c r="H24" i="2"/>
  <c r="H17" i="2"/>
  <c r="H15" i="2"/>
  <c r="H13" i="2"/>
  <c r="H12" i="2"/>
  <c r="H9" i="2"/>
  <c r="H8" i="2"/>
  <c r="H28" i="2"/>
  <c r="H21" i="2"/>
  <c r="H11" i="2"/>
  <c r="H99" i="2"/>
  <c r="H23" i="2"/>
  <c r="D144" i="2"/>
  <c r="G662" i="1"/>
  <c r="D70" i="2"/>
  <c r="H69" i="2"/>
  <c r="D78" i="2"/>
  <c r="H77" i="2"/>
  <c r="E119" i="2"/>
  <c r="H409" i="1"/>
  <c r="H645" i="1" s="1"/>
  <c r="J645" i="1" s="1"/>
  <c r="G339" i="1"/>
  <c r="G353" i="1" s="1"/>
  <c r="J258" i="1"/>
  <c r="J272" i="1" s="1"/>
  <c r="E123" i="2"/>
  <c r="E110" i="2"/>
  <c r="H110" i="2" s="1"/>
  <c r="K339" i="1"/>
  <c r="K353" i="1" s="1"/>
  <c r="J572" i="1"/>
  <c r="D50" i="2"/>
  <c r="E131" i="2"/>
  <c r="H131" i="2" s="1"/>
  <c r="G553" i="1"/>
  <c r="H663" i="1"/>
  <c r="F258" i="1"/>
  <c r="F272" i="1" s="1"/>
  <c r="I370" i="1"/>
  <c r="H635" i="1" s="1"/>
  <c r="J635" i="1" s="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D31" i="2"/>
  <c r="E31" i="2"/>
  <c r="C18" i="2"/>
  <c r="F18" i="2"/>
  <c r="F662" i="1"/>
  <c r="F572" i="1"/>
  <c r="L420" i="1"/>
  <c r="D9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G112" i="1"/>
  <c r="B10" i="16" s="1"/>
  <c r="E118" i="2"/>
  <c r="L212" i="1"/>
  <c r="D6" i="14" s="1"/>
  <c r="H648" i="1"/>
  <c r="L530" i="1"/>
  <c r="L539" i="1" s="1"/>
  <c r="I552" i="1" s="1"/>
  <c r="K552" i="1" s="1"/>
  <c r="H546" i="1"/>
  <c r="G164" i="2"/>
  <c r="G161" i="2"/>
  <c r="G157" i="2"/>
  <c r="G156" i="2"/>
  <c r="G81" i="2"/>
  <c r="C78" i="2"/>
  <c r="F78" i="2"/>
  <c r="F81" i="2" s="1"/>
  <c r="C70" i="2"/>
  <c r="D62" i="2"/>
  <c r="E57" i="2"/>
  <c r="C26" i="10"/>
  <c r="L434" i="1"/>
  <c r="L428" i="1"/>
  <c r="I258" i="1"/>
  <c r="I272" i="1" s="1"/>
  <c r="K258" i="1"/>
  <c r="G193" i="1"/>
  <c r="B13" i="16" s="1"/>
  <c r="F193" i="1"/>
  <c r="J553" i="1"/>
  <c r="K550" i="1"/>
  <c r="F553" i="1"/>
  <c r="L352" i="1"/>
  <c r="F130" i="2"/>
  <c r="G170" i="1"/>
  <c r="B12" i="16" s="1"/>
  <c r="J618" i="1"/>
  <c r="I25" i="13"/>
  <c r="L535" i="1"/>
  <c r="K501" i="1"/>
  <c r="I461" i="1"/>
  <c r="I453" i="1"/>
  <c r="I447" i="1"/>
  <c r="G643" i="1" s="1"/>
  <c r="H339" i="1"/>
  <c r="H353" i="1" s="1"/>
  <c r="E109" i="2"/>
  <c r="C56" i="2"/>
  <c r="H56" i="2" s="1"/>
  <c r="F663" i="1"/>
  <c r="C25" i="10"/>
  <c r="C21" i="10"/>
  <c r="C17" i="10"/>
  <c r="D19" i="13"/>
  <c r="C19" i="13" s="1"/>
  <c r="C62" i="2"/>
  <c r="G22" i="13"/>
  <c r="C22" i="13" s="1"/>
  <c r="K504" i="1"/>
  <c r="L383" i="1"/>
  <c r="C142" i="2"/>
  <c r="H142" i="2" s="1"/>
  <c r="C111" i="2"/>
  <c r="H662" i="1"/>
  <c r="C15" i="10"/>
  <c r="A13" i="12"/>
  <c r="D29" i="13"/>
  <c r="C29" i="13" s="1"/>
  <c r="D5" i="13"/>
  <c r="C5" i="13" s="1"/>
  <c r="E8" i="13"/>
  <c r="C8" i="13" s="1"/>
  <c r="C35" i="10"/>
  <c r="C29" i="10"/>
  <c r="G650" i="1"/>
  <c r="J650" i="1" s="1"/>
  <c r="L545" i="1"/>
  <c r="L525" i="1"/>
  <c r="J339" i="1"/>
  <c r="J353" i="1" s="1"/>
  <c r="D127" i="2"/>
  <c r="C122" i="2"/>
  <c r="C118" i="2"/>
  <c r="C19" i="10"/>
  <c r="C16" i="10"/>
  <c r="D17" i="13"/>
  <c r="C17" i="13" s="1"/>
  <c r="D7" i="13"/>
  <c r="C7" i="13" s="1"/>
  <c r="E16" i="13"/>
  <c r="C16" i="13" s="1"/>
  <c r="C10" i="10"/>
  <c r="C109" i="2"/>
  <c r="L230" i="1"/>
  <c r="D26" i="14" s="1"/>
  <c r="L338" i="1"/>
  <c r="F62" i="2"/>
  <c r="F63" i="2" s="1"/>
  <c r="C23" i="10"/>
  <c r="G163" i="2"/>
  <c r="G162" i="2"/>
  <c r="G160" i="2"/>
  <c r="G159" i="2"/>
  <c r="G158" i="2"/>
  <c r="G103" i="2"/>
  <c r="F103" i="2"/>
  <c r="C103" i="2"/>
  <c r="F91" i="2"/>
  <c r="E50" i="2"/>
  <c r="C50" i="2"/>
  <c r="F31" i="2"/>
  <c r="C31" i="2"/>
  <c r="E18" i="2"/>
  <c r="H31" i="13"/>
  <c r="H33" i="13" s="1"/>
  <c r="I339" i="1"/>
  <c r="I353" i="1" s="1"/>
  <c r="J651" i="1"/>
  <c r="L408" i="1"/>
  <c r="C140" i="2" s="1"/>
  <c r="H140" i="2" s="1"/>
  <c r="I193"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33" i="14" l="1"/>
  <c r="F26" i="14"/>
  <c r="F24" i="14" s="1"/>
  <c r="D21" i="14"/>
  <c r="F6" i="14"/>
  <c r="F4" i="14" s="1"/>
  <c r="F38" i="2"/>
  <c r="I51" i="1"/>
  <c r="B17" i="16"/>
  <c r="B19" i="16" s="1"/>
  <c r="G473" i="1"/>
  <c r="H134" i="2"/>
  <c r="H16" i="2"/>
  <c r="H42" i="2"/>
  <c r="L538" i="1"/>
  <c r="J540" i="1"/>
  <c r="J546" i="1" s="1"/>
  <c r="L572" i="1"/>
  <c r="D18" i="13"/>
  <c r="C18" i="13" s="1"/>
  <c r="C114" i="2"/>
  <c r="C115" i="2" s="1"/>
  <c r="L255" i="1"/>
  <c r="G257" i="1"/>
  <c r="H119" i="2"/>
  <c r="H122" i="2"/>
  <c r="H111" i="2"/>
  <c r="I663" i="1"/>
  <c r="L244" i="1"/>
  <c r="L242" i="1"/>
  <c r="H109" i="2"/>
  <c r="C81" i="2"/>
  <c r="F194" i="1"/>
  <c r="G628" i="1" s="1"/>
  <c r="J628" i="1" s="1"/>
  <c r="H70" i="2"/>
  <c r="E144" i="2"/>
  <c r="E115" i="2"/>
  <c r="G24" i="14"/>
  <c r="H24" i="14" s="1"/>
  <c r="I24" i="14" s="1"/>
  <c r="E128" i="2"/>
  <c r="H118" i="2"/>
  <c r="F661" i="1"/>
  <c r="F665" i="1" s="1"/>
  <c r="F668" i="1" s="1"/>
  <c r="E62" i="2"/>
  <c r="E63" i="2" s="1"/>
  <c r="E104" i="2" s="1"/>
  <c r="H57" i="2"/>
  <c r="H91" i="2"/>
  <c r="H78" i="2"/>
  <c r="E51" i="2"/>
  <c r="H18" i="2"/>
  <c r="H103" i="2"/>
  <c r="G637" i="1"/>
  <c r="I473" i="1"/>
  <c r="D51" i="2"/>
  <c r="H31" i="2"/>
  <c r="D128" i="2"/>
  <c r="H127" i="2"/>
  <c r="D81" i="2"/>
  <c r="D63" i="2"/>
  <c r="F144" i="2"/>
  <c r="H130" i="2"/>
  <c r="H194" i="1"/>
  <c r="H649" i="1"/>
  <c r="J649" i="1" s="1"/>
  <c r="C36" i="10"/>
  <c r="L435" i="1"/>
  <c r="I662" i="1"/>
  <c r="G104" i="2"/>
  <c r="L339" i="1"/>
  <c r="L353" i="1" s="1"/>
  <c r="I194" i="1"/>
  <c r="G636" i="1"/>
  <c r="G51" i="2"/>
  <c r="L409" i="1"/>
  <c r="J469" i="1" s="1"/>
  <c r="C27" i="10"/>
  <c r="G4" i="14"/>
  <c r="H4" i="14" s="1"/>
  <c r="I4" i="14" s="1"/>
  <c r="F104" i="2"/>
  <c r="B14" i="16"/>
  <c r="E33" i="13"/>
  <c r="D35" i="13" s="1"/>
  <c r="J648" i="1"/>
  <c r="C63" i="2"/>
  <c r="C39" i="10"/>
  <c r="G33" i="13"/>
  <c r="D31" i="13"/>
  <c r="C31" i="13" s="1"/>
  <c r="I462" i="1"/>
  <c r="H643" i="1" s="1"/>
  <c r="J643" i="1" s="1"/>
  <c r="G661" i="1"/>
  <c r="G665" i="1" s="1"/>
  <c r="G673" i="1" s="1"/>
  <c r="C5" i="10" s="1"/>
  <c r="C25" i="13"/>
  <c r="I33" i="13"/>
  <c r="C51" i="2"/>
  <c r="G632" i="1"/>
  <c r="G194" i="1"/>
  <c r="G627" i="1"/>
  <c r="J52" i="1"/>
  <c r="H622" i="1" s="1"/>
  <c r="J622" i="1" s="1"/>
  <c r="C38" i="10"/>
  <c r="H114" i="2" l="1"/>
  <c r="G626" i="1"/>
  <c r="I52" i="1"/>
  <c r="H621" i="1" s="1"/>
  <c r="J621" i="1" s="1"/>
  <c r="F50" i="2"/>
  <c r="H38" i="2"/>
  <c r="B22" i="16"/>
  <c r="G475" i="1"/>
  <c r="H636" i="1"/>
  <c r="J636" i="1" s="1"/>
  <c r="G639" i="1"/>
  <c r="J473" i="1"/>
  <c r="J471" i="1"/>
  <c r="H632" i="1"/>
  <c r="J632" i="1" s="1"/>
  <c r="H638" i="1"/>
  <c r="I551" i="1"/>
  <c r="L540" i="1"/>
  <c r="L546" i="1" s="1"/>
  <c r="L257" i="1"/>
  <c r="G258" i="1"/>
  <c r="G272" i="1" s="1"/>
  <c r="C24" i="10"/>
  <c r="C124" i="2"/>
  <c r="H124" i="2" s="1"/>
  <c r="H654" i="1"/>
  <c r="J654" i="1" s="1"/>
  <c r="L265" i="1"/>
  <c r="C136" i="2" s="1"/>
  <c r="H136" i="2" s="1"/>
  <c r="H248" i="1"/>
  <c r="H258" i="1" s="1"/>
  <c r="H272" i="1" s="1"/>
  <c r="C121" i="2"/>
  <c r="D12" i="13"/>
  <c r="C12" i="13" s="1"/>
  <c r="L248" i="1"/>
  <c r="D38" i="14" s="1"/>
  <c r="C18" i="10"/>
  <c r="D14" i="13"/>
  <c r="C14" i="13" s="1"/>
  <c r="C123" i="2"/>
  <c r="H123" i="2" s="1"/>
  <c r="C20" i="10"/>
  <c r="H655" i="1"/>
  <c r="J655" i="1" s="1"/>
  <c r="L266" i="1"/>
  <c r="C137" i="2" s="1"/>
  <c r="H137" i="2" s="1"/>
  <c r="H115" i="2"/>
  <c r="H81" i="2"/>
  <c r="C104" i="2"/>
  <c r="E145" i="2"/>
  <c r="G634" i="1"/>
  <c r="H473" i="1"/>
  <c r="H62" i="2"/>
  <c r="H63" i="2"/>
  <c r="G630" i="1"/>
  <c r="H469" i="1"/>
  <c r="G629" i="1"/>
  <c r="G469" i="1"/>
  <c r="G631" i="1"/>
  <c r="I469" i="1"/>
  <c r="I475" i="1"/>
  <c r="H637" i="1"/>
  <c r="J637" i="1" s="1"/>
  <c r="D145" i="2"/>
  <c r="D104" i="2"/>
  <c r="F145" i="2"/>
  <c r="F673" i="1"/>
  <c r="C4" i="10" s="1"/>
  <c r="G668" i="1"/>
  <c r="G638" i="1"/>
  <c r="H647" i="1"/>
  <c r="J647" i="1" s="1"/>
  <c r="C41" i="10"/>
  <c r="D38" i="10" s="1"/>
  <c r="D43" i="14" l="1"/>
  <c r="F38" i="14"/>
  <c r="F36" i="14" s="1"/>
  <c r="F51" i="2"/>
  <c r="H51" i="2" s="1"/>
  <c r="H50" i="2"/>
  <c r="J475" i="1"/>
  <c r="H639" i="1"/>
  <c r="J477" i="1"/>
  <c r="H627" i="1" s="1"/>
  <c r="J627" i="1" s="1"/>
  <c r="J639" i="1"/>
  <c r="J638" i="1"/>
  <c r="K551" i="1"/>
  <c r="K553" i="1" s="1"/>
  <c r="I553" i="1"/>
  <c r="C28" i="10"/>
  <c r="D20" i="10" s="1"/>
  <c r="D33" i="13"/>
  <c r="D36" i="13" s="1"/>
  <c r="H661" i="1"/>
  <c r="L258" i="1"/>
  <c r="G36" i="14"/>
  <c r="H36" i="14" s="1"/>
  <c r="I36" i="14" s="1"/>
  <c r="H121" i="2"/>
  <c r="C128" i="2"/>
  <c r="H128" i="2" s="1"/>
  <c r="L267" i="1"/>
  <c r="C141" i="2" s="1"/>
  <c r="H141" i="2" s="1"/>
  <c r="H656" i="1"/>
  <c r="J656" i="1" s="1"/>
  <c r="K271" i="1"/>
  <c r="H104" i="2"/>
  <c r="H634" i="1"/>
  <c r="J634" i="1" s="1"/>
  <c r="H475" i="1"/>
  <c r="H630" i="1"/>
  <c r="J630" i="1" s="1"/>
  <c r="H471" i="1"/>
  <c r="G471" i="1"/>
  <c r="G477" i="1" s="1"/>
  <c r="H629" i="1"/>
  <c r="J629" i="1" s="1"/>
  <c r="I471" i="1"/>
  <c r="I477" i="1" s="1"/>
  <c r="H626" i="1" s="1"/>
  <c r="H631" i="1"/>
  <c r="J631" i="1" s="1"/>
  <c r="D37" i="10"/>
  <c r="D36" i="10"/>
  <c r="D35" i="10"/>
  <c r="D40" i="10"/>
  <c r="D39" i="10"/>
  <c r="D24" i="10" l="1"/>
  <c r="D18" i="10"/>
  <c r="C30" i="10"/>
  <c r="D15" i="10"/>
  <c r="D26" i="10"/>
  <c r="D17" i="10"/>
  <c r="D11" i="10"/>
  <c r="D21" i="10"/>
  <c r="D12" i="10"/>
  <c r="D25" i="10"/>
  <c r="D22" i="10"/>
  <c r="D16" i="10"/>
  <c r="D13" i="10"/>
  <c r="D19" i="10"/>
  <c r="D23" i="10"/>
  <c r="D10" i="10"/>
  <c r="D27" i="10"/>
  <c r="H665" i="1"/>
  <c r="I661" i="1"/>
  <c r="I665" i="1" s="1"/>
  <c r="L271" i="1"/>
  <c r="L272" i="1" s="1"/>
  <c r="K272" i="1"/>
  <c r="C144" i="2"/>
  <c r="H477" i="1"/>
  <c r="H625" i="1" s="1"/>
  <c r="J625" i="1" s="1"/>
  <c r="B33" i="16"/>
  <c r="H624" i="1"/>
  <c r="J624" i="1" s="1"/>
  <c r="J626" i="1"/>
  <c r="D41" i="10"/>
  <c r="G633" i="1" l="1"/>
  <c r="F473" i="1"/>
  <c r="D28" i="10"/>
  <c r="I673" i="1"/>
  <c r="C7" i="10" s="1"/>
  <c r="I668" i="1"/>
  <c r="H668" i="1"/>
  <c r="H673" i="1"/>
  <c r="C6" i="10" s="1"/>
  <c r="H144" i="2"/>
  <c r="C145" i="2"/>
  <c r="H145" i="2" s="1"/>
  <c r="F475" i="1" l="1"/>
  <c r="F477" i="1" s="1"/>
  <c r="H623" i="1" s="1"/>
  <c r="H633" i="1"/>
  <c r="J633" i="1" s="1"/>
  <c r="J623"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<sst xmlns="http://schemas.openxmlformats.org/spreadsheetml/2006/main" count="6534" uniqueCount="1806">
  <si>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</si>
  <si>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</si>
  <si>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</si>
  <si>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</si>
  <si>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</si>
  <si>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</si>
  <si>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</si>
  <si>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</si>
  <si>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</si>
  <si>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</si>
  <si>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</si>
  <si>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</si>
  <si>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</si>
  <si>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</si>
  <si>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</si>
  <si>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</si>
  <si>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</si>
  <si>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</si>
  <si>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</si>
  <si>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</si>
  <si>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</si>
  <si>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</si>
  <si>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</si>
  <si>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</si>
  <si>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</si>
  <si>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</si>
  <si>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</si>
  <si>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</si>
  <si>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</si>
  <si>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</si>
  <si>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</si>
  <si>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</si>
  <si>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</si>
  <si>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</si>
  <si>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</si>
  <si>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</si>
  <si>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</si>
  <si>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</si>
  <si>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</si>
  <si>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</si>
  <si>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</si>
  <si>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</si>
  <si>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</si>
  <si>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</si>
  <si>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</si>
  <si>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</si>
  <si>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</si>
  <si>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</si>
  <si>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</si>
  <si>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</si>
  <si>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</si>
  <si>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</si>
  <si>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</si>
  <si>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</si>
  <si>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</si>
  <si>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</si>
  <si>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</si>
  <si>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</si>
  <si>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</si>
  <si>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</si>
  <si>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</si>
  <si>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</si>
  <si>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</si>
  <si>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</si>
  <si>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</si>
  <si>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</si>
  <si>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</si>
  <si>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</si>
  <si>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</si>
  <si>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</si>
  <si>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</si>
  <si>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</si>
  <si>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</si>
  <si>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</si>
  <si>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</si>
  <si>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</si>
  <si>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</si>
  <si>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</si>
  <si>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</si>
  <si>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</si>
  <si>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</si>
  <si>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</si>
  <si>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</si>
  <si>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</si>
  <si>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</si>
  <si>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</si>
  <si>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</si>
  <si>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</si>
  <si>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</si>
  <si>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</si>
  <si>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</si>
  <si>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</si>
  <si>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</si>
  <si>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</si>
  <si>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</si>
  <si>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</si>
  <si>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</si>
  <si>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</si>
  <si>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</si>
  <si>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</si>
  <si>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</si>
  <si>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</si>
  <si>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</si>
  <si>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</si>
  <si>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</si>
  <si>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</si>
  <si>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</si>
  <si>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</si>
  <si>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</si>
  <si>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</si>
  <si>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</si>
  <si>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</si>
  <si>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</si>
  <si>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</si>
  <si>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</si>
  <si>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</si>
  <si>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</si>
  <si>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</si>
  <si>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</si>
  <si>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</si>
  <si>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</si>
  <si>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</si>
  <si>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</si>
  <si>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</si>
  <si>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</si>
  <si>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</si>
  <si>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</si>
  <si>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</si>
  <si>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</si>
  <si>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</si>
  <si>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</si>
  <si>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</si>
  <si>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</si>
  <si>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</si>
  <si>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</si>
  <si>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</si>
  <si>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</si>
  <si>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</si>
  <si>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</si>
  <si>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</si>
  <si>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</si>
  <si>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</si>
  <si>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</si>
  <si>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</si>
  <si>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</si>
  <si>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</si>
  <si>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</si>
  <si>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</si>
  <si>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</si>
  <si>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</si>
  <si>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</si>
  <si>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</si>
  <si>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</si>
  <si>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</si>
  <si>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</si>
  <si>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</si>
  <si>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</si>
  <si>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</si>
  <si>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</si>
  <si>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</si>
  <si>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</si>
  <si>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</si>
  <si>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</si>
  <si>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</si>
  <si>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</si>
  <si>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</si>
  <si>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</si>
  <si>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</si>
  <si>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</si>
  <si>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</si>
  <si>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</si>
  <si>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</si>
  <si>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</si>
  <si>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</si>
  <si>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</si>
  <si>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</si>
  <si>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</si>
  <si>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</si>
  <si>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</si>
  <si>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</si>
  <si>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</si>
  <si>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</si>
  <si>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</si>
  <si>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</si>
  <si>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</si>
  <si>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</si>
  <si>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</si>
  <si>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</si>
  <si>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</si>
  <si>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</si>
  <si>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</si>
  <si>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</si>
  <si>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</si>
  <si>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</si>
  <si>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</si>
  <si>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</si>
  <si>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</si>
  <si>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</si>
  <si>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</si>
  <si>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</si>
  <si>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</si>
  <si>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</si>
  <si>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</si>
  <si>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</si>
  <si>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</si>
  <si>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</si>
  <si>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</si>
  <si>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</si>
  <si>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</si>
  <si>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</si>
  <si>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</si>
  <si>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</si>
  <si>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</si>
  <si>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</si>
  <si>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</si>
  <si>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</si>
  <si>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</si>
  <si>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</si>
  <si>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</si>
  <si>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</si>
  <si>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</si>
  <si>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</si>
  <si>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</si>
  <si>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</si>
  <si>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</si>
  <si>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</si>
  <si>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</si>
  <si>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</si>
  <si>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</si>
  <si>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</si>
  <si>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</si>
  <si>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</si>
  <si>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</si>
  <si>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</si>
  <si>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</si>
  <si>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</si>
  <si>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</si>
  <si>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</si>
  <si>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</si>
  <si>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</si>
  <si>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</si>
  <si>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</si>
  <si>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</si>
  <si>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</si>
  <si>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</si>
  <si>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</si>
  <si>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</si>
  <si>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</si>
  <si>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</si>
  <si>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</si>
  <si>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</si>
  <si>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</si>
  <si>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</si>
  <si>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</si>
  <si>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</si>
  <si>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</si>
  <si>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</si>
  <si>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</si>
  <si>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</si>
  <si>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</si>
  <si>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</si>
  <si>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</si>
  <si>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</si>
  <si>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</si>
  <si>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</si>
  <si>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</si>
  <si>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</si>
  <si>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</si>
  <si>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</si>
  <si>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</si>
  <si>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</si>
  <si>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</si>
  <si>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</si>
  <si>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</si>
  <si>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</si>
  <si>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</si>
  <si>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</si>
  <si>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</si>
  <si>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</si>
  <si>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</si>
  <si>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</si>
  <si>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</si>
  <si>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</si>
  <si>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</si>
  <si>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</si>
  <si>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</si>
  <si>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</si>
  <si>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</si>
  <si>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</si>
  <si>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</si>
  <si>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</si>
  <si>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</si>
  <si>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</si>
  <si>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</si>
  <si>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</si>
  <si>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</si>
  <si>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</si>
  <si>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</si>
  <si>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</si>
  <si>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</si>
  <si>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</si>
  <si>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</si>
  <si>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</si>
  <si>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</si>
  <si>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</si>
  <si>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</si>
  <si>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</si>
  <si>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</si>
  <si>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</si>
  <si>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</si>
  <si>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</si>
  <si>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</si>
  <si>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</si>
  <si>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</si>
  <si>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</si>
  <si>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</si>
  <si>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</si>
  <si>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</si>
  <si>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</si>
  <si>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</si>
  <si>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</si>
  <si>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</si>
  <si>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</si>
  <si>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</si>
  <si>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</si>
  <si>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</si>
  <si>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</si>
  <si>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</si>
  <si>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</si>
  <si>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</si>
  <si>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</si>
  <si>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</si>
  <si>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</si>
  <si>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</si>
  <si>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</si>
  <si>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</si>
  <si>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</si>
  <si>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</si>
  <si>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</si>
  <si>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</si>
  <si>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</si>
  <si>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</si>
  <si>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</si>
  <si>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</si>
  <si>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</si>
  <si>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</si>
  <si>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</si>
  <si>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</si>
  <si>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</si>
  <si>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</si>
  <si>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</si>
  <si>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</si>
  <si>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</si>
  <si>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</si>
  <si>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</si>
  <si>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</si>
  <si>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</si>
  <si>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</si>
  <si>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</si>
  <si>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</si>
  <si>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</si>
  <si>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</si>
  <si>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</si>
  <si>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</si>
  <si>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</si>
  <si>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</si>
  <si>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</si>
  <si>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</si>
  <si>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</si>
  <si>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</si>
  <si>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</si>
  <si>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</si>
  <si>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</si>
  <si>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</si>
  <si>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</si>
  <si>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</si>
  <si>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</si>
  <si>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</si>
  <si>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</si>
  <si>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</si>
  <si>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</si>
  <si>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</si>
  <si>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</si>
  <si>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</si>
  <si>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</si>
  <si>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</si>
  <si>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</si>
  <si>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</si>
  <si>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</si>
  <si>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</si>
  <si>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</si>
  <si>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</si>
  <si>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</si>
  <si>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</si>
  <si>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</si>
  <si>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</si>
  <si>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</si>
  <si>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</si>
  <si>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</si>
  <si>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</si>
  <si>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</si>
  <si>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</si>
  <si>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</si>
  <si>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</si>
  <si>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</si>
  <si>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</si>
  <si>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</si>
  <si>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</si>
  <si>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</si>
  <si>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</si>
  <si>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</si>
  <si>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</si>
  <si>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</si>
  <si>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</si>
  <si>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</si>
  <si>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</si>
  <si>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</si>
  <si>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</si>
  <si>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</si>
  <si>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</si>
  <si>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</si>
  <si>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</si>
  <si>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</si>
  <si>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</si>
  <si>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</si>
  <si>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</si>
  <si>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</si>
  <si>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</si>
  <si>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</si>
  <si>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</si>
  <si>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</si>
  <si>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</si>
  <si>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</si>
  <si>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</si>
  <si>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</si>
  <si>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</si>
  <si>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</si>
  <si>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</si>
  <si>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</si>
  <si>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</si>
  <si>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</si>
  <si>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</si>
  <si>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</si>
  <si>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</si>
  <si>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</si>
  <si>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</si>
  <si>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</si>
  <si>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</si>
  <si>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</si>
  <si>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</si>
  <si>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</si>
  <si>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</si>
  <si>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</si>
  <si>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</si>
  <si>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</si>
  <si>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</si>
  <si>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</si>
  <si>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</si>
  <si>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</si>
  <si>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</si>
  <si>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</si>
  <si>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</si>
  <si>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</si>
  <si>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</si>
  <si>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</si>
  <si>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</si>
  <si>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</si>
  <si>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</si>
  <si>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</si>
  <si>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</si>
  <si>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</si>
  <si>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</si>
  <si>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</si>
  <si>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</si>
  <si>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</si>
  <si>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</si>
  <si>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</si>
  <si>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</si>
  <si>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</si>
  <si>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</si>
  <si>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</si>
  <si>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</si>
  <si>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</si>
  <si>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</si>
  <si>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</si>
  <si>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</si>
  <si>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</si>
  <si>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</si>
  <si>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</si>
  <si>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</si>
  <si>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</si>
  <si>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</si>
  <si>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</si>
  <si>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</si>
  <si>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</si>
  <si>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</si>
  <si>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</si>
  <si>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</si>
  <si>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</si>
  <si>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</si>
  <si>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</si>
  <si>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</si>
  <si>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</si>
  <si>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</si>
  <si>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</si>
  <si>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</si>
  <si>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</si>
  <si>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</si>
  <si>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</si>
  <si>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</si>
  <si>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</si>
  <si>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</si>
  <si>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</si>
  <si>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</si>
  <si>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</si>
  <si>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</si>
  <si>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</si>
  <si>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</si>
  <si>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</si>
  <si>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</si>
  <si>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</si>
  <si>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</si>
  <si>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</si>
  <si>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</si>
  <si>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</si>
  <si>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</si>
  <si>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</si>
  <si>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</si>
  <si>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</si>
  <si>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</si>
  <si>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</si>
  <si>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</si>
  <si>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</si>
  <si>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</si>
  <si>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</si>
  <si>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</si>
  <si>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</si>
  <si>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</si>
  <si>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</si>
  <si>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</si>
  <si>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</si>
  <si>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</si>
  <si>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</si>
  <si>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</si>
  <si>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</si>
  <si>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</si>
  <si>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</si>
  <si>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</si>
  <si>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</si>
  <si>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</si>
  <si>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</si>
  <si>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</si>
  <si>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</si>
  <si>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</si>
  <si>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</si>
  <si>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</si>
  <si>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</si>
  <si>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</si>
  <si>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</si>
  <si>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</si>
  <si>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</si>
  <si>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</si>
  <si>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</si>
  <si>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</si>
  <si>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</si>
  <si>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</si>
  <si>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</si>
  <si>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</si>
  <si>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</si>
  <si>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</si>
  <si>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</si>
  <si>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</si>
  <si>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</si>
  <si>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</si>
  <si>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</si>
  <si>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</si>
  <si>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</si>
  <si>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</si>
  <si>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</si>
  <si>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</si>
  <si>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</si>
  <si>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</si>
  <si>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</si>
  <si>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</si>
  <si>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</si>
  <si>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</si>
  <si>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</si>
  <si>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</si>
  <si>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</si>
  <si>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</si>
  <si>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</si>
  <si>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</si>
  <si>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</si>
  <si>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</si>
  <si>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</si>
  <si>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</si>
  <si>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</si>
  <si>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</si>
  <si>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</si>
  <si>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</si>
  <si>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</si>
  <si>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</si>
  <si>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</si>
  <si>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</si>
  <si>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</si>
  <si>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</si>
  <si>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</si>
  <si>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</si>
  <si>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</si>
  <si>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</si>
  <si>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</si>
  <si>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</si>
  <si>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</si>
  <si>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</si>
  <si>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</si>
  <si>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</si>
  <si>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</si>
  <si>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</si>
  <si>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</si>
  <si>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</si>
  <si>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</si>
  <si>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</si>
  <si>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</si>
  <si>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</si>
  <si>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</si>
  <si>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</si>
  <si>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</si>
  <si>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</si>
  <si>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</si>
  <si>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</si>
  <si>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</si>
  <si>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</si>
  <si>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</si>
  <si>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</si>
  <si>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</si>
  <si>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</si>
  <si>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</si>
  <si>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</si>
  <si>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</si>
  <si>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</si>
  <si>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</si>
  <si>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</si>
  <si>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</si>
  <si>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</si>
  <si>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</si>
  <si>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</si>
  <si>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</si>
  <si>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</si>
  <si>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</si>
  <si>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</si>
  <si>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</si>
  <si>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</si>
  <si>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</si>
  <si>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</si>
  <si>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</si>
  <si>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</si>
  <si>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</si>
  <si>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</si>
  <si>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</si>
  <si>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</si>
  <si>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</si>
  <si>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</si>
  <si>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</si>
  <si>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</si>
  <si>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</si>
  <si>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</si>
  <si>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</si>
  <si>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</si>
  <si>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</si>
  <si>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</si>
  <si>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</si>
  <si>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</si>
  <si>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</si>
  <si>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</si>
  <si>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</si>
  <si>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</si>
  <si>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</si>
  <si>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</si>
  <si>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</si>
  <si>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</si>
  <si>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</si>
  <si>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</si>
  <si>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</si>
  <si>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</si>
  <si>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</si>
  <si>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</si>
  <si>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</si>
  <si>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</si>
  <si>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</si>
  <si>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</si>
  <si>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</si>
  <si>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</si>
  <si>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</si>
  <si>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</si>
  <si>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</si>
  <si>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</si>
  <si>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</si>
  <si>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</si>
  <si>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</si>
  <si>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</si>
  <si>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</si>
  <si>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</si>
  <si>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</si>
  <si>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</si>
  <si>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</si>
  <si>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</si>
  <si>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</si>
  <si>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</si>
  <si>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</si>
  <si>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</si>
  <si>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</si>
  <si>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</si>
  <si>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</si>
  <si>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</si>
  <si>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</si>
  <si>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</si>
  <si>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</si>
  <si>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</si>
  <si>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</si>
  <si>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</si>
  <si>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</si>
  <si>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</si>
  <si>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</si>
  <si>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</si>
  <si>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</si>
  <si>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</si>
  <si>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</si>
  <si>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</si>
  <si>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</si>
  <si>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</si>
  <si>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</si>
  <si>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</si>
  <si>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</si>
  <si>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</si>
  <si>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</si>
  <si>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</si>
  <si>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</si>
  <si>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</si>
  <si>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</si>
  <si>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</si>
  <si>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</si>
  <si>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</si>
  <si>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</si>
  <si>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</si>
  <si>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</si>
  <si>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</si>
  <si>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</si>
  <si>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</si>
  <si>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</si>
  <si>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</si>
  <si>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</si>
  <si>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</si>
  <si>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</si>
  <si>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</si>
  <si>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</si>
  <si>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</si>
  <si>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</si>
  <si>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</si>
  <si>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</si>
  <si>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</si>
  <si>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</si>
  <si>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</si>
  <si>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</si>
  <si>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</si>
  <si>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</si>
  <si>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</si>
  <si>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</si>
  <si>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</si>
  <si>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</si>
  <si>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</si>
  <si>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</si>
  <si>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</si>
  <si>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</si>
  <si>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</si>
  <si>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</si>
  <si>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</si>
  <si>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</si>
  <si>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</si>
  <si>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</si>
  <si>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</si>
  <si>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</si>
  <si>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</si>
  <si>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</si>
  <si>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</si>
  <si>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</si>
  <si>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</si>
  <si>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</si>
  <si>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</si>
  <si>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</si>
  <si>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</si>
  <si>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</si>
  <si>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</si>
  <si>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</si>
  <si>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</si>
  <si>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</si>
  <si>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</si>
  <si>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</si>
  <si>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</si>
  <si>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</si>
  <si>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</si>
  <si>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</si>
  <si>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</si>
  <si>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</si>
  <si>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</si>
  <si>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</si>
  <si>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</si>
  <si>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</si>
  <si>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</si>
  <si>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</si>
  <si>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</si>
  <si>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</si>
  <si>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</si>
  <si>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</si>
  <si>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</si>
  <si>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</si>
  <si>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</si>
  <si>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</si>
  <si>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</si>
  <si>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</si>
  <si>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</si>
  <si>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</si>
  <si>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</si>
  <si>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</si>
  <si>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</si>
  <si>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</si>
  <si>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</si>
  <si>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</si>
  <si>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</si>
  <si>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</si>
  <si>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</si>
  <si>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</si>
  <si>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</si>
  <si>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</si>
  <si>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</si>
  <si>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</si>
  <si>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</si>
  <si>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</si>
  <si>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</si>
  <si>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</si>
  <si>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</si>
  <si>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</si>
  <si>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</si>
  <si>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</si>
  <si>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</si>
  <si>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</si>
  <si>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</si>
  <si>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</si>
  <si>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</si>
  <si>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</si>
  <si>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</si>
  <si>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</si>
  <si>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</si>
  <si>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</si>
  <si>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</si>
  <si>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</si>
  <si>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</si>
  <si>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</si>
  <si>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</si>
  <si>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</si>
  <si>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</si>
  <si>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</si>
  <si>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</si>
  <si>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</si>
  <si>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</si>
  <si>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</si>
  <si>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</si>
  <si>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</si>
  <si>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</si>
  <si>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</si>
  <si>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</si>
  <si>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</si>
  <si>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</si>
  <si>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</si>
  <si>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</si>
  <si>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</si>
  <si>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</si>
  <si>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</si>
  <si>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</si>
  <si>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</si>
  <si>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</si>
  <si>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</si>
  <si>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</si>
  <si>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</si>
  <si>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</si>
  <si>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</si>
  <si>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</si>
  <si>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</si>
  <si>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</si>
  <si>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</si>
  <si>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</si>
  <si>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</si>
  <si>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</si>
  <si>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</si>
  <si>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</si>
  <si>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</si>
  <si>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</si>
  <si>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</si>
  <si>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</si>
  <si>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</si>
  <si>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</si>
  <si>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</si>
  <si>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</si>
  <si>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</si>
  <si>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</si>
  <si>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</si>
  <si>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</si>
  <si>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</si>
  <si>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</si>
  <si>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</si>
  <si>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</si>
  <si>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</si>
  <si>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</si>
  <si>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</si>
  <si>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</si>
  <si>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</si>
  <si>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</si>
  <si>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</si>
  <si>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</si>
  <si>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</si>
  <si>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</si>
  <si>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</si>
  <si>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</si>
  <si>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</si>
  <si>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</si>
  <si>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</si>
  <si>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</si>
  <si>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</si>
  <si>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</si>
  <si>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</si>
  <si>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</si>
  <si>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</si>
  <si>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</si>
  <si>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</si>
  <si>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</si>
  <si>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</si>
  <si>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</si>
  <si>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</si>
  <si>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</si>
  <si>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</si>
  <si>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</si>
  <si>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</si>
  <si>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</si>
  <si>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</si>
  <si>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</si>
  <si>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</si>
  <si>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</si>
  <si>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</si>
  <si>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</si>
  <si>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</si>
  <si>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</si>
  <si>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</si>
  <si>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</si>
  <si>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</si>
  <si>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</si>
  <si>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</si>
  <si>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</si>
  <si>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</si>
  <si>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</si>
  <si>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</si>
  <si>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</si>
  <si>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</si>
  <si>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</si>
  <si>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</si>
  <si>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</si>
  <si>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</si>
  <si>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</si>
  <si>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</si>
  <si>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</si>
  <si>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</si>
  <si>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</si>
  <si>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</si>
  <si>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</si>
  <si>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</si>
  <si>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</si>
  <si>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</si>
  <si>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</si>
  <si>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</si>
  <si>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</si>
  <si>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</si>
  <si>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</si>
  <si>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</si>
  <si>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</si>
  <si>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</si>
  <si>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</si>
  <si>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</si>
  <si>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</si>
  <si>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</si>
  <si>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</si>
  <si>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</si>
  <si>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</si>
  <si>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</si>
  <si>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</si>
  <si>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</si>
  <si>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</si>
  <si>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</si>
  <si>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</si>
  <si>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</si>
  <si>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</si>
  <si>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</si>
  <si>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</si>
  <si>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</si>
  <si>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</si>
  <si>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</si>
  <si>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</si>
  <si>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</si>
  <si>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</si>
  <si>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</si>
  <si>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</si>
  <si>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</si>
  <si>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</si>
  <si>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</si>
  <si>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</si>
  <si>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</si>
  <si>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</si>
  <si>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</si>
  <si>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</si>
  <si>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</si>
  <si>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</si>
  <si>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</si>
  <si>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</si>
  <si>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</si>
  <si>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</si>
  <si>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</si>
  <si>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</si>
  <si>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</si>
  <si>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</si>
  <si>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</si>
  <si>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</si>
  <si>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</si>
  <si>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</si>
  <si>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</si>
  <si>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</si>
  <si>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</si>
  <si>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</si>
  <si>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</si>
  <si>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</si>
  <si>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</si>
  <si>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</si>
  <si>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</si>
  <si>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</si>
  <si>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</si>
  <si>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</si>
  <si>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</si>
  <si>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</si>
  <si>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</si>
  <si>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</si>
  <si>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</si>
  <si>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</si>
  <si>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</si>
  <si>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</si>
  <si>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</si>
  <si>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</si>
  <si>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</si>
  <si>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</si>
  <si>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</si>
  <si>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</si>
  <si>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</si>
  <si>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</si>
  <si>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</si>
  <si>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</si>
  <si>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</si>
  <si>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</si>
  <si>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</si>
  <si>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</si>
  <si>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</si>
  <si>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</si>
  <si>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</si>
  <si>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</si>
  <si>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</si>
  <si>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</si>
  <si>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</si>
  <si>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</si>
  <si>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</si>
  <si>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</si>
  <si>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</si>
  <si>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</si>
  <si>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</si>
  <si>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</si>
  <si>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</si>
  <si>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</si>
  <si>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</si>
  <si>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</si>
  <si>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</si>
  <si>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</si>
  <si>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</si>
  <si>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</si>
  <si>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</si>
  <si>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</si>
  <si>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</si>
  <si>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</si>
  <si>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</si>
  <si>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</si>
  <si>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</si>
  <si>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</si>
  <si>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</si>
  <si>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</si>
  <si>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</si>
  <si>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</si>
  <si>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</si>
  <si>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</si>
  <si>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</si>
  <si>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</si>
  <si>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</si>
  <si>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</si>
  <si>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</si>
  <si>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</si>
  <si>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</si>
  <si>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</si>
  <si>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</si>
  <si>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</si>
  <si>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</si>
  <si>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</si>
  <si>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</si>
  <si>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</si>
  <si>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</si>
  <si>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</si>
  <si>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</si>
  <si>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</si>
  <si>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</si>
  <si>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</si>
  <si>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</si>
  <si>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</si>
  <si>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</si>
  <si>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</si>
  <si>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</si>
  <si>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</si>
  <si>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</si>
  <si>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</si>
  <si>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</si>
  <si>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</si>
  <si>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</si>
  <si>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</si>
  <si>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</si>
  <si>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</si>
  <si>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</si>
  <si>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</si>
  <si>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</si>
  <si>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</si>
  <si>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</si>
  <si>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</si>
  <si>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</si>
  <si>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</si>
  <si>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</si>
  <si>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</si>
  <si>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</si>
  <si>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</si>
  <si>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</si>
  <si>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</si>
  <si>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</si>
  <si>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</si>
  <si>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</si>
  <si>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</si>
  <si>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</si>
  <si>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</si>
  <si>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</si>
  <si>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</si>
  <si>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</si>
  <si>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</si>
  <si>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</si>
  <si>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</si>
  <si>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</si>
  <si>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</si>
  <si>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</si>
  <si>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</si>
  <si>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</si>
  <si>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</si>
  <si>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</si>
  <si>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</si>
  <si>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</si>
  <si>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</si>
  <si>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</si>
  <si>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</si>
  <si>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</si>
  <si>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</si>
  <si>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</si>
  <si>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</si>
  <si>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</si>
  <si>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</si>
  <si>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</si>
  <si>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</si>
  <si>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</si>
  <si>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</si>
  <si>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</si>
  <si>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</si>
  <si>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</si>
  <si>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</si>
  <si>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</si>
  <si>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</si>
  <si>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</si>
  <si>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</si>
  <si>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</si>
  <si>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</si>
  <si>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</si>
  <si>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</si>
  <si>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</si>
  <si>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</si>
  <si>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</si>
  <si>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</si>
  <si>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</si>
  <si>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</si>
  <si>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</si>
  <si>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</si>
  <si>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</si>
  <si>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</si>
  <si>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</si>
  <si>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</si>
  <si>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</si>
  <si>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</si>
  <si>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</si>
  <si>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</si>
  <si>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</si>
  <si>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</si>
  <si>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</si>
  <si>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</si>
  <si>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</si>
  <si>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</si>
  <si>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</si>
  <si>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</si>
  <si>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</si>
  <si>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</si>
  <si>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</si>
  <si>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</si>
  <si>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</si>
  <si>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</si>
  <si>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</si>
  <si>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</si>
  <si>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</si>
  <si>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</si>
  <si>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</si>
  <si>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</si>
  <si>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</si>
  <si>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</si>
  <si>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</si>
  <si>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</si>
  <si>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</si>
  <si>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</si>
  <si>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</si>
  <si>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</si>
  <si>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</si>
  <si>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</si>
  <si>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</si>
  <si>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</si>
  <si>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</si>
  <si>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</si>
  <si>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</si>
  <si>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</si>
  <si>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</si>
  <si>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</si>
  <si>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</si>
  <si>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</si>
  <si>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</si>
  <si>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</si>
  <si>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</si>
  <si>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</si>
  <si>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</si>
  <si>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</si>
  <si>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</si>
  <si>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</si>
  <si>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</si>
  <si>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</si>
  <si>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</si>
  <si>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</si>
  <si>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</si>
  <si>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</si>
  <si>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</si>
  <si>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</si>
  <si>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</si>
  <si>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</si>
  <si>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</si>
  <si>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</si>
  <si>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</si>
  <si>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</si>
  <si>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</si>
  <si>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</si>
  <si>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</si>
  <si>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</si>
  <si>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</si>
  <si>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</si>
  <si>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</si>
  <si>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</si>
  <si>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</si>
  <si>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</si>
  <si>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</si>
  <si>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</si>
  <si>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</si>
  <si>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</si>
  <si>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</si>
  <si>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</si>
  <si>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</si>
  <si>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</si>
  <si>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</si>
  <si>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</si>
  <si>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</si>
  <si>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</si>
  <si>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</si>
  <si>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</si>
  <si>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</si>
  <si>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</si>
  <si>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</si>
  <si>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</si>
  <si>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</si>
  <si>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</si>
  <si>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</si>
  <si>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</si>
  <si>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</si>
  <si>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</si>
  <si>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</si>
  <si>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</si>
  <si>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</si>
  <si>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</si>
  <si>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</si>
  <si>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</si>
  <si>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</si>
  <si>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</si>
  <si>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</si>
  <si>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</si>
  <si>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</si>
  <si>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</si>
  <si>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</si>
  <si>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</si>
  <si>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</si>
  <si>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</si>
  <si>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</si>
  <si>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</si>
  <si>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</si>
  <si>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</si>
  <si>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</si>
  <si>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</si>
  <si>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</si>
  <si>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</si>
  <si>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</si>
  <si>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</si>
  <si>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</si>
  <si>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</si>
  <si>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</si>
  <si>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</si>
  <si>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</si>
  <si>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</si>
  <si>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</si>
  <si>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</si>
  <si>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</si>
  <si>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</si>
  <si>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</si>
  <si>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</si>
  <si>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</si>
  <si>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</si>
  <si>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</si>
  <si>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</si>
  <si>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</si>
  <si>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</si>
  <si>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</si>
  <si>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</si>
  <si>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</si>
  <si>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</si>
  <si>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</si>
  <si>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</si>
  <si>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</si>
  <si>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</si>
  <si>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</si>
  <si>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</si>
  <si>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</si>
  <si>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</si>
  <si>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</si>
  <si>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</si>
  <si>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</si>
  <si>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</si>
  <si>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</si>
  <si>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</si>
  <si>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</si>
  <si>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</si>
  <si>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</si>
  <si>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</si>
  <si>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</si>
  <si>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</si>
  <si>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</si>
  <si>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</si>
  <si>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</si>
  <si>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</si>
  <si>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</si>
  <si>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</si>
  <si>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</si>
  <si>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</si>
  <si>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</si>
  <si>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</si>
  <si>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</si>
  <si>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</si>
  <si>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</si>
  <si>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</si>
  <si>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</si>
  <si>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</si>
  <si>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</si>
  <si>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</si>
  <si>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</si>
  <si>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</si>
  <si>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</si>
  <si>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</si>
  <si>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</si>
  <si>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</si>
  <si>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</si>
  <si>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</si>
  <si>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</si>
  <si>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</si>
  <si>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</si>
  <si>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</si>
  <si>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</si>
  <si>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</si>
  <si>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</si>
  <si>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</si>
  <si>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</si>
  <si>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</si>
  <si>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</si>
  <si>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</si>
  <si>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</si>
  <si>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</si>
  <si>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</si>
  <si>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</si>
  <si>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</si>
  <si>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</si>
  <si>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</si>
  <si>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</si>
  <si>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</si>
  <si>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</si>
  <si>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</si>
  <si>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</si>
  <si>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</si>
  <si>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</si>
  <si>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</si>
  <si>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</si>
  <si>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</si>
  <si>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</si>
  <si>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</si>
  <si>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</si>
  <si>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</si>
  <si>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</si>
  <si>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</si>
  <si>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</si>
  <si>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</si>
  <si>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</si>
  <si>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</si>
  <si>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</si>
  <si>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</si>
  <si>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</si>
  <si>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</si>
  <si>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</si>
  <si>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</si>
  <si>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</si>
  <si>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</si>
  <si>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</si>
  <si>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</si>
  <si>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</si>
  <si>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</si>
  <si>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</si>
  <si>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</si>
  <si>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</si>
  <si>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</si>
  <si>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</si>
  <si>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</si>
  <si>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</si>
  <si>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</si>
  <si>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</si>
  <si>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</si>
  <si>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</si>
  <si>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</si>
  <si>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</si>
  <si>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</si>
  <si>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</si>
  <si>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</si>
  <si>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</si>
  <si>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</si>
  <si>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</si>
  <si>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</si>
  <si>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</si>
  <si>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</si>
  <si>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</si>
  <si>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</si>
  <si>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</si>
  <si>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</si>
  <si>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</si>
  <si>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</si>
  <si>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</si>
  <si>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</si>
  <si>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</si>
  <si>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</si>
  <si>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</si>
  <si>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</si>
  <si>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</si>
  <si>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</si>
  <si>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</si>
  <si>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</si>
  <si>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</si>
  <si>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</si>
  <si>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</si>
  <si>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</si>
  <si>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</si>
  <si>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</si>
  <si>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</si>
  <si>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</si>
  <si>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</si>
  <si>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</si>
  <si>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</si>
  <si>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</si>
  <si>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</si>
  <si>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</si>
  <si>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</si>
  <si>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</si>
  <si>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</si>
  <si>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</si>
  <si>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</si>
  <si>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</si>
  <si>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</si>
  <si>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</si>
  <si>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</si>
  <si>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</si>
  <si>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</si>
  <si>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</si>
  <si>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</si>
  <si>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</si>
  <si>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</si>
  <si>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</si>
  <si>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</si>
  <si>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</si>
  <si>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</si>
  <si>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</si>
  <si>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</si>
  <si>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</si>
  <si>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</si>
  <si>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</si>
  <si>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</si>
  <si>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</si>
  <si>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</si>
  <si>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</si>
  <si>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</si>
  <si>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</si>
  <si>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</si>
  <si>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</si>
  <si>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</si>
  <si>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</si>
  <si>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</si>
  <si>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</si>
  <si>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</si>
  <si>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</si>
  <si>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</si>
  <si>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</si>
  <si>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</si>
  <si>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</si>
  <si>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</si>
  <si>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</si>
  <si>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</si>
  <si>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</si>
  <si>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</si>
  <si>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</si>
  <si>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</si>
  <si>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</si>
  <si>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</si>
  <si>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</si>
  <si>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</si>
  <si>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</si>
  <si>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</si>
  <si>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</si>
  <si>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</si>
  <si>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</si>
  <si>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</si>
  <si>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</si>
  <si>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</si>
  <si>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</si>
  <si>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</si>
  <si>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</si>
  <si>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</si>
  <si>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</si>
  <si>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</si>
  <si>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</si>
  <si>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</si>
  <si>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</si>
  <si>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</si>
  <si>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</si>
  <si>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</si>
  <si>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</si>
  <si>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</si>
  <si>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</si>
  <si>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</si>
  <si>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</si>
  <si>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</si>
  <si>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</si>
  <si>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</si>
  <si>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</si>
  <si>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</si>
  <si>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</si>
  <si>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</si>
  <si>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</si>
  <si>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</si>
  <si>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</si>
  <si>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</si>
  <si>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</si>
  <si>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</si>
  <si>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</si>
  <si>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</si>
  <si>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</si>
  <si>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</si>
  <si>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</si>
  <si>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</si>
  <si>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</si>
  <si>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</si>
  <si>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</si>
  <si>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</si>
  <si>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</si>
  <si>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</si>
  <si>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</si>
  <si>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</si>
  <si>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</si>
  <si>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</si>
  <si>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</si>
  <si>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</si>
  <si>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</si>
  <si>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</si>
  <si>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</si>
  <si>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</si>
  <si>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</si>
  <si>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</si>
  <si>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</si>
  <si>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</si>
  <si>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</si>
  <si>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</si>
  <si>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</si>
  <si>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</si>
  <si>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</si>
  <si>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</si>
  <si>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</si>
  <si>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</si>
  <si>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</si>
  <si>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</si>
  <si>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</si>
  <si>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</si>
  <si>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</si>
  <si>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</si>
  <si>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</si>
  <si>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</si>
  <si>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</si>
  <si>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</si>
  <si>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</si>
  <si>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</si>
  <si>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</si>
  <si>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</si>
  <si>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</si>
  <si>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</si>
  <si>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</si>
  <si>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</si>
  <si>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</si>
  <si>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</si>
  <si>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</si>
  <si>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</si>
  <si>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</si>
  <si>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</si>
  <si>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</si>
  <si>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</si>
  <si>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</si>
  <si>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</si>
  <si>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</si>
  <si>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</si>
  <si>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</si>
  <si>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</si>
  <si>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</si>
  <si>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</si>
  <si>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</si>
  <si>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</si>
  <si>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</si>
  <si>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</si>
  <si>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</si>
  <si>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</si>
  <si>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</si>
  <si>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</si>
  <si>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</si>
  <si>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</si>
  <si>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</si>
  <si>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</si>
  <si>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</si>
  <si>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</si>
  <si>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</si>
  <si>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</si>
  <si>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</si>
  <si>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</si>
  <si>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</si>
  <si>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</si>
  <si>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</si>
  <si>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</si>
  <si>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</si>
  <si>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</si>
  <si>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</si>
  <si>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</si>
  <si>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</si>
  <si>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</si>
  <si>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</si>
  <si>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</si>
  <si>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</si>
  <si>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</si>
  <si>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</si>
  <si>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</si>
  <si>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</si>
  <si>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</si>
  <si>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</si>
  <si>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</si>
  <si>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</si>
  <si>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</si>
  <si>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</si>
  <si>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</si>
  <si>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</si>
  <si>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</si>
  <si>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</si>
  <si>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</si>
  <si>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</si>
  <si>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</si>
  <si>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</si>
  <si>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</si>
  <si>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</si>
  <si>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</si>
  <si>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</si>
  <si>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</si>
  <si>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</si>
  <si>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</si>
  <si>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</si>
  <si>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</si>
  <si>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</si>
  <si>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</si>
  <si>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</si>
  <si>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</si>
  <si>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</si>
  <si>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</si>
  <si>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</si>
  <si>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</si>
  <si>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</si>
  <si>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</si>
  <si>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</si>
  <si>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</si>
  <si>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</si>
  <si>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</si>
  <si>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</si>
  <si>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</si>
  <si>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</si>
  <si>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</si>
  <si>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</si>
  <si>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</si>
  <si>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</si>
  <si>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</si>
  <si>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</si>
  <si>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</si>
  <si>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</si>
  <si>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</si>
  <si>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</si>
  <si>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</si>
  <si>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</si>
  <si>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</si>
  <si>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</si>
  <si>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</si>
  <si>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</si>
  <si>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</si>
  <si>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</si>
  <si>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</si>
  <si>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</si>
  <si>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</si>
  <si>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</si>
  <si>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</si>
  <si>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</si>
  <si>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</si>
  <si>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</si>
  <si>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</si>
  <si>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</si>
  <si>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</si>
  <si>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</si>
  <si>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</si>
  <si>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</si>
  <si>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</si>
  <si>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</si>
  <si>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</si>
  <si>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</si>
  <si>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</si>
  <si>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</si>
  <si>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</si>
  <si>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</si>
  <si>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</si>
  <si>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</si>
  <si>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</si>
  <si>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</si>
  <si>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</si>
  <si>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</si>
  <si>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</si>
  <si>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</si>
  <si>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</si>
  <si>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</si>
  <si>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</si>
  <si>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</si>
  <si>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</si>
  <si>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</si>
  <si>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</si>
  <si>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</si>
  <si>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</si>
  <si>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</si>
  <si>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</si>
  <si>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</si>
  <si>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</si>
  <si>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</si>
  <si>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</si>
  <si>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</si>
  <si>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</si>
  <si>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7/06</t>
  </si>
  <si>
    <t>7/26</t>
  </si>
  <si>
    <t>Food Service Audit Adjustment from 20-21</t>
  </si>
  <si>
    <t>General Fund Audit Adjustment from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</si>
</sst>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945</v>
      </c>
      <c r="B2" s="126">
        <f>INDEX('School Tables'!$AH$3:$AH$208,MATCH('DOE25'!A2,'School Tables'!$AJ$3:$AJ$208,0))</f>
        <v>57</v>
      </c>
      <c r="C2" s="126">
        <f>INDEX('School Tables'!$AI$3:$AI$208,MATCH('DOE25'!A2,'School Tables'!$AJ$3:$AJ$208,0))</f>
        <v>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3022264.9+6039.09</f>
        <v>3028303.9899999998</v>
      </c>
      <c r="G9" s="18">
        <v>0</v>
      </c>
      <c r="H9" s="18">
        <v>0</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614595.01</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-0.12+-0.29</f>
        <v>-0.41</v>
      </c>
      <c r="G12" s="18">
        <v>572872.48</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0</v>
      </c>
      <c r="H13" s="18">
        <v>0</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374518.67</v>
      </c>
      <c r="G14" s="18">
        <v>73841.14</v>
      </c>
      <c r="H14" s="18">
        <v>61456.63</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f>15907.84+52688.41</f>
        <v>68596.25</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0.47</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3471418.4999999995</v>
      </c>
      <c r="G19" s="41">
        <f>SUM(G9:G18)</f>
        <v>646713.62</v>
      </c>
      <c r="H19" s="41">
        <f>SUM(H9:H18)</f>
        <v>61457.1</v>
      </c>
      <c r="I19" s="41">
        <f>SUM(I9:I18)</f>
        <v>0</v>
      </c>
      <c r="J19" s="41">
        <f>SUM(J9:J18)</f>
        <v>614595.01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572871.66+0.27-46950.54</f>
        <v>525921.39</v>
      </c>
      <c r="G22" s="18">
        <v>0</v>
      </c>
      <c r="H22" s="18">
        <v>46951.71</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2726</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1615478.85</v>
      </c>
      <c r="G24" s="18">
        <f>31330.97+15308.18</f>
        <v>46639.15</v>
      </c>
      <c r="H24" s="18">
        <v>14505.39</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225516.69</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38176.83</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2366916.9300000002</v>
      </c>
      <c r="G32" s="41">
        <f>SUM(G22:G31)</f>
        <v>87541.98000000001</v>
      </c>
      <c r="H32" s="41">
        <f>SUM(H22:H31)</f>
        <v>61457.1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f>F17</f>
        <v>68596.25</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559171.64</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0</v>
      </c>
      <c r="I48" s="18">
        <v>0</v>
      </c>
      <c r="J48" s="13">
        <f>SUM(I460)</f>
        <v>614595.01</v>
      </c>
      <c r="K48" s="24" t="s">
        <v>288</v>
      </c>
      <c r="L48" s="24" t="s">
        <v>288</v>
      </c>
      <c r="M48" s="8"/>
      <c r="N48" s="265"/>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1035905.32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1104501.5699999998</v>
      </c>
      <c r="G51" s="41">
        <f>SUM(G35:G50)</f>
        <v>559171.64</v>
      </c>
      <c r="H51" s="41">
        <f>SUM(H35:H50)</f>
        <v>0</v>
      </c>
      <c r="I51" s="41">
        <f>SUM(I35:I50)</f>
        <v>0</v>
      </c>
      <c r="J51" s="41">
        <f>SUM(J35:J50)</f>
        <v>614595.01</v>
      </c>
      <c r="K51" s="45" t="s">
        <v>288</v>
      </c>
      <c r="L51" s="45" t="s">
        <v>288</v>
      </c>
      <c r="N51" s="263"/>
    </row>
    <row r="52" spans="1:14" s="3" customFormat="1" ht="12.2" customHeight="1" thickTop="1" x14ac:dyDescent="0.15">
      <c r="A52" s="38" t="s">
        <v>455</v>
      </c>
      <c r="B52" s="39" t="s">
        <v>289</v>
      </c>
      <c r="C52" s="6">
        <v>37</v>
      </c>
      <c r="D52" s="39" t="s">
        <v>653</v>
      </c>
      <c r="E52" s="39"/>
      <c r="F52" s="41">
        <f>F51+F32</f>
        <v>3471418.5</v>
      </c>
      <c r="G52" s="41">
        <f>G51+G32</f>
        <v>646713.62</v>
      </c>
      <c r="H52" s="41">
        <f>H51+H32</f>
        <v>61457.1</v>
      </c>
      <c r="I52" s="41">
        <f>I51+I32</f>
        <v>0</v>
      </c>
      <c r="J52" s="41">
        <f>J51+J32</f>
        <v>614595.01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17945156</v>
      </c>
      <c r="G57" s="18">
        <v>0</v>
      </c>
      <c r="H57" s="18">
        <v>0</v>
      </c>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17945156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f>131085.5-49000-49000+36537.98-5533.74-25964.24</f>
        <v>38125.500000000015</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f>871289.83+2404705.67+49000+49000</f>
        <v>3373995.5</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f>5533.74+25964.24</f>
        <v>31497.980000000003</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3443618.98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8721.61</v>
      </c>
      <c r="G96" s="18">
        <v>0</v>
      </c>
      <c r="H96" s="18">
        <v>0</v>
      </c>
      <c r="I96" s="18">
        <v>0</v>
      </c>
      <c r="J96" s="18">
        <f>H390</f>
        <v>68273.66</v>
      </c>
      <c r="K96" s="24" t="s">
        <v>288</v>
      </c>
      <c r="L96" s="24" t="s">
        <v>288</v>
      </c>
      <c r="M96" s="8"/>
      <c r="N96" s="265"/>
    </row>
    <row r="97" spans="1:14" s="3" customFormat="1" ht="12.2" customHeight="1" x14ac:dyDescent="0.15">
      <c r="A97" s="1" t="s">
        <v>503</v>
      </c>
      <c r="B97" s="2" t="s">
        <v>315</v>
      </c>
      <c r="C97" s="6">
        <v>12</v>
      </c>
      <c r="D97" s="2" t="s">
        <v>430</v>
      </c>
      <c r="E97" s="6">
        <v>1600</v>
      </c>
      <c r="F97" s="24" t="s">
        <v>288</v>
      </c>
      <c r="G97" s="18">
        <f>21287.5+71982.63+116165.29+634.03</f>
        <v>210069.44999999998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27660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433.64+536611.82</f>
        <v>537045.46</v>
      </c>
      <c r="G110" s="18">
        <v>12549.87</v>
      </c>
      <c r="H110" s="18">
        <v>0</v>
      </c>
      <c r="I110" s="18">
        <v>13453.35</v>
      </c>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573427.06999999995</v>
      </c>
      <c r="G111" s="41">
        <f>SUM(G96:G110)</f>
        <v>222619.31999999998</v>
      </c>
      <c r="H111" s="41">
        <f>SUM(H96:H110)</f>
        <v>0</v>
      </c>
      <c r="I111" s="41">
        <f>SUM(I96:I110)</f>
        <v>13453.35</v>
      </c>
      <c r="J111" s="41">
        <f>SUM(J96:J110)</f>
        <v>68273.66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21962202.050000001</v>
      </c>
      <c r="G112" s="41">
        <f>G60+G111</f>
        <v>222619.31999999998</v>
      </c>
      <c r="H112" s="41">
        <f>H60+H79+H94+H111</f>
        <v>0</v>
      </c>
      <c r="I112" s="41">
        <f>I60+I111</f>
        <v>13453.35</v>
      </c>
      <c r="J112" s="41">
        <f>J60+J111</f>
        <v>68273.66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4236296.2699999996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2197686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6437972.6899999995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67289.929999999993</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512298.94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22484.400000000001</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28706.74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f>599+45788.49</f>
        <v>46387.49</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602073.27</v>
      </c>
      <c r="G136" s="41">
        <f>SUM(G123:G135)</f>
        <v>28706.74</v>
      </c>
      <c r="H136" s="41">
        <f>SUM(H123:H135)</f>
        <v>46387.49</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7040045.959999999</v>
      </c>
      <c r="G140" s="41">
        <f>G121+SUM(G136:G137)</f>
        <v>28706.74</v>
      </c>
      <c r="H140" s="41">
        <f>H121+SUM(H136:H139)</f>
        <v>46387.49</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14776.98+6566.23+9838.41+15341.64</f>
        <v>46523.259999999995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9279.61+46448.49+857003.01</f>
        <v>912731.11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168569.56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209362.03</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f>3658.5+4500</f>
        <v>8158.5</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f>100165.5+492714.65</f>
        <v>592880.15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209362.03</v>
      </c>
      <c r="G163" s="41">
        <f>SUM(G150:G162)</f>
        <v>912731.11</v>
      </c>
      <c r="H163" s="41">
        <f>SUM(H150:H162)</f>
        <v>816131.47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209362.03</v>
      </c>
      <c r="G170" s="41">
        <f>G147+G163+SUM(G164:G169)</f>
        <v>912731.11</v>
      </c>
      <c r="H170" s="41">
        <f>H147+H163+SUM(H164:H169)</f>
        <v>816131.47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f>G390</f>
        <v>90260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90260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104000</v>
      </c>
      <c r="G186" s="18">
        <v>0</v>
      </c>
      <c r="H186" s="18">
        <v>0</v>
      </c>
      <c r="I186" s="18">
        <v>1541420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104000</v>
      </c>
      <c r="G189" s="41">
        <f>SUM(G186:G188)</f>
        <v>0</v>
      </c>
      <c r="H189" s="41">
        <f>SUM(H186:H188)</f>
        <v>0</v>
      </c>
      <c r="I189" s="41">
        <f>SUM(I186:I188)</f>
        <v>1541420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104000</v>
      </c>
      <c r="G193" s="41">
        <f>G184+SUM(G189:G192)</f>
        <v>0</v>
      </c>
      <c r="H193" s="41">
        <f>+H184+SUM(H189:H192)</f>
        <v>0</v>
      </c>
      <c r="I193" s="41">
        <f>I178+I184+SUM(I189:I192)</f>
        <v>1541420</v>
      </c>
      <c r="J193" s="41">
        <f>J184</f>
        <v>90260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29315610.039999999</v>
      </c>
      <c r="G194" s="47">
        <f>G112+G140+G170+G193</f>
        <v>1164057.17</v>
      </c>
      <c r="H194" s="47">
        <f>H112+H140+H170+H193</f>
        <v>862518.96</v>
      </c>
      <c r="I194" s="47">
        <f>I112+I140+I170+I193</f>
        <v>1554873.35</v>
      </c>
      <c r="J194" s="47">
        <f>J112+J140+J193</f>
        <v>158533.66</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2344991.31+16520.26+51415.35</f>
        <v>2412926.92</v>
      </c>
      <c r="G198" s="18">
        <f>29055+300+1223506.74</f>
        <v>1252861.74</v>
      </c>
      <c r="H198" s="18">
        <f>25.5+17309.57+4539.7</f>
        <v>21874.77</v>
      </c>
      <c r="I198" s="18">
        <f>3356.55+1030+723.6+5723.53+9554.67+196.26+96.26+379+25701.48+221+9961.19+4420.04</f>
        <v>61363.579999999994</v>
      </c>
      <c r="J198" s="18">
        <f>2034.08+1153+10501.35</f>
        <v>13688.43</v>
      </c>
      <c r="K198" s="18">
        <v>0</v>
      </c>
      <c r="L198" s="19">
        <f>SUM(F198:K198)</f>
        <v>3762715.4400000004</v>
      </c>
      <c r="M198" s="8"/>
      <c r="N198" s="265"/>
    </row>
    <row r="199" spans="1:14" s="3" customFormat="1" ht="12.2" customHeight="1" x14ac:dyDescent="0.15">
      <c r="A199" s="1" t="s">
        <v>439</v>
      </c>
      <c r="B199" s="2" t="s">
        <v>341</v>
      </c>
      <c r="C199" s="2" t="s">
        <v>291</v>
      </c>
      <c r="D199" s="2" t="s">
        <v>431</v>
      </c>
      <c r="E199" s="6">
        <v>1200</v>
      </c>
      <c r="F199" s="18">
        <f>561844.4+433307.04+12252.17+36179.39</f>
        <v>1043583</v>
      </c>
      <c r="G199" s="18">
        <f>546679.97</f>
        <v>546679.97</v>
      </c>
      <c r="H199" s="18">
        <f>2494.05+32847.57+381.56</f>
        <v>35723.18</v>
      </c>
      <c r="I199" s="18">
        <f>1038.11+8605.2+500+1929.65+3297.67</f>
        <v>15370.630000000001</v>
      </c>
      <c r="J199" s="18">
        <f>1106.91+1852.84+5027.47</f>
        <v>7987.22</v>
      </c>
      <c r="K199" s="18">
        <f>219.27</f>
        <v>219.27</v>
      </c>
      <c r="L199" s="19">
        <f>SUM(F199:K199)</f>
        <v>1649563.2699999998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f>11290</f>
        <v>11290</v>
      </c>
      <c r="G201" s="18">
        <f>2694.1</f>
        <v>2694.1</v>
      </c>
      <c r="H201" s="18">
        <v>0</v>
      </c>
      <c r="I201" s="18">
        <f>298.1</f>
        <v>298.10000000000002</v>
      </c>
      <c r="J201" s="18">
        <v>0</v>
      </c>
      <c r="K201" s="18">
        <f>724.84</f>
        <v>724.84</v>
      </c>
      <c r="L201" s="19">
        <f>SUM(F201:K201)</f>
        <v>15007.04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55732.12+60643.78+24440.52+64964.86+175811.42+58002.12+138667.07</f>
        <v>578261.8899999999</v>
      </c>
      <c r="G203" s="18">
        <f>98.32+32014.59+39274.43+38574.99+111183.84+96383.13</f>
        <v>317529.3</v>
      </c>
      <c r="H203" s="18">
        <f>1932.67+2303.5+471.32+44535.5+727.47</f>
        <v>49970.46</v>
      </c>
      <c r="I203" s="18">
        <f>499.98+1788.32+1876.67+283.25+2009.5+1014.4</f>
        <v>7472.12</v>
      </c>
      <c r="J203" s="18">
        <f>45+1800.08+630.25+758.91</f>
        <v>3234.24</v>
      </c>
      <c r="K203" s="18">
        <v>0</v>
      </c>
      <c r="L203" s="19">
        <f t="shared" ref="L203:L209" si="0">SUM(F203:K203)</f>
        <v>956468.00999999989</v>
      </c>
      <c r="M203" s="8"/>
      <c r="N203" s="265"/>
    </row>
    <row r="204" spans="1:14" s="3" customFormat="1" ht="12.2" customHeight="1" x14ac:dyDescent="0.15">
      <c r="A204" s="1" t="s">
        <v>443</v>
      </c>
      <c r="B204" s="2" t="s">
        <v>341</v>
      </c>
      <c r="C204" s="2" t="s">
        <v>295</v>
      </c>
      <c r="D204" s="2" t="s">
        <v>431</v>
      </c>
      <c r="E204" s="6">
        <v>2200</v>
      </c>
      <c r="F204" s="18">
        <f>66748.78+10451.32+49353.93+3698.72</f>
        <v>130252.75</v>
      </c>
      <c r="G204" s="18">
        <f>38787.29+21159.12+1016.97</f>
        <v>60963.380000000005</v>
      </c>
      <c r="H204" s="18">
        <f>308.73+26096.9+27329.77+16830.36-140</f>
        <v>70425.760000000009</v>
      </c>
      <c r="I204" s="18">
        <f>692.11+5030.61+11555.5</f>
        <v>17278.22</v>
      </c>
      <c r="J204" s="18">
        <f>179.95+104713.06</f>
        <v>104893.01</v>
      </c>
      <c r="K204" s="18">
        <v>0</v>
      </c>
      <c r="L204" s="19">
        <f t="shared" si="0"/>
        <v>383813.12</v>
      </c>
      <c r="M204" s="8"/>
      <c r="N204" s="265"/>
    </row>
    <row r="205" spans="1:14" s="3" customFormat="1" ht="12.2" customHeight="1" x14ac:dyDescent="0.15">
      <c r="A205" s="1" t="s">
        <v>444</v>
      </c>
      <c r="B205" s="2" t="s">
        <v>341</v>
      </c>
      <c r="C205" s="2" t="s">
        <v>296</v>
      </c>
      <c r="D205" s="2" t="s">
        <v>431</v>
      </c>
      <c r="E205" s="6">
        <v>2300</v>
      </c>
      <c r="F205" s="18">
        <f>4556.67+433.33</f>
        <v>4990</v>
      </c>
      <c r="G205" s="18">
        <f>348.59+33.15</f>
        <v>381.73999999999995</v>
      </c>
      <c r="H205" s="18">
        <f>4028.25+284458.92</f>
        <v>288487.17</v>
      </c>
      <c r="I205" s="18">
        <f>2788.59</f>
        <v>2788.59</v>
      </c>
      <c r="J205" s="18">
        <v>0</v>
      </c>
      <c r="K205" s="18">
        <v>1908.33</v>
      </c>
      <c r="L205" s="19">
        <f t="shared" si="0"/>
        <v>298555.83</v>
      </c>
      <c r="M205" s="8"/>
      <c r="N205" s="265"/>
    </row>
    <row r="206" spans="1:14" s="3" customFormat="1" ht="12.2" customHeight="1" x14ac:dyDescent="0.15">
      <c r="A206" s="1" t="s">
        <v>445</v>
      </c>
      <c r="B206" s="2" t="s">
        <v>341</v>
      </c>
      <c r="C206" s="2" t="s">
        <v>297</v>
      </c>
      <c r="D206" s="2" t="s">
        <v>431</v>
      </c>
      <c r="E206" s="6">
        <v>2400</v>
      </c>
      <c r="F206" s="18">
        <f>109984.94+78185.93+99590.94</f>
        <v>287761.81</v>
      </c>
      <c r="G206" s="18">
        <v>141321.24</v>
      </c>
      <c r="H206" s="18">
        <f>1355+6020.07+2249.74</f>
        <v>9624.81</v>
      </c>
      <c r="I206" s="18">
        <f>8501.4</f>
        <v>8501.4</v>
      </c>
      <c r="J206" s="18">
        <v>0</v>
      </c>
      <c r="K206" s="18">
        <f>1768</f>
        <v>1768</v>
      </c>
      <c r="L206" s="19">
        <f t="shared" si="0"/>
        <v>448977.26</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f>125242.01+21005.07</f>
        <v>146247.07999999999</v>
      </c>
      <c r="G208" s="18">
        <f>69672.63+11625.1</f>
        <v>81297.73000000001</v>
      </c>
      <c r="H208" s="18">
        <f>266.67+11496.07+7080.5+40227.29+1159.45+20060.35+14948.93+10729.92+56838.88+528.16+8868.05</f>
        <v>172204.26999999996</v>
      </c>
      <c r="I208" s="18">
        <f>18340.29+29112.28+79332.16+774.34+528.17</f>
        <v>128087.24</v>
      </c>
      <c r="J208" s="18">
        <v>0</v>
      </c>
      <c r="K208" s="18">
        <v>0</v>
      </c>
      <c r="L208" s="19">
        <f t="shared" si="0"/>
        <v>527836.31999999995</v>
      </c>
      <c r="M208" s="8"/>
      <c r="N208" s="265"/>
    </row>
    <row r="209" spans="1:14" s="3" customFormat="1" ht="12.2" customHeight="1" x14ac:dyDescent="0.15">
      <c r="A209" s="1" t="s">
        <v>448</v>
      </c>
      <c r="B209" s="2" t="s">
        <v>341</v>
      </c>
      <c r="C209" s="2" t="s">
        <v>300</v>
      </c>
      <c r="D209" s="2" t="s">
        <v>431</v>
      </c>
      <c r="E209" s="6">
        <v>2700</v>
      </c>
      <c r="F209" s="18">
        <f>137511.97+22627.67+793.01+33355.49</f>
        <v>194288.14</v>
      </c>
      <c r="G209" s="18">
        <f>38377.71+2315.51+85.63+20752.59</f>
        <v>61531.44</v>
      </c>
      <c r="H209" s="18">
        <f>846.27+35027.2+34744.52</f>
        <v>70617.989999999991</v>
      </c>
      <c r="I209" s="18">
        <f>4493.16+47538.5</f>
        <v>52031.66</v>
      </c>
      <c r="J209" s="18">
        <f>4168.8+64888.62</f>
        <v>69057.42</v>
      </c>
      <c r="K209" s="18">
        <f>4223.67</f>
        <v>4223.67</v>
      </c>
      <c r="L209" s="19">
        <f t="shared" si="0"/>
        <v>451750.31999999995</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4809601.5899999989</v>
      </c>
      <c r="G212" s="41">
        <f t="shared" si="1"/>
        <v>2465260.6399999997</v>
      </c>
      <c r="H212" s="41">
        <f t="shared" si="1"/>
        <v>718928.40999999992</v>
      </c>
      <c r="I212" s="41">
        <f t="shared" si="1"/>
        <v>293191.54000000004</v>
      </c>
      <c r="J212" s="41">
        <f t="shared" si="1"/>
        <v>198860.32</v>
      </c>
      <c r="K212" s="41">
        <f t="shared" si="1"/>
        <v>8844.11</v>
      </c>
      <c r="L212" s="41">
        <f t="shared" si="1"/>
        <v>8494686.6099999994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2493595.95+27246.42+54875.99</f>
        <v>2575718.3600000003</v>
      </c>
      <c r="G216" s="18">
        <f>29355+1306052.31</f>
        <v>1335407.31</v>
      </c>
      <c r="H216" s="18">
        <f>25.5+17124.35+5533.06</f>
        <v>22682.91</v>
      </c>
      <c r="I216" s="18">
        <f>3895.81+2102.92+1015.71+1933.73+701.95+2000.38+3027.89+10587.33+3630+9197.89+306.72+11523.4+22748.13+1162.4+10139.75+1687.91+6962.34</f>
        <v>92624.26</v>
      </c>
      <c r="J216" s="18">
        <f>1800+23403.34</f>
        <v>25203.34</v>
      </c>
      <c r="K216" s="18">
        <v>0</v>
      </c>
      <c r="L216" s="19">
        <f>SUM(F216:K216)</f>
        <v>4051636.18</v>
      </c>
      <c r="M216" s="8"/>
      <c r="N216" s="265"/>
    </row>
    <row r="217" spans="1:14" s="3" customFormat="1" ht="12.2" customHeight="1" x14ac:dyDescent="0.15">
      <c r="A217" s="1" t="s">
        <v>439</v>
      </c>
      <c r="B217" s="2" t="s">
        <v>346</v>
      </c>
      <c r="C217" s="2" t="s">
        <v>291</v>
      </c>
      <c r="D217" s="2" t="s">
        <v>431</v>
      </c>
      <c r="E217" s="6">
        <v>1200</v>
      </c>
      <c r="F217" s="18">
        <f>522988.4+377904.53+13076.84+38614.54+15908.2+53768</f>
        <v>1022260.51</v>
      </c>
      <c r="G217" s="18">
        <f>499010.39+9074.02+55651.91</f>
        <v>563736.32000000007</v>
      </c>
      <c r="H217" s="18">
        <f>1468.32+2661.92+35058.46+407.24+282074.69</f>
        <v>321670.63</v>
      </c>
      <c r="I217" s="18">
        <f>1107.98+9624.97+482.29+2059.53+5390.47</f>
        <v>18665.240000000002</v>
      </c>
      <c r="J217" s="18">
        <f>538.82+1977.55+2710.81</f>
        <v>5227.18</v>
      </c>
      <c r="K217" s="18">
        <f>234.03</f>
        <v>234.03</v>
      </c>
      <c r="L217" s="19">
        <f>SUM(F217:K217)</f>
        <v>1931793.91</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f>33631+42071</f>
        <v>75702</v>
      </c>
      <c r="G219" s="18">
        <f>8025.43+14966.94</f>
        <v>22992.370000000003</v>
      </c>
      <c r="H219" s="18">
        <f>8000</f>
        <v>8000</v>
      </c>
      <c r="I219" s="18">
        <f>4554.82+1313.4</f>
        <v>5868.2199999999993</v>
      </c>
      <c r="J219" s="18">
        <f>2714.55</f>
        <v>2714.55</v>
      </c>
      <c r="K219" s="18">
        <f>8686.69+585</f>
        <v>9271.69</v>
      </c>
      <c r="L219" s="19">
        <f>SUM(F219:K219)</f>
        <v>124548.83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151788.3+69740.44+22611.36+69337.48+29301.9+19987.22+34666.77</f>
        <v>397433.47</v>
      </c>
      <c r="G221" s="18">
        <f>98.32+87192.8+42629.06+41171.38+23438.14+24095.78</f>
        <v>218625.48</v>
      </c>
      <c r="H221" s="18">
        <f>1932.67+2458.55+115.55+11133.88+181.87</f>
        <v>15822.52</v>
      </c>
      <c r="I221" s="18">
        <f>700.89+2857.92+1876.67+302.31+492.64+253.6</f>
        <v>6484.0300000000007</v>
      </c>
      <c r="J221" s="18">
        <f>999+441.3+157.56</f>
        <v>1597.86</v>
      </c>
      <c r="K221" s="18">
        <v>0</v>
      </c>
      <c r="L221" s="19">
        <f t="shared" ref="L221:L227" si="2">SUM(F221:K221)</f>
        <v>639963.36</v>
      </c>
      <c r="M221" s="8"/>
      <c r="N221" s="265"/>
    </row>
    <row r="222" spans="1:14" s="3" customFormat="1" ht="12.2" customHeight="1" x14ac:dyDescent="0.15">
      <c r="A222" s="1" t="s">
        <v>443</v>
      </c>
      <c r="B222" s="2" t="s">
        <v>346</v>
      </c>
      <c r="C222" s="2" t="s">
        <v>295</v>
      </c>
      <c r="D222" s="2" t="s">
        <v>431</v>
      </c>
      <c r="E222" s="6">
        <v>2200</v>
      </c>
      <c r="F222" s="18">
        <f>80637+3194.08+53645.57+3698.72</f>
        <v>141175.37</v>
      </c>
      <c r="G222" s="18">
        <f>42118.86+22999.05+1016.97</f>
        <v>66134.880000000005</v>
      </c>
      <c r="H222" s="18">
        <f>329.51+27853.42+29169.27+21480.47</f>
        <v>78832.67</v>
      </c>
      <c r="I222" s="18">
        <f>1004.67+3195.05+1854</f>
        <v>6053.72</v>
      </c>
      <c r="J222" s="18">
        <f>111761.04</f>
        <v>111761.04</v>
      </c>
      <c r="K222" s="18">
        <v>0</v>
      </c>
      <c r="L222" s="19">
        <f t="shared" si="2"/>
        <v>403957.67999999993</v>
      </c>
      <c r="M222" s="8"/>
      <c r="N222" s="265"/>
    </row>
    <row r="223" spans="1:14" s="3" customFormat="1" ht="12.2" customHeight="1" x14ac:dyDescent="0.15">
      <c r="A223" s="1" t="s">
        <v>444</v>
      </c>
      <c r="B223" s="2" t="s">
        <v>346</v>
      </c>
      <c r="C223" s="2" t="s">
        <v>296</v>
      </c>
      <c r="D223" s="2" t="s">
        <v>431</v>
      </c>
      <c r="E223" s="6">
        <v>2300</v>
      </c>
      <c r="F223" s="18">
        <f>4556.67+433.33</f>
        <v>4990</v>
      </c>
      <c r="G223" s="18">
        <f>348.59+33.15</f>
        <v>381.73999999999995</v>
      </c>
      <c r="H223" s="18">
        <f>4028.25+284458.92</f>
        <v>288487.17</v>
      </c>
      <c r="I223" s="18">
        <f>2788.59</f>
        <v>2788.59</v>
      </c>
      <c r="J223" s="18">
        <v>0</v>
      </c>
      <c r="K223" s="18">
        <v>1908.33</v>
      </c>
      <c r="L223" s="19">
        <f t="shared" si="2"/>
        <v>298555.83</v>
      </c>
      <c r="M223" s="8"/>
      <c r="N223" s="265"/>
    </row>
    <row r="224" spans="1:14" s="3" customFormat="1" ht="12.2" customHeight="1" x14ac:dyDescent="0.15">
      <c r="A224" s="1" t="s">
        <v>445</v>
      </c>
      <c r="B224" s="2" t="s">
        <v>346</v>
      </c>
      <c r="C224" s="2" t="s">
        <v>297</v>
      </c>
      <c r="D224" s="2" t="s">
        <v>431</v>
      </c>
      <c r="E224" s="6">
        <v>2400</v>
      </c>
      <c r="F224" s="18">
        <f>119125.12+106565.73+100453.44</f>
        <v>326144.28999999998</v>
      </c>
      <c r="G224" s="18">
        <v>160171.07</v>
      </c>
      <c r="H224" s="18">
        <f>550+6125.5+453.27+86.81</f>
        <v>7215.5800000000008</v>
      </c>
      <c r="I224" s="18">
        <f>8501.4</f>
        <v>8501.4</v>
      </c>
      <c r="J224" s="18">
        <v>0</v>
      </c>
      <c r="K224" s="18">
        <f>939</f>
        <v>939</v>
      </c>
      <c r="L224" s="19">
        <f t="shared" si="2"/>
        <v>502971.34</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f>123624.9+36389.74</f>
        <v>160014.63999999998</v>
      </c>
      <c r="G226" s="18">
        <f>68773.03+20139.63</f>
        <v>88912.66</v>
      </c>
      <c r="H226" s="18">
        <f>266.67+20543.04+6997.1+53974.78+2632.98+16993.89+14639.67+28393.71+1584.49+18698.62+1335</f>
        <v>166059.94999999998</v>
      </c>
      <c r="I226" s="18">
        <f>21797.17+31993.92+108239.14+296.27+2323.01+1584.5</f>
        <v>166234.00999999998</v>
      </c>
      <c r="J226" s="18">
        <v>0</v>
      </c>
      <c r="K226" s="18">
        <v>0</v>
      </c>
      <c r="L226" s="19">
        <f t="shared" si="2"/>
        <v>581221.26</v>
      </c>
      <c r="M226" s="8"/>
      <c r="N226" s="265"/>
    </row>
    <row r="227" spans="1:14" s="3" customFormat="1" ht="12.2" customHeight="1" x14ac:dyDescent="0.15">
      <c r="A227" s="1" t="s">
        <v>448</v>
      </c>
      <c r="B227" s="2" t="s">
        <v>346</v>
      </c>
      <c r="C227" s="2" t="s">
        <v>300</v>
      </c>
      <c r="D227" s="2" t="s">
        <v>431</v>
      </c>
      <c r="E227" s="6">
        <v>2700</v>
      </c>
      <c r="F227" s="18">
        <f>137511.97+22627.67+5154.57+4592.68+33355.49</f>
        <v>203242.38</v>
      </c>
      <c r="G227" s="18">
        <f>38377.71+2315.51+556.58+548.07+20752.59</f>
        <v>62550.460000000006</v>
      </c>
      <c r="H227" s="18">
        <f>846.27+35027.2+34744.52</f>
        <v>70617.989999999991</v>
      </c>
      <c r="I227" s="18">
        <f>4493.16+47538.5</f>
        <v>52031.66</v>
      </c>
      <c r="J227" s="18">
        <f>4168.8+64888.62</f>
        <v>69057.42</v>
      </c>
      <c r="K227" s="18">
        <f>4223.67</f>
        <v>4223.67</v>
      </c>
      <c r="L227" s="19">
        <f t="shared" si="2"/>
        <v>461723.57999999996</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4906681.0199999996</v>
      </c>
      <c r="G230" s="41">
        <f>SUM(G216:G229)</f>
        <v>2518912.2900000005</v>
      </c>
      <c r="H230" s="41">
        <f>SUM(H216:H229)</f>
        <v>979389.41999999981</v>
      </c>
      <c r="I230" s="41">
        <f>SUM(I216:I229)</f>
        <v>359251.13</v>
      </c>
      <c r="J230" s="41">
        <f>SUM(J216:J229)</f>
        <v>215561.39</v>
      </c>
      <c r="K230" s="41">
        <f t="shared" si="3"/>
        <v>16576.72</v>
      </c>
      <c r="L230" s="41">
        <f t="shared" si="3"/>
        <v>8996371.9700000007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3133407.05+25067.65+62241.38</f>
        <v>3220716.0799999996</v>
      </c>
      <c r="G234" s="18">
        <f>29355+1633106.99</f>
        <v>1662461.99</v>
      </c>
      <c r="H234" s="18">
        <f>1005.5+25.5+26908.33+2937.39</f>
        <v>30876.720000000001</v>
      </c>
      <c r="I234" s="18">
        <f>17052.58+1818.3+3108.19+16926.36+855.05+3508.57+17202.8+18825.91+8326.13+109.41+2051.41+2017.97+235.63+17036.93+50+4917-9834.93</f>
        <v>104207.31000000003</v>
      </c>
      <c r="J234" s="18">
        <f>6594.18+197.99+8466.01+12009.54+4317.3</f>
        <v>31585.02</v>
      </c>
      <c r="K234" s="18">
        <f>7219</f>
        <v>7219</v>
      </c>
      <c r="L234" s="19">
        <f>SUM(F234:K234)</f>
        <v>5057066.1199999982</v>
      </c>
      <c r="M234" s="8"/>
      <c r="N234" s="265"/>
    </row>
    <row r="235" spans="1:14" s="3" customFormat="1" ht="12.2" customHeight="1" x14ac:dyDescent="0.15">
      <c r="A235" s="1" t="s">
        <v>439</v>
      </c>
      <c r="B235" s="2" t="s">
        <v>350</v>
      </c>
      <c r="C235" s="2" t="s">
        <v>291</v>
      </c>
      <c r="D235" s="2" t="s">
        <v>431</v>
      </c>
      <c r="E235" s="6">
        <v>1200</v>
      </c>
      <c r="F235" s="18">
        <f>585726.37+365540.17+14831.99+43797.33</f>
        <v>1009895.86</v>
      </c>
      <c r="G235" s="18">
        <f>529032.99</f>
        <v>529032.99</v>
      </c>
      <c r="H235" s="18">
        <f>1223.6+3019.2+39763.96+461.9+768891.76</f>
        <v>813360.42</v>
      </c>
      <c r="I235" s="18">
        <f>1256.7+12271.97+478.48+2335.96+3927.6+250</f>
        <v>20520.71</v>
      </c>
      <c r="J235" s="18">
        <f>664.97+2242.97+1643.54</f>
        <v>4551.4799999999996</v>
      </c>
      <c r="K235" s="18">
        <f>265.44</f>
        <v>265.44</v>
      </c>
      <c r="L235" s="19">
        <f>SUM(F235:K235)</f>
        <v>2377626.9</v>
      </c>
      <c r="M235" s="8"/>
      <c r="N235" s="265"/>
    </row>
    <row r="236" spans="1:14" s="3" customFormat="1" ht="12.2" customHeight="1" x14ac:dyDescent="0.15">
      <c r="A236" s="1" t="s">
        <v>440</v>
      </c>
      <c r="B236" s="2" t="s">
        <v>350</v>
      </c>
      <c r="C236" s="2" t="s">
        <v>292</v>
      </c>
      <c r="D236" s="2" t="s">
        <v>431</v>
      </c>
      <c r="E236" s="6">
        <v>1300</v>
      </c>
      <c r="F236" s="18">
        <v>0</v>
      </c>
      <c r="G236" s="18">
        <v>0</v>
      </c>
      <c r="H236" s="18">
        <v>217475.81</v>
      </c>
      <c r="I236" s="18">
        <v>0</v>
      </c>
      <c r="J236" s="18">
        <v>0</v>
      </c>
      <c r="K236" s="18">
        <v>0</v>
      </c>
      <c r="L236" s="19">
        <f>SUM(F236:K236)</f>
        <v>217475.81</v>
      </c>
      <c r="M236" s="8"/>
      <c r="N236" s="265"/>
    </row>
    <row r="237" spans="1:14" s="3" customFormat="1" ht="12.2" customHeight="1" x14ac:dyDescent="0.15">
      <c r="A237" s="1" t="s">
        <v>441</v>
      </c>
      <c r="B237" s="2" t="s">
        <v>350</v>
      </c>
      <c r="C237" s="2" t="s">
        <v>293</v>
      </c>
      <c r="D237" s="2" t="s">
        <v>431</v>
      </c>
      <c r="E237" s="6">
        <v>1400</v>
      </c>
      <c r="F237" s="18">
        <f>69562.47+84012.76+157970.57+8400</f>
        <v>319945.8</v>
      </c>
      <c r="G237" s="18">
        <f>16599.82+0.05+86086.62+2421.51</f>
        <v>105107.99999999999</v>
      </c>
      <c r="H237" s="18">
        <f>200+59151+2229.4+30000+36816.99+1600</f>
        <v>129997.38999999998</v>
      </c>
      <c r="I237" s="18">
        <f>4911.42+36948.33</f>
        <v>41859.75</v>
      </c>
      <c r="J237" s="18">
        <f>31000+25393.68</f>
        <v>56393.68</v>
      </c>
      <c r="K237" s="18">
        <f>6895+400+11124</f>
        <v>18419</v>
      </c>
      <c r="L237" s="19">
        <f>SUM(F237:K237)</f>
        <v>671723.62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303309.92+57284.38+57512.19+78643.87+29301.9+19987.22+34666.77</f>
        <v>580706.25</v>
      </c>
      <c r="G239" s="18">
        <f>98.31+207138.68+26547.3+46697.35-0.02+23438.14-0.01+24095.78</f>
        <v>328015.52999999991</v>
      </c>
      <c r="H239" s="18">
        <f>2430.25+740+1932.66+45.13+2788.53+115.55+11133.88+181.87</f>
        <v>19367.87</v>
      </c>
      <c r="I239" s="18">
        <f>2364.67+104.94+3671.25+4108.64+1876.66+342.89+492.64+253.6</f>
        <v>13215.289999999999</v>
      </c>
      <c r="J239" s="18">
        <f>441.3+157.56</f>
        <v>598.86</v>
      </c>
      <c r="K239" s="18">
        <f>200+500+249</f>
        <v>949</v>
      </c>
      <c r="L239" s="19">
        <f t="shared" ref="L239:L245" si="4">SUM(F239:K239)</f>
        <v>942852.79999999993</v>
      </c>
      <c r="M239" s="8"/>
      <c r="N239" s="265"/>
    </row>
    <row r="240" spans="1:14" s="3" customFormat="1" ht="12.2" customHeight="1" x14ac:dyDescent="0.15">
      <c r="A240" s="1" t="s">
        <v>443</v>
      </c>
      <c r="B240" s="2" t="s">
        <v>350</v>
      </c>
      <c r="C240" s="2" t="s">
        <v>295</v>
      </c>
      <c r="D240" s="2" t="s">
        <v>431</v>
      </c>
      <c r="E240" s="6">
        <v>2200</v>
      </c>
      <c r="F240" s="18">
        <f>82289+2826.39+111582.79+3698.71</f>
        <v>200396.88999999998</v>
      </c>
      <c r="G240" s="18">
        <f>42764.13+0.01+47838.02+0.02+1016.98</f>
        <v>91619.16</v>
      </c>
      <c r="H240" s="18">
        <f>373.74+31591.87+33084.33+25764.32</f>
        <v>90814.260000000009</v>
      </c>
      <c r="I240" s="18">
        <f>4151.69+6895.46+48051.16</f>
        <v>59098.310000000005</v>
      </c>
      <c r="J240" s="18">
        <f>2117.9+126761.47</f>
        <v>128879.37</v>
      </c>
      <c r="K240" s="18">
        <f>212</f>
        <v>212</v>
      </c>
      <c r="L240" s="19">
        <f t="shared" si="4"/>
        <v>571019.99</v>
      </c>
      <c r="M240" s="8"/>
      <c r="N240" s="265"/>
    </row>
    <row r="241" spans="1:14" s="3" customFormat="1" ht="12.2" customHeight="1" x14ac:dyDescent="0.15">
      <c r="A241" s="1" t="s">
        <v>444</v>
      </c>
      <c r="B241" s="2" t="s">
        <v>350</v>
      </c>
      <c r="C241" s="2" t="s">
        <v>296</v>
      </c>
      <c r="D241" s="2" t="s">
        <v>431</v>
      </c>
      <c r="E241" s="6">
        <v>2300</v>
      </c>
      <c r="F241" s="18">
        <f>4556.66+433.34</f>
        <v>4990</v>
      </c>
      <c r="G241" s="18">
        <f>348.6-0.02+33.15</f>
        <v>381.73</v>
      </c>
      <c r="H241" s="18">
        <f>4028.25+284458.92-0.01</f>
        <v>288487.15999999997</v>
      </c>
      <c r="I241" s="18">
        <f>2788.58</f>
        <v>2788.58</v>
      </c>
      <c r="J241" s="18">
        <v>0</v>
      </c>
      <c r="K241" s="18">
        <v>1908.32</v>
      </c>
      <c r="L241" s="19">
        <f t="shared" si="4"/>
        <v>298555.78999999998</v>
      </c>
      <c r="M241" s="8"/>
      <c r="N241" s="265"/>
    </row>
    <row r="242" spans="1:14" s="3" customFormat="1" ht="12.2" customHeight="1" x14ac:dyDescent="0.15">
      <c r="A242" s="1" t="s">
        <v>445</v>
      </c>
      <c r="B242" s="2" t="s">
        <v>350</v>
      </c>
      <c r="C242" s="2" t="s">
        <v>297</v>
      </c>
      <c r="D242" s="2" t="s">
        <v>431</v>
      </c>
      <c r="E242" s="6">
        <v>2400</v>
      </c>
      <c r="F242" s="18">
        <f>119838.94+118294.01+98921.88</f>
        <v>337054.83</v>
      </c>
      <c r="G242" s="18">
        <f>4620+165529.29</f>
        <v>170149.29</v>
      </c>
      <c r="H242" s="18">
        <f>18110.34+5223.7+2216.57+391.45</f>
        <v>25942.06</v>
      </c>
      <c r="I242" s="18">
        <f>1236.19+8501.4</f>
        <v>9737.59</v>
      </c>
      <c r="J242" s="18">
        <v>0</v>
      </c>
      <c r="K242" s="18">
        <f>1795+7918.77</f>
        <v>9713.77</v>
      </c>
      <c r="L242" s="19">
        <f t="shared" si="4"/>
        <v>552597.54</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f>210447.29+112065.43</f>
        <v>322512.71999999997</v>
      </c>
      <c r="G244" s="18">
        <f>117072.68+0.01+62021.78-0.01</f>
        <v>179094.45999999996</v>
      </c>
      <c r="H244" s="18">
        <f>301.76+14359.05+13937.28+136054.6+214767.49+2174.75+37695.35+24019.58+79371.14+8450.63+41530.13+2115.84</f>
        <v>574777.59999999998</v>
      </c>
      <c r="I244" s="18">
        <f>32275.25+74002.38+177589.97+242.81+12389.38+8450.65</f>
        <v>304950.44</v>
      </c>
      <c r="J244" s="18">
        <f>2915</f>
        <v>2915</v>
      </c>
      <c r="K244" s="18">
        <v>0</v>
      </c>
      <c r="L244" s="19">
        <f t="shared" si="4"/>
        <v>1384250.2199999997</v>
      </c>
      <c r="M244" s="8"/>
      <c r="N244" s="265"/>
    </row>
    <row r="245" spans="1:14" s="3" customFormat="1" ht="12.2" customHeight="1" x14ac:dyDescent="0.15">
      <c r="A245" s="1" t="s">
        <v>448</v>
      </c>
      <c r="B245" s="2" t="s">
        <v>350</v>
      </c>
      <c r="C245" s="2" t="s">
        <v>300</v>
      </c>
      <c r="D245" s="2" t="s">
        <v>431</v>
      </c>
      <c r="E245" s="6">
        <v>2700</v>
      </c>
      <c r="F245" s="18">
        <f>19074.54+42311.38+22627.67+10705.65+13267.74+10263.23</f>
        <v>118250.20999999999</v>
      </c>
      <c r="G245" s="18">
        <f>1770.77+11808.53+2315.51+1155.98+1583.31-0.01+6385.41+0.02</f>
        <v>25019.520000000004</v>
      </c>
      <c r="H245" s="18">
        <f>260.39+35027.2+40+10690.62</f>
        <v>46018.21</v>
      </c>
      <c r="I245" s="18">
        <f>1382.51+14627.23</f>
        <v>16009.74</v>
      </c>
      <c r="J245" s="18">
        <f>4168.8+19965.73</f>
        <v>24134.53</v>
      </c>
      <c r="K245" s="18">
        <f>1299.59</f>
        <v>1299.5899999999999</v>
      </c>
      <c r="L245" s="19">
        <f t="shared" si="4"/>
        <v>230731.79999999996</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6114468.6399999987</v>
      </c>
      <c r="G248" s="41">
        <f t="shared" si="5"/>
        <v>3090882.67</v>
      </c>
      <c r="H248" s="41">
        <f t="shared" si="5"/>
        <v>2237117.5</v>
      </c>
      <c r="I248" s="41">
        <f t="shared" si="5"/>
        <v>572387.72</v>
      </c>
      <c r="J248" s="41">
        <f t="shared" si="5"/>
        <v>249057.93999999997</v>
      </c>
      <c r="K248" s="41">
        <f t="shared" si="5"/>
        <v>39986.119999999995</v>
      </c>
      <c r="L248" s="41">
        <f t="shared" si="5"/>
        <v>12303900.589999996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84300</v>
      </c>
      <c r="K256" s="18">
        <v>0</v>
      </c>
      <c r="L256" s="19">
        <f t="shared" si="6"/>
        <v>84300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84300</v>
      </c>
      <c r="K257" s="41">
        <f t="shared" si="7"/>
        <v>0</v>
      </c>
      <c r="L257" s="41">
        <f>SUM(F257:K257)</f>
        <v>84300</v>
      </c>
      <c r="M257" s="8"/>
      <c r="N257" s="265"/>
    </row>
    <row r="258" spans="1:14" s="3" customFormat="1" ht="12.2" customHeight="1" thickTop="1" x14ac:dyDescent="0.15">
      <c r="A258" s="38" t="s">
        <v>462</v>
      </c>
      <c r="B258" s="40">
        <v>10</v>
      </c>
      <c r="C258" s="40">
        <v>8</v>
      </c>
      <c r="D258" s="39" t="s">
        <v>431</v>
      </c>
      <c r="E258" s="40"/>
      <c r="F258" s="41">
        <f t="shared" ref="F258:L258" si="8">F212+F230+F248+F257</f>
        <v>15830751.249999998</v>
      </c>
      <c r="G258" s="41">
        <f t="shared" si="8"/>
        <v>8075055.5999999996</v>
      </c>
      <c r="H258" s="41">
        <f t="shared" si="8"/>
        <v>3935435.3299999996</v>
      </c>
      <c r="I258" s="41">
        <f t="shared" si="8"/>
        <v>1224830.3900000001</v>
      </c>
      <c r="J258" s="41">
        <f t="shared" si="8"/>
        <v>747779.65</v>
      </c>
      <c r="K258" s="41">
        <f t="shared" si="8"/>
        <v>65406.95</v>
      </c>
      <c r="L258" s="41">
        <f t="shared" si="8"/>
        <v>29879259.169999994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200000</v>
      </c>
      <c r="L261" s="19">
        <f>SUM(F261:K261)</f>
        <v>200000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49400</v>
      </c>
      <c r="L262" s="19">
        <f>SUM(F262:K262)</f>
        <v>49400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90260</v>
      </c>
      <c r="L267" s="19">
        <f t="shared" si="9"/>
        <v>90260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339660</v>
      </c>
      <c r="L271" s="41">
        <f t="shared" si="9"/>
        <v>339660</v>
      </c>
      <c r="M271" s="8"/>
      <c r="N271" s="265"/>
    </row>
    <row r="272" spans="1:14" s="34" customFormat="1" ht="12.2" customHeight="1" thickTop="1" x14ac:dyDescent="0.2">
      <c r="A272" s="43" t="s">
        <v>464</v>
      </c>
      <c r="B272" s="40">
        <v>10</v>
      </c>
      <c r="C272" s="40">
        <v>18</v>
      </c>
      <c r="D272" s="39" t="s">
        <v>431</v>
      </c>
      <c r="E272" s="40"/>
      <c r="F272" s="42">
        <f t="shared" ref="F272:L272" si="11">F258+F271</f>
        <v>15830751.249999998</v>
      </c>
      <c r="G272" s="42">
        <f t="shared" si="11"/>
        <v>8075055.5999999996</v>
      </c>
      <c r="H272" s="42">
        <f t="shared" si="11"/>
        <v>3935435.3299999996</v>
      </c>
      <c r="I272" s="42">
        <f t="shared" si="11"/>
        <v>1224830.3900000001</v>
      </c>
      <c r="J272" s="42">
        <f t="shared" si="11"/>
        <v>747779.65</v>
      </c>
      <c r="K272" s="42">
        <f t="shared" si="11"/>
        <v>405066.95</v>
      </c>
      <c r="L272" s="42">
        <f t="shared" si="11"/>
        <v>30218919.169999994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0</v>
      </c>
      <c r="G277" s="18">
        <v>0</v>
      </c>
      <c r="H277" s="18">
        <f>2400.21</f>
        <v>2400.21</v>
      </c>
      <c r="I277" s="18">
        <f>903.87+3000+240247.9</f>
        <v>244151.77</v>
      </c>
      <c r="J277" s="18">
        <f>62467.46+20000+24900</f>
        <v>107367.45999999999</v>
      </c>
      <c r="K277" s="18">
        <f>261.15+4509.42+888.49</f>
        <v>5659.0599999999995</v>
      </c>
      <c r="L277" s="19">
        <f>SUM(F277:K277)</f>
        <v>359578.49999999994</v>
      </c>
      <c r="M277" s="8"/>
      <c r="N277" s="265"/>
    </row>
    <row r="278" spans="1:14" s="3" customFormat="1" ht="12.2" customHeight="1" x14ac:dyDescent="0.15">
      <c r="A278" s="1" t="s">
        <v>439</v>
      </c>
      <c r="B278" s="2" t="s">
        <v>357</v>
      </c>
      <c r="C278" s="2" t="s">
        <v>291</v>
      </c>
      <c r="D278" s="2" t="s">
        <v>431</v>
      </c>
      <c r="E278" s="6">
        <v>1200</v>
      </c>
      <c r="F278" s="18">
        <f>24732.3+52582.53+3822.54</f>
        <v>81137.37</v>
      </c>
      <c r="G278" s="18">
        <f>6216.98</f>
        <v>6216.98</v>
      </c>
      <c r="H278" s="18">
        <f>4671.4+930+212.29</f>
        <v>5813.69</v>
      </c>
      <c r="I278" s="18">
        <v>0</v>
      </c>
      <c r="J278" s="18">
        <f>2460.67</f>
        <v>2460.67</v>
      </c>
      <c r="K278" s="18">
        <f>1173.89+4.04</f>
        <v>1177.93</v>
      </c>
      <c r="L278" s="19">
        <f>SUM(F278:K278)</f>
        <v>96806.639999999985</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1</v>
      </c>
      <c r="I280" s="18">
        <v>0</v>
      </c>
      <c r="J280" s="18">
        <v>0</v>
      </c>
      <c r="K280" s="18">
        <v>0</v>
      </c>
      <c r="L280" s="19">
        <f>SUM(F280:K280)</f>
        <v>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2001.02</v>
      </c>
      <c r="I282" s="18">
        <v>0</v>
      </c>
      <c r="J282" s="18">
        <v>0</v>
      </c>
      <c r="K282" s="18">
        <v>0</v>
      </c>
      <c r="L282" s="19">
        <f t="shared" ref="L282:L288" si="12">SUM(F282:K282)</f>
        <v>2001.02</v>
      </c>
      <c r="M282" s="8"/>
      <c r="N282" s="265"/>
    </row>
    <row r="283" spans="1:14" s="3" customFormat="1" ht="12.2" customHeight="1" x14ac:dyDescent="0.15">
      <c r="A283" s="1" t="s">
        <v>443</v>
      </c>
      <c r="B283" s="2" t="s">
        <v>357</v>
      </c>
      <c r="C283" s="2" t="s">
        <v>295</v>
      </c>
      <c r="D283" s="2" t="s">
        <v>431</v>
      </c>
      <c r="E283" s="6">
        <v>2200</v>
      </c>
      <c r="F283" s="18">
        <v>0</v>
      </c>
      <c r="G283" s="18">
        <v>0</v>
      </c>
      <c r="H283" s="18">
        <f>4822.87+5825+1600</f>
        <v>12247.869999999999</v>
      </c>
      <c r="I283" s="18">
        <f>102.79+11727.59</f>
        <v>11830.380000000001</v>
      </c>
      <c r="J283" s="18">
        <v>0</v>
      </c>
      <c r="K283" s="18">
        <f>1296.43</f>
        <v>1296.43</v>
      </c>
      <c r="L283" s="19">
        <f t="shared" si="12"/>
        <v>25374.68</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81137.37</v>
      </c>
      <c r="G291" s="42">
        <f t="shared" si="13"/>
        <v>6216.98</v>
      </c>
      <c r="H291" s="42">
        <f t="shared" si="13"/>
        <v>22463.79</v>
      </c>
      <c r="I291" s="42">
        <f t="shared" si="13"/>
        <v>255982.15</v>
      </c>
      <c r="J291" s="42">
        <f t="shared" si="13"/>
        <v>109828.12999999999</v>
      </c>
      <c r="K291" s="42">
        <f t="shared" si="13"/>
        <v>8133.42</v>
      </c>
      <c r="L291" s="41">
        <f t="shared" si="13"/>
        <v>483761.83999999991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f>240247.9</f>
        <v>240247.9</v>
      </c>
      <c r="J296" s="18">
        <v>0</v>
      </c>
      <c r="K296" s="18">
        <f>4509.43</f>
        <v>4509.43</v>
      </c>
      <c r="L296" s="19">
        <f>SUM(F296:K296)</f>
        <v>244757.33</v>
      </c>
      <c r="M296" s="8"/>
      <c r="N296" s="265"/>
    </row>
    <row r="297" spans="1:14" s="3" customFormat="1" ht="12.2" customHeight="1" x14ac:dyDescent="0.15">
      <c r="A297" s="1" t="s">
        <v>439</v>
      </c>
      <c r="B297" s="2" t="s">
        <v>358</v>
      </c>
      <c r="C297" s="2" t="s">
        <v>291</v>
      </c>
      <c r="D297" s="2" t="s">
        <v>431</v>
      </c>
      <c r="E297" s="6">
        <v>1200</v>
      </c>
      <c r="F297" s="18">
        <v>0</v>
      </c>
      <c r="G297" s="18">
        <v>0</v>
      </c>
      <c r="H297" s="18">
        <f>4671.4</f>
        <v>4671.3999999999996</v>
      </c>
      <c r="I297" s="18">
        <v>0</v>
      </c>
      <c r="J297" s="18">
        <f>2460.66</f>
        <v>2460.66</v>
      </c>
      <c r="K297" s="18">
        <v>0</v>
      </c>
      <c r="L297" s="19">
        <f>SUM(F297:K297)</f>
        <v>7132.0599999999995</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f>45045+8511.93</f>
        <v>53556.93</v>
      </c>
      <c r="G301" s="18">
        <f>3445.94+651.16</f>
        <v>4097.1000000000004</v>
      </c>
      <c r="H301" s="18">
        <v>0</v>
      </c>
      <c r="I301" s="18">
        <v>0</v>
      </c>
      <c r="J301" s="18">
        <v>0</v>
      </c>
      <c r="K301" s="18">
        <v>774.77</v>
      </c>
      <c r="L301" s="19">
        <f t="shared" ref="L301:L307" si="14">SUM(F301:K301)</f>
        <v>58428.799999999996</v>
      </c>
      <c r="M301" s="8"/>
      <c r="N301" s="265"/>
    </row>
    <row r="302" spans="1:14" s="3" customFormat="1" ht="12.2" customHeight="1" x14ac:dyDescent="0.15">
      <c r="A302" s="1" t="s">
        <v>443</v>
      </c>
      <c r="B302" s="2" t="s">
        <v>358</v>
      </c>
      <c r="C302" s="2" t="s">
        <v>295</v>
      </c>
      <c r="D302" s="2" t="s">
        <v>431</v>
      </c>
      <c r="E302" s="6">
        <v>2200</v>
      </c>
      <c r="F302" s="18">
        <f>4696.07</f>
        <v>4696.07</v>
      </c>
      <c r="G302" s="18">
        <f>172.12+472.95</f>
        <v>645.06999999999994</v>
      </c>
      <c r="H302" s="18">
        <f>4822.87+7650.39+5904.36+5825+1600</f>
        <v>25802.62</v>
      </c>
      <c r="I302" s="18">
        <f>102.79+3138.11+958.03+11727.59</f>
        <v>15926.52</v>
      </c>
      <c r="J302" s="18">
        <v>0</v>
      </c>
      <c r="K302" s="18">
        <f>187+1296.43</f>
        <v>1483.43</v>
      </c>
      <c r="L302" s="19">
        <f t="shared" si="14"/>
        <v>48553.71</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58253</v>
      </c>
      <c r="G310" s="42">
        <f t="shared" si="15"/>
        <v>4742.17</v>
      </c>
      <c r="H310" s="42">
        <f t="shared" si="15"/>
        <v>30474.019999999997</v>
      </c>
      <c r="I310" s="42">
        <f t="shared" si="15"/>
        <v>256174.41999999998</v>
      </c>
      <c r="J310" s="42">
        <f t="shared" si="15"/>
        <v>2460.66</v>
      </c>
      <c r="K310" s="42">
        <f t="shared" si="15"/>
        <v>6767.630000000001</v>
      </c>
      <c r="L310" s="41">
        <f t="shared" si="15"/>
        <v>358871.9</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4500</v>
      </c>
      <c r="I315" s="18">
        <v>0</v>
      </c>
      <c r="J315" s="18">
        <v>0</v>
      </c>
      <c r="K315" s="18">
        <v>0</v>
      </c>
      <c r="L315" s="19">
        <f>SUM(F315:K315)</f>
        <v>4500</v>
      </c>
      <c r="M315" s="8"/>
      <c r="N315" s="265"/>
    </row>
    <row r="316" spans="1:14" s="3" customFormat="1" ht="12.2" customHeight="1" x14ac:dyDescent="0.15">
      <c r="A316" s="1" t="s">
        <v>439</v>
      </c>
      <c r="B316" s="2" t="s">
        <v>359</v>
      </c>
      <c r="C316" s="2" t="s">
        <v>291</v>
      </c>
      <c r="D316" s="2" t="s">
        <v>431</v>
      </c>
      <c r="E316" s="6">
        <v>1200</v>
      </c>
      <c r="F316" s="18">
        <v>0</v>
      </c>
      <c r="G316" s="18">
        <v>0</v>
      </c>
      <c r="H316" s="18">
        <f>4671.4+2728.5</f>
        <v>7399.9</v>
      </c>
      <c r="I316" s="18">
        <v>0</v>
      </c>
      <c r="J316" s="18">
        <f>2460.66</f>
        <v>2460.66</v>
      </c>
      <c r="K316" s="18">
        <v>0</v>
      </c>
      <c r="L316" s="19">
        <f>SUM(F316:K316)</f>
        <v>9860.56</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f>4822.86</f>
        <v>4822.8599999999997</v>
      </c>
      <c r="I321" s="18">
        <v>102.8</v>
      </c>
      <c r="J321" s="18">
        <v>0</v>
      </c>
      <c r="K321" s="18">
        <v>0</v>
      </c>
      <c r="L321" s="19">
        <f t="shared" si="16"/>
        <v>4925.66</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16722.759999999998</v>
      </c>
      <c r="I329" s="42">
        <f t="shared" si="17"/>
        <v>102.8</v>
      </c>
      <c r="J329" s="42">
        <f t="shared" si="17"/>
        <v>2460.66</v>
      </c>
      <c r="K329" s="42">
        <f t="shared" si="17"/>
        <v>0</v>
      </c>
      <c r="L329" s="41">
        <f t="shared" si="17"/>
        <v>19286.22</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599</v>
      </c>
      <c r="J336" s="18">
        <v>0</v>
      </c>
      <c r="K336" s="18">
        <v>0</v>
      </c>
      <c r="L336" s="19">
        <f t="shared" si="18"/>
        <v>599</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599</v>
      </c>
      <c r="J338" s="41">
        <f t="shared" si="19"/>
        <v>0</v>
      </c>
      <c r="K338" s="41">
        <f t="shared" si="19"/>
        <v>0</v>
      </c>
      <c r="L338" s="41">
        <f t="shared" si="18"/>
        <v>599</v>
      </c>
      <c r="M338" s="8"/>
      <c r="N338" s="265"/>
    </row>
    <row r="339" spans="1:43" s="3" customFormat="1" ht="12.2" customHeight="1" thickTop="1" x14ac:dyDescent="0.15">
      <c r="A339" s="38" t="s">
        <v>468</v>
      </c>
      <c r="B339" s="40">
        <v>14</v>
      </c>
      <c r="C339" s="40">
        <v>7</v>
      </c>
      <c r="D339" s="39" t="s">
        <v>431</v>
      </c>
      <c r="E339" s="40"/>
      <c r="F339" s="41">
        <f t="shared" ref="F339:L339" si="20">F291+F310+F329+F338</f>
        <v>139390.37</v>
      </c>
      <c r="G339" s="41">
        <f t="shared" si="20"/>
        <v>10959.15</v>
      </c>
      <c r="H339" s="41">
        <f t="shared" si="20"/>
        <v>69660.569999999992</v>
      </c>
      <c r="I339" s="41">
        <f t="shared" si="20"/>
        <v>512858.36999999994</v>
      </c>
      <c r="J339" s="41">
        <f t="shared" si="20"/>
        <v>114749.45</v>
      </c>
      <c r="K339" s="41">
        <f t="shared" si="20"/>
        <v>14901.050000000001</v>
      </c>
      <c r="L339" s="41">
        <f t="shared" si="20"/>
        <v>862518.96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139390.37</v>
      </c>
      <c r="G353" s="41">
        <f>G339</f>
        <v>10959.15</v>
      </c>
      <c r="H353" s="41">
        <f>H339</f>
        <v>69660.569999999992</v>
      </c>
      <c r="I353" s="41">
        <f>I339</f>
        <v>512858.36999999994</v>
      </c>
      <c r="J353" s="41">
        <f>J339</f>
        <v>114749.45</v>
      </c>
      <c r="K353" s="47">
        <f>K339+K352</f>
        <v>14901.050000000001</v>
      </c>
      <c r="L353" s="41">
        <f>L339+L352</f>
        <v>862518.96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23838.37</v>
      </c>
      <c r="G359" s="18">
        <v>12720.61</v>
      </c>
      <c r="H359" s="18">
        <v>1446.23</v>
      </c>
      <c r="I359" s="18">
        <v>37798.03</v>
      </c>
      <c r="J359" s="18">
        <v>708.5</v>
      </c>
      <c r="K359" s="18">
        <v>0</v>
      </c>
      <c r="L359" s="13">
        <f>SUM(F359:K359)</f>
        <v>76511.739999999991</v>
      </c>
      <c r="M359" s="8"/>
      <c r="N359" s="265"/>
    </row>
    <row r="360" spans="1:22" s="3" customFormat="1" ht="12.2" customHeight="1" x14ac:dyDescent="0.15">
      <c r="A360" s="1" t="s">
        <v>542</v>
      </c>
      <c r="B360" s="2" t="s">
        <v>366</v>
      </c>
      <c r="C360" s="6">
        <v>2</v>
      </c>
      <c r="D360" s="2" t="s">
        <v>431</v>
      </c>
      <c r="E360" s="6"/>
      <c r="F360" s="18">
        <v>80608.259999999995</v>
      </c>
      <c r="G360" s="18">
        <v>43014.07</v>
      </c>
      <c r="H360" s="18">
        <v>4890.37</v>
      </c>
      <c r="I360" s="18">
        <v>127812.18</v>
      </c>
      <c r="J360" s="18">
        <v>2395.7399999999998</v>
      </c>
      <c r="K360" s="18">
        <v>0</v>
      </c>
      <c r="L360" s="19">
        <f>SUM(F360:K360)</f>
        <v>258720.61999999997</v>
      </c>
      <c r="M360" s="8"/>
      <c r="N360" s="265"/>
    </row>
    <row r="361" spans="1:22" s="3" customFormat="1" ht="12.2" customHeight="1" x14ac:dyDescent="0.15">
      <c r="A361" s="3" t="s">
        <v>543</v>
      </c>
      <c r="B361" s="2" t="s">
        <v>366</v>
      </c>
      <c r="C361" s="6">
        <v>3</v>
      </c>
      <c r="D361" s="2" t="s">
        <v>431</v>
      </c>
      <c r="E361" s="6"/>
      <c r="F361" s="18">
        <v>128944.19</v>
      </c>
      <c r="G361" s="18">
        <v>68807.03</v>
      </c>
      <c r="H361" s="18">
        <v>7822.83</v>
      </c>
      <c r="I361" s="18">
        <v>204453.46</v>
      </c>
      <c r="J361" s="18">
        <v>3832.33</v>
      </c>
      <c r="K361" s="18">
        <v>0</v>
      </c>
      <c r="L361" s="19">
        <f>SUM(F361:K361)</f>
        <v>413859.84000000003</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233390.82</v>
      </c>
      <c r="G363" s="47">
        <f t="shared" si="22"/>
        <v>124541.70999999999</v>
      </c>
      <c r="H363" s="47">
        <f t="shared" si="22"/>
        <v>14159.43</v>
      </c>
      <c r="I363" s="47">
        <f t="shared" si="22"/>
        <v>370063.67</v>
      </c>
      <c r="J363" s="47">
        <f t="shared" si="22"/>
        <v>6936.57</v>
      </c>
      <c r="K363" s="47">
        <f t="shared" si="22"/>
        <v>0</v>
      </c>
      <c r="L363" s="47">
        <f t="shared" si="22"/>
        <v>749092.2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I359-F369</f>
        <v>35005.54</v>
      </c>
      <c r="G368" s="18">
        <f>I360-G369</f>
        <v>118369.51999999999</v>
      </c>
      <c r="H368" s="18">
        <f>I361-H369</f>
        <v>189348.61</v>
      </c>
      <c r="I368" s="56">
        <f>SUM(F368:H368)</f>
        <v>342723.67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2792.49</v>
      </c>
      <c r="G369" s="63">
        <v>9442.66</v>
      </c>
      <c r="H369" s="63">
        <v>15104.85</v>
      </c>
      <c r="I369" s="56">
        <f>SUM(F369:H369)</f>
        <v>27340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37798.03</v>
      </c>
      <c r="G370" s="47">
        <f>SUM(G368:G369)</f>
        <v>127812.18</v>
      </c>
      <c r="H370" s="47">
        <f>SUM(H368:H369)</f>
        <v>204453.46</v>
      </c>
      <c r="I370" s="47">
        <f>SUM(I368:I369)</f>
        <v>370063.67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1554873.35</v>
      </c>
      <c r="I379" s="18">
        <v>0</v>
      </c>
      <c r="J379" s="18">
        <v>0</v>
      </c>
      <c r="K379" s="18">
        <v>0</v>
      </c>
      <c r="L379" s="13">
        <f t="shared" si="23"/>
        <v>1554873.35</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1554873.35</v>
      </c>
      <c r="I383" s="41">
        <f t="shared" si="24"/>
        <v>0</v>
      </c>
      <c r="J383" s="47">
        <f t="shared" si="24"/>
        <v>0</v>
      </c>
      <c r="K383" s="47">
        <f t="shared" si="24"/>
        <v>0</v>
      </c>
      <c r="L383" s="47">
        <f t="shared" si="24"/>
        <v>1554873.35</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f>K267</f>
        <v>90260</v>
      </c>
      <c r="H390" s="18">
        <v>68273.66</v>
      </c>
      <c r="I390" s="18">
        <v>0</v>
      </c>
      <c r="J390" s="24" t="s">
        <v>288</v>
      </c>
      <c r="K390" s="24" t="s">
        <v>288</v>
      </c>
      <c r="L390" s="56">
        <f t="shared" si="25"/>
        <v>158533.66</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90260</v>
      </c>
      <c r="H394" s="139">
        <f>SUM(H388:H393)</f>
        <v>68273.66</v>
      </c>
      <c r="I394" s="65">
        <f>SUM(I388:I393)</f>
        <v>0</v>
      </c>
      <c r="J394" s="45" t="s">
        <v>288</v>
      </c>
      <c r="K394" s="45" t="s">
        <v>288</v>
      </c>
      <c r="L394" s="47">
        <f>SUM(L388:L393)</f>
        <v>158533.66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5"/>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90260</v>
      </c>
      <c r="H409" s="47">
        <f>H394+H402+H408</f>
        <v>68273.66</v>
      </c>
      <c r="I409" s="47">
        <f>I394+I402+I408</f>
        <v>0</v>
      </c>
      <c r="J409" s="24" t="s">
        <v>288</v>
      </c>
      <c r="K409" s="24" t="s">
        <v>288</v>
      </c>
      <c r="L409" s="47">
        <f>L394+L402+L408</f>
        <v>158533.66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f>F186+I186</f>
        <v>1645420</v>
      </c>
      <c r="L416" s="56">
        <f t="shared" si="27"/>
        <v>1645420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1645420</v>
      </c>
      <c r="L420" s="47">
        <f t="shared" si="28"/>
        <v>1645420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1645420</v>
      </c>
      <c r="L435" s="47">
        <f t="shared" si="32"/>
        <v>1645420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f>353298.01+86445.42+24357.31+141395.06+9099.21</f>
        <v>614595.01</v>
      </c>
      <c r="G441" s="18">
        <v>0</v>
      </c>
      <c r="H441" s="18">
        <v>0</v>
      </c>
      <c r="I441" s="56">
        <f t="shared" si="33"/>
        <v>614595.01</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614595.01</v>
      </c>
      <c r="G447" s="13">
        <f>SUM(G440:G446)</f>
        <v>0</v>
      </c>
      <c r="H447" s="13">
        <f>SUM(H440:H446)</f>
        <v>0</v>
      </c>
      <c r="I447" s="13">
        <f>SUM(I440:I446)</f>
        <v>614595.01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614595.01</v>
      </c>
      <c r="G460" s="18">
        <v>0</v>
      </c>
      <c r="H460" s="18">
        <v>0</v>
      </c>
      <c r="I460" s="56">
        <f t="shared" si="34"/>
        <v>614595.01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614595.01</v>
      </c>
      <c r="G461" s="83">
        <f>SUM(G455:G460)</f>
        <v>0</v>
      </c>
      <c r="H461" s="83">
        <f>SUM(H455:H460)</f>
        <v>0</v>
      </c>
      <c r="I461" s="83">
        <f>SUM(I455:I460)</f>
        <v>614595.01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614595.01</v>
      </c>
      <c r="G462" s="42">
        <f>G453+G461</f>
        <v>0</v>
      </c>
      <c r="H462" s="42">
        <f>H453+H461</f>
        <v>0</v>
      </c>
      <c r="I462" s="42">
        <f>I453+I461</f>
        <v>614595.01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2007673.23</v>
      </c>
      <c r="G466" s="18">
        <v>143934.67000000001</v>
      </c>
      <c r="H466" s="18">
        <v>0</v>
      </c>
      <c r="I466" s="18">
        <v>0</v>
      </c>
      <c r="J466" s="18">
        <v>2101481.35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29315610.039999999</v>
      </c>
      <c r="G469" s="18">
        <f>G194</f>
        <v>1164057.17</v>
      </c>
      <c r="H469" s="18">
        <f>H194</f>
        <v>862518.96</v>
      </c>
      <c r="I469" s="18">
        <f>I194</f>
        <v>1554873.35</v>
      </c>
      <c r="J469" s="18">
        <f>L409</f>
        <v>158533.66</v>
      </c>
      <c r="K469" s="24" t="s">
        <v>288</v>
      </c>
      <c r="L469" s="24" t="s">
        <v>288</v>
      </c>
      <c r="N469" s="264"/>
    </row>
    <row r="470" spans="1:14" s="52" customFormat="1" ht="12.2" customHeight="1" x14ac:dyDescent="0.2">
      <c r="A470" s="93" t="s">
        <v>611</v>
      </c>
      <c r="B470" s="75">
        <v>19</v>
      </c>
      <c r="C470" s="80">
        <v>3</v>
      </c>
      <c r="D470" s="2" t="s">
        <v>432</v>
      </c>
      <c r="E470" s="80"/>
      <c r="F470" s="18">
        <v>137.47</v>
      </c>
      <c r="G470" s="18">
        <v>272</v>
      </c>
      <c r="H470" s="18">
        <v>0</v>
      </c>
      <c r="I470" s="18">
        <v>0</v>
      </c>
      <c r="J470" s="18"/>
      <c r="K470" s="24" t="s">
        <v>288</v>
      </c>
      <c r="L470" s="24" t="s">
        <v>288</v>
      </c>
      <c r="N470" s="264"/>
    </row>
    <row r="471" spans="1:14" s="52" customFormat="1" ht="12.2" customHeight="1" x14ac:dyDescent="0.2">
      <c r="A471" s="92" t="s">
        <v>425</v>
      </c>
      <c r="B471" s="75">
        <v>19</v>
      </c>
      <c r="C471" s="80">
        <v>4</v>
      </c>
      <c r="D471" s="2" t="s">
        <v>432</v>
      </c>
      <c r="E471" s="80"/>
      <c r="F471" s="53">
        <f>SUM(F469:F470)</f>
        <v>29315747.509999998</v>
      </c>
      <c r="G471" s="53">
        <f>SUM(G469:G470)</f>
        <v>1164329.17</v>
      </c>
      <c r="H471" s="53">
        <f>SUM(H469:H470)</f>
        <v>862518.96</v>
      </c>
      <c r="I471" s="53">
        <f>SUM(I469:I470)</f>
        <v>1554873.35</v>
      </c>
      <c r="J471" s="53">
        <f>SUM(J469:J470)</f>
        <v>158533.66</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30218919.169999994</v>
      </c>
      <c r="G473" s="18">
        <f>L363</f>
        <v>749092.2</v>
      </c>
      <c r="H473" s="18">
        <f>L353</f>
        <v>862518.96</v>
      </c>
      <c r="I473" s="18">
        <f>L383</f>
        <v>1554873.35</v>
      </c>
      <c r="J473" s="18">
        <f>L435</f>
        <v>1645420</v>
      </c>
      <c r="K473" s="24" t="s">
        <v>288</v>
      </c>
      <c r="L473" s="24" t="s">
        <v>288</v>
      </c>
      <c r="N473" s="264"/>
    </row>
    <row r="474" spans="1:14" s="52" customFormat="1" ht="12.2" customHeight="1" x14ac:dyDescent="0.2">
      <c r="A474" s="93" t="s">
        <v>613</v>
      </c>
      <c r="B474" s="75">
        <v>19</v>
      </c>
      <c r="C474" s="80">
        <v>6</v>
      </c>
      <c r="D474" s="2" t="s">
        <v>432</v>
      </c>
      <c r="E474" s="80"/>
      <c r="F474" s="18">
        <v>0</v>
      </c>
      <c r="G474" s="18">
        <v>0</v>
      </c>
      <c r="H474" s="18">
        <v>0</v>
      </c>
      <c r="I474" s="18">
        <v>0</v>
      </c>
      <c r="J474" s="18"/>
      <c r="K474" s="24" t="s">
        <v>288</v>
      </c>
      <c r="L474" s="24" t="s">
        <v>288</v>
      </c>
      <c r="N474" s="264"/>
    </row>
    <row r="475" spans="1:14" s="52" customFormat="1" ht="12.2" customHeight="1" x14ac:dyDescent="0.2">
      <c r="A475" s="92" t="s">
        <v>426</v>
      </c>
      <c r="B475" s="75">
        <v>19</v>
      </c>
      <c r="C475" s="80">
        <v>7</v>
      </c>
      <c r="D475" s="2" t="s">
        <v>432</v>
      </c>
      <c r="E475" s="80"/>
      <c r="F475" s="53">
        <f>SUM(F473:F474)</f>
        <v>30218919.169999994</v>
      </c>
      <c r="G475" s="53">
        <f>SUM(G473:G474)</f>
        <v>749092.2</v>
      </c>
      <c r="H475" s="53">
        <f>SUM(H473:H474)</f>
        <v>862518.96</v>
      </c>
      <c r="I475" s="53">
        <f>SUM(I473:I474)</f>
        <v>1554873.35</v>
      </c>
      <c r="J475" s="53">
        <f>SUM(J473:J474)</f>
        <v>1645420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1104501.570000004</v>
      </c>
      <c r="G477" s="53">
        <f>(G466+G471)- G475</f>
        <v>559171.6399999999</v>
      </c>
      <c r="H477" s="53">
        <f>(H466+H471)- H475</f>
        <v>0</v>
      </c>
      <c r="I477" s="53">
        <f>(I466+I471)- I475</f>
        <v>0</v>
      </c>
      <c r="J477" s="53">
        <f>(J466+J471)- J475</f>
        <v>614595.01000000024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1804</v>
      </c>
      <c r="B481" s="112"/>
      <c r="C481" s="112"/>
      <c r="D481" s="112"/>
      <c r="E481" s="112"/>
      <c r="F481" s="112"/>
      <c r="G481" s="112"/>
      <c r="H481" s="112"/>
      <c r="I481" s="112" t="s">
        <v>401</v>
      </c>
      <c r="J481" s="112"/>
      <c r="K481" s="95"/>
      <c r="L481" s="95"/>
      <c r="N481" s="264"/>
    </row>
    <row r="482" spans="1:14" s="52" customFormat="1" ht="12.2" customHeight="1" x14ac:dyDescent="0.2">
      <c r="A482" s="175" t="s">
        <v>1805</v>
      </c>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4027000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4.4000000000000004</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1200000</v>
      </c>
      <c r="G496" s="18"/>
      <c r="H496" s="18"/>
      <c r="I496" s="18"/>
      <c r="J496" s="18"/>
      <c r="K496" s="53">
        <f>SUM(F496:J496)</f>
        <v>1200000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200000</v>
      </c>
      <c r="G498" s="18"/>
      <c r="H498" s="18"/>
      <c r="I498" s="18"/>
      <c r="J498" s="18"/>
      <c r="K498" s="53">
        <f t="shared" si="35"/>
        <v>200000</v>
      </c>
      <c r="L498" s="24" t="s">
        <v>288</v>
      </c>
      <c r="N498" s="264"/>
    </row>
    <row r="499" spans="1:14" s="52" customFormat="1" ht="12.2" customHeight="1" x14ac:dyDescent="0.2">
      <c r="A499" s="199" t="s">
        <v>622</v>
      </c>
      <c r="B499" s="200">
        <v>20</v>
      </c>
      <c r="C499" s="201">
        <v>9</v>
      </c>
      <c r="D499" s="202" t="s">
        <v>432</v>
      </c>
      <c r="E499" s="201"/>
      <c r="F499" s="203">
        <v>1000000</v>
      </c>
      <c r="G499" s="203"/>
      <c r="H499" s="203"/>
      <c r="I499" s="203"/>
      <c r="J499" s="203"/>
      <c r="K499" s="204">
        <f t="shared" si="35"/>
        <v>1000000</v>
      </c>
      <c r="L499" s="205" t="s">
        <v>288</v>
      </c>
      <c r="N499" s="264"/>
    </row>
    <row r="500" spans="1:14" s="52" customFormat="1" ht="12.2" customHeight="1" thickBot="1" x14ac:dyDescent="0.25">
      <c r="A500" s="22" t="s">
        <v>623</v>
      </c>
      <c r="B500" s="75">
        <v>20</v>
      </c>
      <c r="C500" s="115">
        <v>10</v>
      </c>
      <c r="D500" s="2" t="s">
        <v>432</v>
      </c>
      <c r="E500" s="115"/>
      <c r="F500" s="18">
        <v>424161</v>
      </c>
      <c r="G500" s="18"/>
      <c r="H500" s="18"/>
      <c r="I500" s="18"/>
      <c r="J500" s="18"/>
      <c r="K500" s="53">
        <f t="shared" si="35"/>
        <v>424161</v>
      </c>
      <c r="L500" s="24" t="s">
        <v>288</v>
      </c>
      <c r="N500" s="264"/>
    </row>
    <row r="501" spans="1:14" s="52" customFormat="1" ht="12.2" customHeight="1" thickTop="1" x14ac:dyDescent="0.2">
      <c r="A501" s="139" t="s">
        <v>624</v>
      </c>
      <c r="B501" s="44">
        <v>20</v>
      </c>
      <c r="C501" s="194">
        <v>11</v>
      </c>
      <c r="D501" s="39" t="s">
        <v>432</v>
      </c>
      <c r="E501" s="194"/>
      <c r="F501" s="42">
        <f>SUM(F499:F500)</f>
        <v>1424161</v>
      </c>
      <c r="G501" s="42">
        <f>SUM(G499:G500)</f>
        <v>0</v>
      </c>
      <c r="H501" s="42">
        <f>SUM(H499:H500)</f>
        <v>0</v>
      </c>
      <c r="I501" s="42">
        <f>SUM(I499:I500)</f>
        <v>0</v>
      </c>
      <c r="J501" s="42">
        <f>SUM(J499:J500)</f>
        <v>0</v>
      </c>
      <c r="K501" s="42">
        <f t="shared" si="35"/>
        <v>1424161</v>
      </c>
      <c r="L501" s="45" t="s">
        <v>288</v>
      </c>
      <c r="N501" s="264"/>
    </row>
    <row r="502" spans="1:14" s="52" customFormat="1" ht="12.2" customHeight="1" x14ac:dyDescent="0.2">
      <c r="A502" s="199" t="s">
        <v>651</v>
      </c>
      <c r="B502" s="200">
        <v>20</v>
      </c>
      <c r="C502" s="201">
        <v>12</v>
      </c>
      <c r="D502" s="202" t="s">
        <v>432</v>
      </c>
      <c r="E502" s="201"/>
      <c r="F502" s="203">
        <v>200000</v>
      </c>
      <c r="G502" s="203"/>
      <c r="H502" s="203"/>
      <c r="I502" s="203"/>
      <c r="J502" s="203"/>
      <c r="K502" s="204">
        <f t="shared" si="35"/>
        <v>200000</v>
      </c>
      <c r="L502" s="205" t="s">
        <v>288</v>
      </c>
      <c r="N502" s="264"/>
    </row>
    <row r="503" spans="1:14" s="52" customFormat="1" ht="12.2" customHeight="1" thickBot="1" x14ac:dyDescent="0.25">
      <c r="A503" s="22" t="s">
        <v>625</v>
      </c>
      <c r="B503" s="75">
        <v>20</v>
      </c>
      <c r="C503" s="115">
        <v>13</v>
      </c>
      <c r="D503" s="2" t="s">
        <v>432</v>
      </c>
      <c r="E503" s="115"/>
      <c r="F503" s="18">
        <v>40500</v>
      </c>
      <c r="G503" s="18"/>
      <c r="H503" s="18"/>
      <c r="I503" s="18"/>
      <c r="J503" s="18"/>
      <c r="K503" s="53">
        <f t="shared" si="35"/>
        <v>40500</v>
      </c>
      <c r="L503" s="24" t="s">
        <v>288</v>
      </c>
      <c r="N503" s="264"/>
    </row>
    <row r="504" spans="1:14" s="52" customFormat="1" ht="12.2" customHeight="1" thickTop="1" x14ac:dyDescent="0.2">
      <c r="A504" s="139" t="s">
        <v>626</v>
      </c>
      <c r="B504" s="44">
        <v>20</v>
      </c>
      <c r="C504" s="194">
        <v>14</v>
      </c>
      <c r="D504" s="39" t="s">
        <v>432</v>
      </c>
      <c r="E504" s="194"/>
      <c r="F504" s="42">
        <f>SUM(F502:F503)</f>
        <v>240500</v>
      </c>
      <c r="G504" s="42">
        <f>SUM(G502:G503)</f>
        <v>0</v>
      </c>
      <c r="H504" s="42">
        <f>SUM(H502:H503)</f>
        <v>0</v>
      </c>
      <c r="I504" s="42">
        <f>SUM(I502:I503)</f>
        <v>0</v>
      </c>
      <c r="J504" s="42">
        <f>SUM(J502:J503)</f>
        <v>0</v>
      </c>
      <c r="K504" s="42">
        <f t="shared" si="35"/>
        <v>240500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F199+F278-F558-F563-F568-F532</f>
        <v>1017404.0500000002</v>
      </c>
      <c r="G522" s="18">
        <f>G199+G278-G558-G563-G568-G532</f>
        <v>475899.49999999988</v>
      </c>
      <c r="H522" s="18">
        <f t="shared" ref="H522:K522" si="36">H199+H278-H558-H563-H568</f>
        <v>41536.870000000003</v>
      </c>
      <c r="I522" s="18">
        <f t="shared" si="36"/>
        <v>15370.630000000001</v>
      </c>
      <c r="J522" s="18">
        <f t="shared" si="36"/>
        <v>10447.89</v>
      </c>
      <c r="K522" s="18">
        <f t="shared" si="36"/>
        <v>1397.2</v>
      </c>
      <c r="L522" s="88">
        <f>SUM(F522:K522)</f>
        <v>1562056.14</v>
      </c>
      <c r="N522" s="264"/>
    </row>
    <row r="523" spans="1:14" s="52" customFormat="1" ht="12.2" customHeight="1" x14ac:dyDescent="0.2">
      <c r="A523" s="22" t="s">
        <v>634</v>
      </c>
      <c r="B523" s="105">
        <v>21</v>
      </c>
      <c r="C523" s="115">
        <v>2</v>
      </c>
      <c r="D523" s="2" t="s">
        <v>432</v>
      </c>
      <c r="E523" s="115"/>
      <c r="F523" s="18">
        <f>F217+F297-F559-F564-F569-F533</f>
        <v>968712.19000000006</v>
      </c>
      <c r="G523" s="18">
        <f>G217+G297-G559-G564-G569-G533</f>
        <v>542390.78</v>
      </c>
      <c r="H523" s="18">
        <f t="shared" ref="H523:K523" si="37">H217+H297-H559-H564-H569</f>
        <v>326342.03000000003</v>
      </c>
      <c r="I523" s="18">
        <f t="shared" si="37"/>
        <v>18415.240000000002</v>
      </c>
      <c r="J523" s="18">
        <f t="shared" si="37"/>
        <v>7687.84</v>
      </c>
      <c r="K523" s="18">
        <f t="shared" si="37"/>
        <v>234.03</v>
      </c>
      <c r="L523" s="88">
        <f>SUM(F523:K523)</f>
        <v>1863782.1100000003</v>
      </c>
      <c r="N523" s="264"/>
    </row>
    <row r="524" spans="1:14" s="52" customFormat="1" ht="12.2" customHeight="1" thickBot="1" x14ac:dyDescent="0.25">
      <c r="A524" s="22" t="s">
        <v>635</v>
      </c>
      <c r="B524" s="105">
        <v>21</v>
      </c>
      <c r="C524" s="115">
        <v>3</v>
      </c>
      <c r="D524" s="2" t="s">
        <v>432</v>
      </c>
      <c r="E524" s="115"/>
      <c r="F524" s="18">
        <f>F235+F316-F560-F565-F570-F534</f>
        <v>908102.14</v>
      </c>
      <c r="G524" s="18">
        <f>G235+G316-G560-G565-G570-G534</f>
        <v>473172.59999999992</v>
      </c>
      <c r="H524" s="18">
        <f t="shared" ref="H524:K524" si="38">H235+H316-H560-H565-H570</f>
        <v>820760.32000000007</v>
      </c>
      <c r="I524" s="18">
        <f t="shared" si="38"/>
        <v>20520.71</v>
      </c>
      <c r="J524" s="18">
        <f t="shared" si="38"/>
        <v>7012.1399999999994</v>
      </c>
      <c r="K524" s="18">
        <f t="shared" si="38"/>
        <v>265.44</v>
      </c>
      <c r="L524" s="88">
        <f>SUM(F524:K524)</f>
        <v>2229833.35</v>
      </c>
      <c r="N524" s="264"/>
    </row>
    <row r="525" spans="1:14" s="52" customFormat="1" ht="12.2" customHeight="1" thickTop="1" x14ac:dyDescent="0.2">
      <c r="A525" s="139" t="s">
        <v>63</v>
      </c>
      <c r="B525" s="107">
        <v>21</v>
      </c>
      <c r="C525" s="194">
        <v>4</v>
      </c>
      <c r="D525" s="195" t="s">
        <v>432</v>
      </c>
      <c r="E525" s="194"/>
      <c r="F525" s="108">
        <f>SUM(F522:F524)</f>
        <v>2894218.3800000004</v>
      </c>
      <c r="G525" s="108">
        <f t="shared" ref="G525:L525" si="39">SUM(G522:G524)</f>
        <v>1491462.88</v>
      </c>
      <c r="H525" s="108">
        <f t="shared" si="39"/>
        <v>1188639.2200000002</v>
      </c>
      <c r="I525" s="108">
        <f t="shared" si="39"/>
        <v>54306.58</v>
      </c>
      <c r="J525" s="108">
        <f t="shared" si="39"/>
        <v>25147.87</v>
      </c>
      <c r="K525" s="108">
        <f t="shared" si="39"/>
        <v>1896.67</v>
      </c>
      <c r="L525" s="89">
        <f t="shared" si="39"/>
        <v>5655671.5999999996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64964.86+175811.42+58002.12+138667.07</f>
        <v>437445.47000000003</v>
      </c>
      <c r="G527" s="18">
        <f>38574.99+111183.84+96383.13</f>
        <v>246141.96</v>
      </c>
      <c r="H527" s="18">
        <f>2303.5+471.32+44535.5+727.47+758.88</f>
        <v>48796.67</v>
      </c>
      <c r="I527" s="18">
        <f>283.25+2009.5+1014.4</f>
        <v>3307.15</v>
      </c>
      <c r="J527" s="18">
        <f>1800.08+630.25</f>
        <v>2430.33</v>
      </c>
      <c r="K527" s="18">
        <v>0</v>
      </c>
      <c r="L527" s="88">
        <f>SUM(F527:K527)</f>
        <v>738121.58000000007</v>
      </c>
      <c r="M527" s="8"/>
      <c r="N527" s="265"/>
    </row>
    <row r="528" spans="1:14" s="3" customFormat="1" ht="12.2" customHeight="1" x14ac:dyDescent="0.15">
      <c r="A528" s="22" t="s">
        <v>634</v>
      </c>
      <c r="B528" s="105">
        <v>21</v>
      </c>
      <c r="C528" s="115">
        <v>6</v>
      </c>
      <c r="D528" s="2" t="s">
        <v>432</v>
      </c>
      <c r="E528" s="115"/>
      <c r="F528" s="18">
        <f>69337.48+29301.9+19987.22+34666.77</f>
        <v>153293.37</v>
      </c>
      <c r="G528" s="18">
        <f>41171.38+23438.14+24095.78</f>
        <v>88705.299999999988</v>
      </c>
      <c r="H528" s="18">
        <f>2458.55+115.55+11133.88+181.87</f>
        <v>13889.85</v>
      </c>
      <c r="I528" s="18">
        <f>302.31+492.64+253.6</f>
        <v>1048.55</v>
      </c>
      <c r="J528" s="18">
        <f>441.3+157.56</f>
        <v>598.86</v>
      </c>
      <c r="K528" s="18">
        <v>0</v>
      </c>
      <c r="L528" s="88">
        <f>SUM(F528:K528)</f>
        <v>257535.92999999996</v>
      </c>
      <c r="M528" s="8"/>
      <c r="N528" s="265"/>
    </row>
    <row r="529" spans="1:14" s="3" customFormat="1" ht="12.2" customHeight="1" thickBot="1" x14ac:dyDescent="0.2">
      <c r="A529" s="22" t="s">
        <v>635</v>
      </c>
      <c r="B529" s="118">
        <v>21</v>
      </c>
      <c r="C529" s="118">
        <v>7</v>
      </c>
      <c r="D529" s="2" t="s">
        <v>432</v>
      </c>
      <c r="E529" s="118"/>
      <c r="F529" s="18">
        <f>78643.87+29301.9+19987.22+34666.77</f>
        <v>162599.75999999998</v>
      </c>
      <c r="G529" s="18">
        <f>46697.35+23438.14+24095.78</f>
        <v>94231.26999999999</v>
      </c>
      <c r="H529" s="18">
        <f>2788.53+115.55+11133.88+181.87</f>
        <v>14219.83</v>
      </c>
      <c r="I529" s="18">
        <f>342.89+492.64+253.6</f>
        <v>1089.1299999999999</v>
      </c>
      <c r="J529" s="18">
        <f>441.3+157.56</f>
        <v>598.86</v>
      </c>
      <c r="K529" s="18">
        <v>0</v>
      </c>
      <c r="L529" s="88">
        <f>SUM(F529:K529)</f>
        <v>272738.84999999998</v>
      </c>
      <c r="M529" s="8"/>
      <c r="N529" s="265"/>
    </row>
    <row r="530" spans="1:14" s="3" customFormat="1" ht="12.2" customHeight="1" thickTop="1" x14ac:dyDescent="0.15">
      <c r="A530" s="139" t="s">
        <v>65</v>
      </c>
      <c r="B530" s="107">
        <v>21</v>
      </c>
      <c r="C530" s="107">
        <v>8</v>
      </c>
      <c r="D530" s="158" t="s">
        <v>432</v>
      </c>
      <c r="E530" s="107"/>
      <c r="F530" s="89">
        <f>SUM(F527:F529)</f>
        <v>753338.60000000009</v>
      </c>
      <c r="G530" s="89">
        <f t="shared" ref="G530:L530" si="40">SUM(G527:G529)</f>
        <v>429078.53</v>
      </c>
      <c r="H530" s="89">
        <f t="shared" si="40"/>
        <v>76906.349999999991</v>
      </c>
      <c r="I530" s="89">
        <f t="shared" si="40"/>
        <v>5444.83</v>
      </c>
      <c r="J530" s="89">
        <f t="shared" si="40"/>
        <v>3628.05</v>
      </c>
      <c r="K530" s="89">
        <f t="shared" si="40"/>
        <v>0</v>
      </c>
      <c r="L530" s="89">
        <f t="shared" si="40"/>
        <v>1268396.3599999999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48245.59</v>
      </c>
      <c r="G532" s="18">
        <v>18320.87</v>
      </c>
      <c r="H532" s="18">
        <v>0</v>
      </c>
      <c r="I532" s="18">
        <v>0</v>
      </c>
      <c r="J532" s="18">
        <v>0</v>
      </c>
      <c r="K532" s="18">
        <v>0</v>
      </c>
      <c r="L532" s="88">
        <f>SUM(F532:K532)</f>
        <v>66566.459999999992</v>
      </c>
      <c r="M532" s="8"/>
      <c r="N532" s="265"/>
    </row>
    <row r="533" spans="1:14" s="3" customFormat="1" ht="12.2" customHeight="1" x14ac:dyDescent="0.15">
      <c r="A533" s="22" t="s">
        <v>634</v>
      </c>
      <c r="B533" s="105">
        <v>21</v>
      </c>
      <c r="C533" s="105">
        <v>10</v>
      </c>
      <c r="D533" s="2" t="s">
        <v>432</v>
      </c>
      <c r="E533" s="105"/>
      <c r="F533" s="18">
        <v>48245.59</v>
      </c>
      <c r="G533" s="18">
        <v>18320.87</v>
      </c>
      <c r="H533" s="18">
        <v>0</v>
      </c>
      <c r="I533" s="18">
        <v>0</v>
      </c>
      <c r="J533" s="18">
        <v>0</v>
      </c>
      <c r="K533" s="18">
        <v>0</v>
      </c>
      <c r="L533" s="88">
        <f>SUM(F533:K533)</f>
        <v>66566.459999999992</v>
      </c>
      <c r="M533" s="8"/>
      <c r="N533" s="265"/>
    </row>
    <row r="534" spans="1:14" s="3" customFormat="1" ht="12.2" customHeight="1" thickBot="1" x14ac:dyDescent="0.2">
      <c r="A534" s="22" t="s">
        <v>635</v>
      </c>
      <c r="B534" s="105">
        <v>21</v>
      </c>
      <c r="C534" s="105">
        <v>11</v>
      </c>
      <c r="D534" s="2" t="s">
        <v>432</v>
      </c>
      <c r="E534" s="105"/>
      <c r="F534" s="18">
        <v>96490.98</v>
      </c>
      <c r="G534" s="18">
        <v>52835.71</v>
      </c>
      <c r="H534" s="18">
        <v>0</v>
      </c>
      <c r="I534" s="18">
        <v>0</v>
      </c>
      <c r="J534" s="18">
        <v>0</v>
      </c>
      <c r="K534" s="18">
        <v>0</v>
      </c>
      <c r="L534" s="88">
        <f>SUM(F534:K534)</f>
        <v>149326.69</v>
      </c>
      <c r="M534" s="8"/>
      <c r="N534" s="265"/>
    </row>
    <row r="535" spans="1:14" s="3" customFormat="1" ht="12.2" customHeight="1" thickTop="1" x14ac:dyDescent="0.15">
      <c r="A535" s="139" t="s">
        <v>67</v>
      </c>
      <c r="B535" s="107">
        <v>21</v>
      </c>
      <c r="C535" s="107">
        <v>12</v>
      </c>
      <c r="D535" s="158" t="s">
        <v>432</v>
      </c>
      <c r="E535" s="107"/>
      <c r="F535" s="89">
        <f>SUM(F532:F534)</f>
        <v>192982.15999999997</v>
      </c>
      <c r="G535" s="89">
        <f t="shared" ref="G535:L535" si="41">SUM(G532:G534)</f>
        <v>89477.45</v>
      </c>
      <c r="H535" s="89">
        <f t="shared" si="41"/>
        <v>0</v>
      </c>
      <c r="I535" s="89">
        <f t="shared" si="41"/>
        <v>0</v>
      </c>
      <c r="J535" s="89">
        <f t="shared" si="41"/>
        <v>0</v>
      </c>
      <c r="K535" s="89">
        <f t="shared" si="41"/>
        <v>0</v>
      </c>
      <c r="L535" s="89">
        <f t="shared" si="41"/>
        <v>282459.61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0</v>
      </c>
      <c r="I540" s="89">
        <f t="shared" si="42"/>
        <v>0</v>
      </c>
      <c r="J540" s="89">
        <f t="shared" si="42"/>
        <v>0</v>
      </c>
      <c r="K540" s="89">
        <f t="shared" si="42"/>
        <v>0</v>
      </c>
      <c r="L540" s="89">
        <f t="shared" si="42"/>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22627.67</v>
      </c>
      <c r="G542" s="18">
        <v>2315.5100000000002</v>
      </c>
      <c r="H542" s="18">
        <v>35027.199999999997</v>
      </c>
      <c r="I542" s="18">
        <v>0</v>
      </c>
      <c r="J542" s="18">
        <v>4168.8</v>
      </c>
      <c r="K542" s="18">
        <v>0</v>
      </c>
      <c r="L542" s="88">
        <f>SUM(F542:K542)</f>
        <v>64139.18</v>
      </c>
      <c r="M542" s="8"/>
      <c r="N542" s="265"/>
    </row>
    <row r="543" spans="1:14" s="3" customFormat="1" ht="12.2" customHeight="1" x14ac:dyDescent="0.15">
      <c r="A543" s="22" t="s">
        <v>634</v>
      </c>
      <c r="B543" s="105">
        <v>21</v>
      </c>
      <c r="C543" s="105">
        <v>18</v>
      </c>
      <c r="D543" s="2" t="s">
        <v>432</v>
      </c>
      <c r="E543" s="105"/>
      <c r="F543" s="18">
        <v>22627.67</v>
      </c>
      <c r="G543" s="18">
        <v>2315.5100000000002</v>
      </c>
      <c r="H543" s="18">
        <v>35027.199999999997</v>
      </c>
      <c r="I543" s="18">
        <v>0</v>
      </c>
      <c r="J543" s="18">
        <v>4168.8</v>
      </c>
      <c r="K543" s="18">
        <v>0</v>
      </c>
      <c r="L543" s="88">
        <f>SUM(F543:K543)</f>
        <v>64139.18</v>
      </c>
      <c r="M543" s="8"/>
      <c r="N543" s="265"/>
    </row>
    <row r="544" spans="1:14" s="3" customFormat="1" ht="12.2" customHeight="1" thickBot="1" x14ac:dyDescent="0.2">
      <c r="A544" s="22" t="s">
        <v>635</v>
      </c>
      <c r="B544" s="105">
        <v>21</v>
      </c>
      <c r="C544" s="105">
        <v>19</v>
      </c>
      <c r="D544" s="2" t="s">
        <v>432</v>
      </c>
      <c r="E544" s="105"/>
      <c r="F544" s="18">
        <v>22627.67</v>
      </c>
      <c r="G544" s="18">
        <v>2315.52</v>
      </c>
      <c r="H544" s="18">
        <v>35027.199999999997</v>
      </c>
      <c r="I544" s="18">
        <v>0</v>
      </c>
      <c r="J544" s="18">
        <v>4168.8</v>
      </c>
      <c r="K544" s="18">
        <v>0</v>
      </c>
      <c r="L544" s="88">
        <f>SUM(F544:K544)</f>
        <v>64139.19</v>
      </c>
      <c r="M544" s="8"/>
      <c r="N544" s="265"/>
    </row>
    <row r="545" spans="1:14" s="3" customFormat="1" ht="12.2" customHeight="1" thickTop="1" thickBot="1" x14ac:dyDescent="0.2">
      <c r="A545" s="130" t="s">
        <v>71</v>
      </c>
      <c r="B545" s="190">
        <v>21</v>
      </c>
      <c r="C545" s="190">
        <v>20</v>
      </c>
      <c r="D545" s="191" t="s">
        <v>432</v>
      </c>
      <c r="E545" s="190"/>
      <c r="F545" s="192">
        <f>SUM(F542:F544)</f>
        <v>67883.009999999995</v>
      </c>
      <c r="G545" s="192">
        <f t="shared" ref="G545:L545" si="43">SUM(G542:G544)</f>
        <v>6946.5400000000009</v>
      </c>
      <c r="H545" s="192">
        <f t="shared" si="43"/>
        <v>105081.59999999999</v>
      </c>
      <c r="I545" s="192">
        <f t="shared" si="43"/>
        <v>0</v>
      </c>
      <c r="J545" s="192">
        <f t="shared" si="43"/>
        <v>12506.400000000001</v>
      </c>
      <c r="K545" s="192">
        <f t="shared" si="43"/>
        <v>0</v>
      </c>
      <c r="L545" s="192">
        <f t="shared" si="43"/>
        <v>192417.55</v>
      </c>
      <c r="M545" s="8"/>
      <c r="N545" s="265"/>
    </row>
    <row r="546" spans="1:14" s="3" customFormat="1" ht="12.2" customHeight="1" thickTop="1" x14ac:dyDescent="0.15">
      <c r="A546" s="98" t="s">
        <v>72</v>
      </c>
      <c r="B546" s="107">
        <v>21</v>
      </c>
      <c r="C546" s="107">
        <v>21</v>
      </c>
      <c r="D546" s="158" t="s">
        <v>432</v>
      </c>
      <c r="E546" s="107"/>
      <c r="F546" s="89">
        <f>F525+F530+F535+F540+F545</f>
        <v>3908422.1500000004</v>
      </c>
      <c r="G546" s="89">
        <f t="shared" ref="G546:L546" si="44">G525+G530+G535+G540+G545</f>
        <v>2016965.4</v>
      </c>
      <c r="H546" s="89">
        <f t="shared" si="44"/>
        <v>1370627.1700000004</v>
      </c>
      <c r="I546" s="89">
        <f t="shared" si="44"/>
        <v>59751.41</v>
      </c>
      <c r="J546" s="89">
        <f t="shared" si="44"/>
        <v>41282.32</v>
      </c>
      <c r="K546" s="89">
        <f t="shared" si="44"/>
        <v>1896.67</v>
      </c>
      <c r="L546" s="89">
        <f t="shared" si="44"/>
        <v>7398945.1199999992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1562056.14</v>
      </c>
      <c r="G550" s="87">
        <f>L527</f>
        <v>738121.58000000007</v>
      </c>
      <c r="H550" s="87">
        <f>L532</f>
        <v>66566.459999999992</v>
      </c>
      <c r="I550" s="87">
        <f>L537</f>
        <v>0</v>
      </c>
      <c r="J550" s="87">
        <f>L542</f>
        <v>64139.18</v>
      </c>
      <c r="K550" s="87">
        <f>SUM(F550:J550)</f>
        <v>2430883.36</v>
      </c>
      <c r="L550" s="24" t="s">
        <v>288</v>
      </c>
      <c r="M550" s="8"/>
      <c r="N550" s="265"/>
    </row>
    <row r="551" spans="1:14" s="3" customFormat="1" ht="12.2" customHeight="1" x14ac:dyDescent="0.15">
      <c r="A551" s="22" t="s">
        <v>634</v>
      </c>
      <c r="B551" s="75">
        <v>21</v>
      </c>
      <c r="C551" s="75">
        <v>23</v>
      </c>
      <c r="D551" s="2" t="s">
        <v>432</v>
      </c>
      <c r="E551" s="75"/>
      <c r="F551" s="87">
        <f>L523</f>
        <v>1863782.1100000003</v>
      </c>
      <c r="G551" s="87">
        <f>L528</f>
        <v>257535.92999999996</v>
      </c>
      <c r="H551" s="87">
        <f>L533</f>
        <v>66566.459999999992</v>
      </c>
      <c r="I551" s="87">
        <f>L538</f>
        <v>0</v>
      </c>
      <c r="J551" s="87">
        <f>L543</f>
        <v>64139.18</v>
      </c>
      <c r="K551" s="87">
        <f>SUM(F551:J551)</f>
        <v>2252023.6800000006</v>
      </c>
      <c r="L551" s="24" t="s">
        <v>288</v>
      </c>
      <c r="M551" s="8"/>
      <c r="N551" s="265"/>
    </row>
    <row r="552" spans="1:14" s="3" customFormat="1" ht="12.2" customHeight="1" thickBot="1" x14ac:dyDescent="0.2">
      <c r="A552" s="22" t="s">
        <v>635</v>
      </c>
      <c r="B552" s="75">
        <v>21</v>
      </c>
      <c r="C552" s="75">
        <v>24</v>
      </c>
      <c r="D552" s="2" t="s">
        <v>432</v>
      </c>
      <c r="E552" s="75"/>
      <c r="F552" s="87">
        <f>L524</f>
        <v>2229833.35</v>
      </c>
      <c r="G552" s="87">
        <f>L529</f>
        <v>272738.84999999998</v>
      </c>
      <c r="H552" s="87">
        <f>L534</f>
        <v>149326.69</v>
      </c>
      <c r="I552" s="87">
        <f>L539</f>
        <v>0</v>
      </c>
      <c r="J552" s="87">
        <f>L544</f>
        <v>64139.19</v>
      </c>
      <c r="K552" s="87">
        <f>SUM(F552:J552)</f>
        <v>2716038.08</v>
      </c>
      <c r="L552" s="24" t="s">
        <v>288</v>
      </c>
      <c r="M552" s="8"/>
      <c r="N552" s="265"/>
    </row>
    <row r="553" spans="1:14" s="3" customFormat="1" ht="12.2" customHeight="1" thickTop="1" x14ac:dyDescent="0.15">
      <c r="A553" s="172" t="s">
        <v>340</v>
      </c>
      <c r="B553" s="44">
        <v>21</v>
      </c>
      <c r="C553" s="44">
        <v>25</v>
      </c>
      <c r="D553" s="39" t="s">
        <v>432</v>
      </c>
      <c r="E553" s="44"/>
      <c r="F553" s="89">
        <f t="shared" ref="F553:K553" si="45">SUM(F550:F552)</f>
        <v>5655671.5999999996</v>
      </c>
      <c r="G553" s="89">
        <f t="shared" si="45"/>
        <v>1268396.3599999999</v>
      </c>
      <c r="H553" s="89">
        <f t="shared" si="45"/>
        <v>282459.61</v>
      </c>
      <c r="I553" s="89">
        <f t="shared" si="45"/>
        <v>0</v>
      </c>
      <c r="J553" s="89">
        <f t="shared" si="45"/>
        <v>192417.55</v>
      </c>
      <c r="K553" s="89">
        <f t="shared" si="45"/>
        <v>7398945.120000001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5302.73</v>
      </c>
      <c r="G563" s="18">
        <v>3024.67</v>
      </c>
      <c r="H563" s="18">
        <v>0</v>
      </c>
      <c r="I563" s="18">
        <v>0</v>
      </c>
      <c r="J563" s="18">
        <v>0</v>
      </c>
      <c r="K563" s="18">
        <v>0</v>
      </c>
      <c r="L563" s="88">
        <f>SUM(F563:K563)</f>
        <v>8327.4</v>
      </c>
      <c r="M563" s="8"/>
      <c r="N563" s="265"/>
    </row>
    <row r="564" spans="1:14" s="3" customFormat="1" ht="12.2" customHeight="1" x14ac:dyDescent="0.15">
      <c r="A564" s="22" t="s">
        <v>634</v>
      </c>
      <c r="B564" s="105">
        <v>22</v>
      </c>
      <c r="C564" s="115">
        <v>6</v>
      </c>
      <c r="D564" s="2" t="s">
        <v>432</v>
      </c>
      <c r="E564" s="115"/>
      <c r="F564" s="18">
        <v>5302.73</v>
      </c>
      <c r="G564" s="18">
        <v>3024.67</v>
      </c>
      <c r="H564" s="18">
        <v>0</v>
      </c>
      <c r="I564" s="18">
        <v>0</v>
      </c>
      <c r="J564" s="18">
        <v>0</v>
      </c>
      <c r="K564" s="18">
        <v>0</v>
      </c>
      <c r="L564" s="88">
        <f>SUM(F564:K564)</f>
        <v>8327.4</v>
      </c>
      <c r="M564" s="8"/>
      <c r="N564" s="265"/>
    </row>
    <row r="565" spans="1:14" s="3" customFormat="1" ht="12.2" customHeight="1" thickBot="1" x14ac:dyDescent="0.2">
      <c r="A565" s="22" t="s">
        <v>635</v>
      </c>
      <c r="B565" s="105">
        <v>22</v>
      </c>
      <c r="C565" s="118">
        <v>7</v>
      </c>
      <c r="D565" s="2" t="s">
        <v>432</v>
      </c>
      <c r="E565" s="118"/>
      <c r="F565" s="18">
        <v>5302.74</v>
      </c>
      <c r="G565" s="18">
        <v>3024.68</v>
      </c>
      <c r="H565" s="18">
        <v>0</v>
      </c>
      <c r="I565" s="18">
        <v>0</v>
      </c>
      <c r="J565" s="18">
        <v>0</v>
      </c>
      <c r="K565" s="18">
        <v>0</v>
      </c>
      <c r="L565" s="88">
        <f>SUM(F565:K565)</f>
        <v>8327.42</v>
      </c>
      <c r="M565" s="8"/>
      <c r="N565" s="265"/>
    </row>
    <row r="566" spans="1:14" s="3" customFormat="1" ht="12.2" customHeight="1" thickTop="1" x14ac:dyDescent="0.15">
      <c r="A566" s="139" t="s">
        <v>65</v>
      </c>
      <c r="B566" s="107">
        <v>22</v>
      </c>
      <c r="C566" s="107">
        <v>8</v>
      </c>
      <c r="D566" s="195" t="s">
        <v>432</v>
      </c>
      <c r="E566" s="107"/>
      <c r="F566" s="89">
        <f t="shared" ref="F566:L566" si="47">SUM(F563:F565)</f>
        <v>15908.199999999999</v>
      </c>
      <c r="G566" s="89">
        <f t="shared" si="47"/>
        <v>9074.02</v>
      </c>
      <c r="H566" s="89">
        <f t="shared" si="47"/>
        <v>0</v>
      </c>
      <c r="I566" s="89">
        <f t="shared" si="47"/>
        <v>0</v>
      </c>
      <c r="J566" s="89">
        <f t="shared" si="47"/>
        <v>0</v>
      </c>
      <c r="K566" s="89">
        <f t="shared" si="47"/>
        <v>0</v>
      </c>
      <c r="L566" s="89">
        <f t="shared" si="47"/>
        <v>24982.22</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53768</v>
      </c>
      <c r="G568" s="18">
        <v>55651.91</v>
      </c>
      <c r="H568" s="18">
        <v>0</v>
      </c>
      <c r="I568" s="18">
        <v>0</v>
      </c>
      <c r="J568" s="18">
        <v>0</v>
      </c>
      <c r="K568" s="18">
        <v>0</v>
      </c>
      <c r="L568" s="88">
        <f>SUM(F568:K568)</f>
        <v>109419.91</v>
      </c>
      <c r="M568" s="8"/>
      <c r="N568" s="265"/>
    </row>
    <row r="569" spans="1:14" s="3" customFormat="1" ht="12.2" customHeight="1" x14ac:dyDescent="0.15">
      <c r="A569" s="22" t="s">
        <v>634</v>
      </c>
      <c r="B569" s="105">
        <v>22</v>
      </c>
      <c r="C569" s="105">
        <v>10</v>
      </c>
      <c r="D569" s="2" t="s">
        <v>432</v>
      </c>
      <c r="E569" s="105"/>
      <c r="F569" s="18">
        <v>0</v>
      </c>
      <c r="G569" s="18">
        <v>0</v>
      </c>
      <c r="H569" s="18">
        <v>0</v>
      </c>
      <c r="I569" s="18">
        <v>250</v>
      </c>
      <c r="J569" s="18">
        <v>0</v>
      </c>
      <c r="K569" s="18">
        <v>0</v>
      </c>
      <c r="L569" s="88">
        <f>SUM(F569:K569)</f>
        <v>250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53768</v>
      </c>
      <c r="G571" s="192">
        <f t="shared" ref="G571:L571" si="48">SUM(G568:G570)</f>
        <v>55651.91</v>
      </c>
      <c r="H571" s="192">
        <f t="shared" si="48"/>
        <v>0</v>
      </c>
      <c r="I571" s="192">
        <f t="shared" si="48"/>
        <v>250</v>
      </c>
      <c r="J571" s="192">
        <f t="shared" si="48"/>
        <v>0</v>
      </c>
      <c r="K571" s="192">
        <f t="shared" si="48"/>
        <v>0</v>
      </c>
      <c r="L571" s="192">
        <f t="shared" si="48"/>
        <v>109669.91</v>
      </c>
      <c r="M571" s="8"/>
      <c r="N571" s="265"/>
    </row>
    <row r="572" spans="1:14" s="3" customFormat="1" ht="12.2" customHeight="1" thickTop="1" x14ac:dyDescent="0.15">
      <c r="A572" s="98" t="s">
        <v>88</v>
      </c>
      <c r="B572" s="107">
        <v>22</v>
      </c>
      <c r="C572" s="107">
        <v>13</v>
      </c>
      <c r="D572" s="158" t="s">
        <v>432</v>
      </c>
      <c r="E572" s="107"/>
      <c r="F572" s="89">
        <f>F561+F566+F571</f>
        <v>69676.2</v>
      </c>
      <c r="G572" s="89">
        <f t="shared" ref="G572:L572" si="49">G561+G566+G571</f>
        <v>64725.930000000008</v>
      </c>
      <c r="H572" s="89">
        <f t="shared" si="49"/>
        <v>0</v>
      </c>
      <c r="I572" s="89">
        <f t="shared" si="49"/>
        <v>250</v>
      </c>
      <c r="J572" s="89">
        <f t="shared" si="49"/>
        <v>0</v>
      </c>
      <c r="K572" s="89">
        <f t="shared" si="49"/>
        <v>0</v>
      </c>
      <c r="L572" s="89">
        <f t="shared" si="49"/>
        <v>134652.13</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50">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50"/>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50"/>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2024.98</v>
      </c>
      <c r="H580" s="18">
        <v>0</v>
      </c>
      <c r="I580" s="87">
        <f t="shared" si="50"/>
        <v>2024.98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50"/>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50"/>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0</v>
      </c>
      <c r="G583" s="18">
        <f>282074.69-2024.98</f>
        <v>280049.71000000002</v>
      </c>
      <c r="H583" s="18">
        <v>768891.77</v>
      </c>
      <c r="I583" s="87">
        <f t="shared" si="50"/>
        <v>1048941.48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50"/>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217475.81</v>
      </c>
      <c r="I585" s="87">
        <f t="shared" si="50"/>
        <v>217475.81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50"/>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50"/>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50"/>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185452.77</v>
      </c>
      <c r="I592" s="18">
        <v>185452.77</v>
      </c>
      <c r="J592" s="18">
        <v>57062.39</v>
      </c>
      <c r="K592" s="104">
        <f t="shared" ref="K592:K598" si="51">SUM(H592:J592)</f>
        <v>427967.93</v>
      </c>
      <c r="L592" s="24" t="s">
        <v>288</v>
      </c>
      <c r="M592" s="8"/>
      <c r="N592" s="265"/>
    </row>
    <row r="593" spans="1:14" s="3" customFormat="1" ht="12.2" customHeight="1" x14ac:dyDescent="0.15">
      <c r="A593" s="3" t="s">
        <v>638</v>
      </c>
      <c r="B593" s="75">
        <v>23</v>
      </c>
      <c r="C593" s="75">
        <v>2</v>
      </c>
      <c r="D593" s="2" t="s">
        <v>432</v>
      </c>
      <c r="E593" s="75"/>
      <c r="F593" s="102">
        <v>2722</v>
      </c>
      <c r="G593" s="103" t="s">
        <v>97</v>
      </c>
      <c r="H593" s="18">
        <f>L542</f>
        <v>64139.18</v>
      </c>
      <c r="I593" s="18">
        <f>L543</f>
        <v>64139.18</v>
      </c>
      <c r="J593" s="18">
        <f>L544</f>
        <v>64139.19</v>
      </c>
      <c r="K593" s="104">
        <f t="shared" si="51"/>
        <v>192417.55</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f>19074.54+1770.77</f>
        <v>20845.310000000001</v>
      </c>
      <c r="K594" s="104">
        <f t="shared" si="51"/>
        <v>20845.310000000001</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5140.75</v>
      </c>
      <c r="J595" s="18">
        <v>14851.05</v>
      </c>
      <c r="K595" s="104">
        <f t="shared" si="51"/>
        <v>19991.8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878.64</v>
      </c>
      <c r="I596" s="18">
        <v>5711.16</v>
      </c>
      <c r="J596" s="18">
        <v>11861.63</v>
      </c>
      <c r="K596" s="104">
        <f t="shared" si="51"/>
        <v>18451.43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51"/>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201279.73</v>
      </c>
      <c r="I598" s="18">
        <v>201279.72</v>
      </c>
      <c r="J598" s="18">
        <v>61972.23</v>
      </c>
      <c r="K598" s="104">
        <f t="shared" si="51"/>
        <v>464531.68</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451750.32</v>
      </c>
      <c r="I599" s="108">
        <f>SUM(I592:I598)</f>
        <v>461723.57999999996</v>
      </c>
      <c r="J599" s="108">
        <f>SUM(J592:J598)</f>
        <v>230731.80000000002</v>
      </c>
      <c r="K599" s="108">
        <f>SUM(K592:K598)</f>
        <v>1144205.7000000002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J212+J291</f>
        <v>308688.45</v>
      </c>
      <c r="I605" s="18">
        <f>J230+J310</f>
        <v>218022.05000000002</v>
      </c>
      <c r="J605" s="18">
        <f>J248+J329</f>
        <v>251518.59999999998</v>
      </c>
      <c r="K605" s="104">
        <f>SUM(H605:J605)</f>
        <v>778229.1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308688.45</v>
      </c>
      <c r="I606" s="108">
        <f>SUM(I603:I605)</f>
        <v>218022.05000000002</v>
      </c>
      <c r="J606" s="108">
        <f>SUM(J603:J605)</f>
        <v>251518.59999999998</v>
      </c>
      <c r="K606" s="108">
        <f>SUM(K603:K605)</f>
        <v>778229.1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8400</v>
      </c>
      <c r="G614" s="18">
        <v>2421.5100000000002</v>
      </c>
      <c r="H614" s="18">
        <v>0</v>
      </c>
      <c r="I614" s="18">
        <v>0</v>
      </c>
      <c r="J614" s="18">
        <v>0</v>
      </c>
      <c r="K614" s="18">
        <v>0</v>
      </c>
      <c r="L614" s="88">
        <f>SUM(F614:K614)</f>
        <v>10821.51</v>
      </c>
      <c r="M614" s="8"/>
      <c r="N614" s="265"/>
    </row>
    <row r="615" spans="1:14" s="3" customFormat="1" ht="12.2" customHeight="1" thickTop="1" x14ac:dyDescent="0.15">
      <c r="A615" s="98" t="s">
        <v>340</v>
      </c>
      <c r="B615" s="107">
        <v>23</v>
      </c>
      <c r="C615" s="107">
        <v>16</v>
      </c>
      <c r="D615" s="39" t="s">
        <v>432</v>
      </c>
      <c r="E615" s="107"/>
      <c r="F615" s="108">
        <f t="shared" ref="F615:L615" si="52">SUM(F612:F614)</f>
        <v>8400</v>
      </c>
      <c r="G615" s="108">
        <f t="shared" si="52"/>
        <v>2421.5100000000002</v>
      </c>
      <c r="H615" s="108">
        <f t="shared" si="52"/>
        <v>0</v>
      </c>
      <c r="I615" s="108">
        <f t="shared" si="52"/>
        <v>0</v>
      </c>
      <c r="J615" s="108">
        <f t="shared" si="52"/>
        <v>0</v>
      </c>
      <c r="K615" s="108">
        <f t="shared" si="52"/>
        <v>0</v>
      </c>
      <c r="L615" s="89">
        <f t="shared" si="52"/>
        <v>10821.51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3471418.4999999995</v>
      </c>
      <c r="H618" s="109">
        <f>SUM(F52)</f>
        <v>3471418.5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646713.62</v>
      </c>
      <c r="H619" s="109">
        <f>SUM(G52)</f>
        <v>646713.62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61457.1</v>
      </c>
      <c r="H620" s="109">
        <f>SUM(H52)</f>
        <v>61457.1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614595.01</v>
      </c>
      <c r="H622" s="109">
        <f>SUM(J52)</f>
        <v>614595.01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1104501.5699999998</v>
      </c>
      <c r="H623" s="109">
        <f>F477</f>
        <v>1104501.570000004</v>
      </c>
      <c r="I623" s="121" t="s">
        <v>101</v>
      </c>
      <c r="J623" s="109">
        <f t="shared" ref="J623:J656" si="53">G623-H623</f>
        <v>-4.1909515857696533E-9</v>
      </c>
      <c r="K623" s="109"/>
      <c r="L623" s="109"/>
      <c r="M623" s="8"/>
    </row>
    <row r="624" spans="1:14" s="3" customFormat="1" ht="12.2" customHeight="1" x14ac:dyDescent="0.15">
      <c r="A624" s="97"/>
      <c r="B624" s="105"/>
      <c r="C624" s="119"/>
      <c r="D624" s="119"/>
      <c r="E624" s="119"/>
      <c r="F624" s="119" t="s">
        <v>866</v>
      </c>
      <c r="G624" s="109">
        <f>G51</f>
        <v>559171.64</v>
      </c>
      <c r="H624" s="109">
        <f>G477</f>
        <v>559171.6399999999</v>
      </c>
      <c r="I624" s="121" t="s">
        <v>102</v>
      </c>
      <c r="J624" s="109">
        <f t="shared" si="53"/>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614595.01</v>
      </c>
      <c r="H627" s="109">
        <f>J477</f>
        <v>614595.01000000024</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29315610.039999999</v>
      </c>
      <c r="H628" s="104">
        <f>SUM(F469)</f>
        <v>29315610.039999999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1164057.17</v>
      </c>
      <c r="H629" s="104">
        <f>SUM(G469)</f>
        <v>1164057.17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862518.96</v>
      </c>
      <c r="H630" s="104">
        <f>SUM(H469)</f>
        <v>862518.96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1554873.35</v>
      </c>
      <c r="H631" s="104">
        <f>SUM(I469)</f>
        <v>1554873.35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158533.66</v>
      </c>
      <c r="H632" s="104">
        <f>SUM(J469)</f>
        <v>158533.66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30218919.169999994</v>
      </c>
      <c r="H633" s="104">
        <f>SUM(F473)</f>
        <v>30218919.169999994</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862518.96</v>
      </c>
      <c r="H634" s="104">
        <f>SUM(H473)</f>
        <v>862518.96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370063.67</v>
      </c>
      <c r="H635" s="104">
        <f>I370</f>
        <v>370063.67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749092.2</v>
      </c>
      <c r="H636" s="104">
        <f>SUM(G473)</f>
        <v>749092.2</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1554873.35</v>
      </c>
      <c r="H637" s="104">
        <f>SUM(I473)</f>
        <v>1554873.35</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158533.66</v>
      </c>
      <c r="H638" s="164">
        <f>SUM(J469)</f>
        <v>158533.66</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1645420</v>
      </c>
      <c r="H639" s="164">
        <f>SUM(J473)</f>
        <v>1645420</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614595.01</v>
      </c>
      <c r="H640" s="104">
        <f>SUM(F462)</f>
        <v>614595.01</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614595.01</v>
      </c>
      <c r="H643" s="104">
        <f>SUM(I462)</f>
        <v>614595.01</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68273.66</v>
      </c>
      <c r="H645" s="104">
        <f>H409</f>
        <v>68273.66</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90260</v>
      </c>
      <c r="H646" s="104">
        <f>G409</f>
        <v>90260</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158533.66</v>
      </c>
      <c r="H647" s="104">
        <f>L409</f>
        <v>158533.66</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1144205.7000000002</v>
      </c>
      <c r="H648" s="104">
        <f>L209+L227+L245</f>
        <v>1144205.7</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778229.1</v>
      </c>
      <c r="H649" s="104">
        <f>(J258+J339)-(J256+J337)</f>
        <v>778229.1</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451750.31999999995</v>
      </c>
      <c r="H650" s="104">
        <f>H599</f>
        <v>451750.32</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461723.57999999996</v>
      </c>
      <c r="H651" s="104">
        <f>I599</f>
        <v>461723.57999999996</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230731.79999999996</v>
      </c>
      <c r="H652" s="104">
        <f>J599</f>
        <v>230731.80000000002</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90260</v>
      </c>
      <c r="H656" s="104">
        <f>K267+K348</f>
        <v>90260</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9054960.1899999995</v>
      </c>
      <c r="G661" s="19">
        <f>(L230+L310+L360)</f>
        <v>9613964.4900000002</v>
      </c>
      <c r="H661" s="19">
        <f>(L248+L329+L361)</f>
        <v>12737046.649999997</v>
      </c>
      <c r="I661" s="19">
        <f>SUM(F661:H661)</f>
        <v>31405971.329999998</v>
      </c>
      <c r="J661" s="13"/>
      <c r="K661" s="13"/>
      <c r="L661" s="13"/>
      <c r="M661" s="9"/>
    </row>
    <row r="662" spans="1:13" s="3" customFormat="1" ht="12.2" customHeight="1" x14ac:dyDescent="0.2">
      <c r="A662" s="1" t="s">
        <v>127</v>
      </c>
      <c r="F662" s="19">
        <f>(L359/IF(SUM(L359:L361)=0,1,SUM(L359:L361))*(SUM(G97:G110)))</f>
        <v>22738.17766466771</v>
      </c>
      <c r="G662" s="19">
        <f>(L360/IF(SUM(L359:L361)=0,1,SUM(L359:L361))*(SUM(G97:G110)))</f>
        <v>76888.009906361855</v>
      </c>
      <c r="H662" s="19">
        <f>(L361/IF(SUM(L359:L361)=0,1,SUM(L359:L361))*(SUM(G97:G110)))</f>
        <v>122993.13242897042</v>
      </c>
      <c r="I662" s="19">
        <f>SUM(F662:H662)</f>
        <v>222619.31999999998</v>
      </c>
      <c r="J662"/>
      <c r="K662" s="13"/>
      <c r="L662" s="13"/>
      <c r="M662" s="8"/>
    </row>
    <row r="663" spans="1:13" s="3" customFormat="1" ht="12.2" customHeight="1" x14ac:dyDescent="0.2">
      <c r="A663" s="1" t="s">
        <v>128</v>
      </c>
      <c r="F663" s="19">
        <f>(L209+L288)-(J209+J288)</f>
        <v>382692.89999999997</v>
      </c>
      <c r="G663" s="19">
        <f>(L227+L307)-(J227+J307)</f>
        <v>392666.16</v>
      </c>
      <c r="H663" s="19">
        <f>(L245+L326)-(J245+J326)</f>
        <v>206597.26999999996</v>
      </c>
      <c r="I663" s="19">
        <f>SUM(F663:H663)</f>
        <v>981956.32999999984</v>
      </c>
      <c r="J663"/>
      <c r="K663" s="13"/>
      <c r="L663" s="13"/>
      <c r="M663" s="9"/>
    </row>
    <row r="664" spans="1:13" s="3" customFormat="1" ht="12.2" customHeight="1" x14ac:dyDescent="0.15">
      <c r="A664" s="197" t="s">
        <v>129</v>
      </c>
      <c r="B664" s="169"/>
      <c r="C664" s="169"/>
      <c r="D664" s="169"/>
      <c r="E664" s="169"/>
      <c r="F664" s="198">
        <f>SUM(F576:F588)+SUM(H603:H605)+SUM(L612)</f>
        <v>308688.45</v>
      </c>
      <c r="G664" s="198">
        <f>SUM(G576:G588)+SUM(I603:I605)+L613</f>
        <v>500096.74</v>
      </c>
      <c r="H664" s="198">
        <f>SUM(H576:H588)+SUM(J603:J605)+L614</f>
        <v>1248707.6900000002</v>
      </c>
      <c r="I664" s="19">
        <f>SUM(F664:H664)</f>
        <v>2057492.8800000001</v>
      </c>
      <c r="J664" s="13"/>
      <c r="K664" s="13"/>
      <c r="L664" s="13"/>
      <c r="M664" s="9"/>
    </row>
    <row r="665" spans="1:13" s="3" customFormat="1" ht="12.2" customHeight="1" x14ac:dyDescent="0.15">
      <c r="A665" s="1" t="s">
        <v>130</v>
      </c>
      <c r="F665" s="19">
        <f>F661-SUM(F662:F664)</f>
        <v>8340840.6623353316</v>
      </c>
      <c r="G665" s="19">
        <f>G661-SUM(G662:G664)</f>
        <v>8644313.580093639</v>
      </c>
      <c r="H665" s="19">
        <f>H661-SUM(H662:H664)</f>
        <v>11158748.557571026</v>
      </c>
      <c r="I665" s="19">
        <f>I661-SUM(I662:I664)</f>
        <v>28143902.799999997</v>
      </c>
      <c r="J665" s="13"/>
      <c r="K665" s="13"/>
      <c r="L665" s="13"/>
      <c r="M665" s="8"/>
    </row>
    <row r="666" spans="1:13" s="3" customFormat="1" ht="12.2" customHeight="1" x14ac:dyDescent="0.2">
      <c r="A666" s="1" t="s">
        <v>131</v>
      </c>
      <c r="F666" s="245">
        <v>512.86</v>
      </c>
      <c r="G666" s="246">
        <v>547.38</v>
      </c>
      <c r="H666" s="246">
        <v>620.1</v>
      </c>
      <c r="I666" s="19">
        <f>SUM(F666:H666)</f>
        <v>1680.3400000000001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16263.39</v>
      </c>
      <c r="G668" s="19">
        <f>ROUND(G665/G666,2)</f>
        <v>15792.16</v>
      </c>
      <c r="H668" s="19">
        <f>ROUND(H665/H666,2)</f>
        <v>17995.080000000002</v>
      </c>
      <c r="I668" s="19">
        <f>ROUND(I665/I666,2)</f>
        <v>16748.93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-27.44</v>
      </c>
      <c r="I671" s="19">
        <f>SUM(F671:H671)</f>
        <v>-27.44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16263.39</v>
      </c>
      <c r="G673" s="19">
        <f>ROUND((G665+G670)/(G666+G671),2)</f>
        <v>15792.16</v>
      </c>
      <c r="H673" s="19">
        <f>ROUND((H665+H670)/(H666+H671),2)</f>
        <v>18828.25</v>
      </c>
      <c r="I673" s="19">
        <f>ROUND((I665+I670)/(I666+I671),2)</f>
        <v>17026.98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1" sqref="C11"/>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46523.259999999995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14776.98</f>
        <v>14776.98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6566.23+9838.41+15341.64</f>
        <v>31746.28</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Bow</v>
      </c>
      <c r="C5" s="375"/>
      <c r="D5" s="375"/>
      <c r="E5" s="375"/>
      <c r="F5" s="375"/>
    </row>
    <row r="8" spans="1:9" ht="18" x14ac:dyDescent="0.25">
      <c r="A8" s="312" t="s">
        <v>1568</v>
      </c>
      <c r="F8" s="319" t="s">
        <v>1586</v>
      </c>
    </row>
    <row r="9" spans="1:9" ht="15" x14ac:dyDescent="0.2">
      <c r="A9" s="310" t="s">
        <v>1569</v>
      </c>
      <c r="B9" s="313">
        <f>'DOE25'!G97</f>
        <v>210069.44999999998</v>
      </c>
      <c r="F9" s="310" t="s">
        <v>1582</v>
      </c>
    </row>
    <row r="10" spans="1:9" ht="15" x14ac:dyDescent="0.2">
      <c r="A10" s="310" t="s">
        <v>1570</v>
      </c>
      <c r="B10" s="313">
        <f>'DOE25'!G112-'DOE25'!G97</f>
        <v>12549.869999999995</v>
      </c>
      <c r="F10" s="310" t="s">
        <v>1583</v>
      </c>
    </row>
    <row r="11" spans="1:9" ht="15" x14ac:dyDescent="0.2">
      <c r="A11" s="310" t="s">
        <v>1571</v>
      </c>
      <c r="B11" s="313">
        <f>'DOE25'!G140</f>
        <v>28706.74</v>
      </c>
      <c r="F11" s="310" t="s">
        <v>1584</v>
      </c>
    </row>
    <row r="12" spans="1:9" ht="15" x14ac:dyDescent="0.2">
      <c r="A12" s="310" t="s">
        <v>1572</v>
      </c>
      <c r="B12" s="313">
        <f>'DOE25'!G170</f>
        <v>912731.11</v>
      </c>
      <c r="F12" s="310" t="s">
        <v>1585</v>
      </c>
    </row>
    <row r="13" spans="1:9" ht="15" x14ac:dyDescent="0.2">
      <c r="A13" s="310" t="s">
        <v>1573</v>
      </c>
      <c r="B13" s="313">
        <f>'DOE25'!G193-'DOE25'!G180</f>
        <v>0</v>
      </c>
      <c r="F13" s="310" t="s">
        <v>1595</v>
      </c>
    </row>
    <row r="14" spans="1:9" ht="18" x14ac:dyDescent="0.25">
      <c r="A14" s="312" t="s">
        <v>732</v>
      </c>
      <c r="B14" s="314">
        <f>SUM(B9:B13)</f>
        <v>1164057.17</v>
      </c>
    </row>
    <row r="16" spans="1:9" ht="18" x14ac:dyDescent="0.25">
      <c r="A16" s="312" t="s">
        <v>786</v>
      </c>
      <c r="F16" s="319" t="s">
        <v>1587</v>
      </c>
    </row>
    <row r="17" spans="1:6" ht="15" x14ac:dyDescent="0.2">
      <c r="A17" s="310" t="s">
        <v>1574</v>
      </c>
      <c r="B17" s="313">
        <f>'DOE25'!L363-'DOE25'!L362</f>
        <v>749092.2</v>
      </c>
      <c r="F17" s="310" t="s">
        <v>1588</v>
      </c>
    </row>
    <row r="18" spans="1:6" ht="15" x14ac:dyDescent="0.2">
      <c r="A18" s="310" t="s">
        <v>1575</v>
      </c>
      <c r="B18" s="323">
        <v>0</v>
      </c>
      <c r="F18" s="319" t="s">
        <v>1612</v>
      </c>
    </row>
    <row r="19" spans="1:6" ht="18" x14ac:dyDescent="0.25">
      <c r="A19" s="312" t="s">
        <v>725</v>
      </c>
      <c r="B19" s="314">
        <f>SUM(B17:B18)</f>
        <v>749092.2</v>
      </c>
    </row>
    <row r="21" spans="1:6" ht="18.75" thickBot="1" x14ac:dyDescent="0.3">
      <c r="A21" s="312" t="s">
        <v>1576</v>
      </c>
    </row>
    <row r="22" spans="1:6" ht="18.75" thickTop="1" x14ac:dyDescent="0.25">
      <c r="A22" s="312" t="s">
        <v>1577</v>
      </c>
      <c r="B22" s="318">
        <f>B14-B19</f>
        <v>414964.97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143934.67000000001</v>
      </c>
      <c r="F31" s="310" t="s">
        <v>1592</v>
      </c>
    </row>
    <row r="33" spans="1:6" ht="15" x14ac:dyDescent="0.2">
      <c r="A33" s="310" t="s">
        <v>1635</v>
      </c>
      <c r="B33" s="313">
        <f>'DOE25'!G477</f>
        <v>559171.6399999999</v>
      </c>
      <c r="F33" s="310" t="s">
        <v>1593</v>
      </c>
    </row>
    <row r="36" spans="1:6" ht="15" x14ac:dyDescent="0.2">
      <c r="A36" s="310" t="s">
        <v>1579</v>
      </c>
      <c r="B36" s="324">
        <v>47412.24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Bow</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8209361.3599999994</v>
      </c>
      <c r="C9" s="228">
        <f>'DOE25'!G198+'DOE25'!G216+'DOE25'!G234+'DOE25'!G277+'DOE25'!G296+'DOE25'!G315</f>
        <v>4250731.04</v>
      </c>
    </row>
    <row r="10" spans="1:3" x14ac:dyDescent="0.2">
      <c r="A10" t="s">
        <v>775</v>
      </c>
      <c r="B10" s="239">
        <f>8209361.36-B11-B12</f>
        <v>7839744.6300000008</v>
      </c>
      <c r="C10" s="239">
        <f>4250731.04-C11-C12</f>
        <v>4107049.51</v>
      </c>
    </row>
    <row r="11" spans="1:3" x14ac:dyDescent="0.2">
      <c r="A11" t="s">
        <v>776</v>
      </c>
      <c r="B11" s="239">
        <f>20438.52+23498.33</f>
        <v>43936.850000000006</v>
      </c>
      <c r="C11" s="239">
        <f>1684.22+29451.86</f>
        <v>31136.080000000002</v>
      </c>
    </row>
    <row r="12" spans="1:3" x14ac:dyDescent="0.2">
      <c r="A12" t="s">
        <v>777</v>
      </c>
      <c r="B12" s="239">
        <f>36785.96*3+97822+117500</f>
        <v>325679.88</v>
      </c>
      <c r="C12" s="239">
        <f>16667.72*3+53225+9317.29</f>
        <v>112545.45000000001</v>
      </c>
    </row>
    <row r="13" spans="1:3" x14ac:dyDescent="0.2">
      <c r="A13" t="str">
        <f>IF(B9=B13,IF(C9=C13,"Check Total OK","Check Total Error"),"Check Total Error")</f>
        <v>Check Total OK</v>
      </c>
      <c r="B13" s="230">
        <f>SUM(B10:B12)</f>
        <v>8209361.3600000003</v>
      </c>
      <c r="C13" s="230">
        <f>SUM(C10:C12)</f>
        <v>4250731.04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3156876.74</v>
      </c>
      <c r="C18" s="228">
        <f>'DOE25'!G199+'DOE25'!G217+'DOE25'!G235+'DOE25'!G278+'DOE25'!G297+'DOE25'!G316</f>
        <v>1645666.26</v>
      </c>
    </row>
    <row r="19" spans="1:3" x14ac:dyDescent="0.2">
      <c r="A19" t="s">
        <v>775</v>
      </c>
      <c r="B19" s="239">
        <f>508341.69+534160.49+557712.43-B21</f>
        <v>1379232.63</v>
      </c>
      <c r="C19" s="239">
        <f>350658.2+299788.25+293288.37-C21</f>
        <v>852010.58</v>
      </c>
    </row>
    <row r="20" spans="1:3" x14ac:dyDescent="0.2">
      <c r="A20" t="s">
        <v>776</v>
      </c>
      <c r="B20" s="239">
        <f>3156876.74-B19-B21</f>
        <v>1556662.1300000004</v>
      </c>
      <c r="C20" s="239">
        <f>1645666.26-C19-C21</f>
        <v>701931.44000000006</v>
      </c>
    </row>
    <row r="21" spans="1:3" x14ac:dyDescent="0.2">
      <c r="A21" t="s">
        <v>777</v>
      </c>
      <c r="B21" s="239">
        <f>48245.49*2+96491+28000</f>
        <v>220981.97999999998</v>
      </c>
      <c r="C21" s="239">
        <f>18320.87*2+52835.71+2246.79</f>
        <v>91724.239999999991</v>
      </c>
    </row>
    <row r="22" spans="1:3" x14ac:dyDescent="0.2">
      <c r="A22" t="str">
        <f>IF(B18=B22,IF(C18=C22,"Check Total OK","Check Total Error"),"Check Total Error")</f>
        <v>Check Total OK</v>
      </c>
      <c r="B22" s="230">
        <f>SUM(B19:B21)</f>
        <v>3156876.74</v>
      </c>
      <c r="C22" s="230">
        <f>SUM(C19:C21)</f>
        <v>1645666.26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406937.8</v>
      </c>
      <c r="C36" s="234">
        <f>'DOE25'!G201+'DOE25'!G219+'DOE25'!G237+'DOE25'!G280+'DOE25'!G299+'DOE25'!G318</f>
        <v>130794.46999999999</v>
      </c>
    </row>
    <row r="37" spans="1:3" x14ac:dyDescent="0.2">
      <c r="A37" t="s">
        <v>775</v>
      </c>
      <c r="B37" s="239">
        <f>406937.8-B38-B39</f>
        <v>217128.04200000002</v>
      </c>
      <c r="C37" s="239">
        <f>130794.47-C38-C39</f>
        <v>53450.517800000001</v>
      </c>
    </row>
    <row r="38" spans="1:3" x14ac:dyDescent="0.2">
      <c r="A38" t="s">
        <v>776</v>
      </c>
      <c r="B38" s="239">
        <f>406937.8*0.26</f>
        <v>105803.82799999999</v>
      </c>
      <c r="C38" s="239">
        <f>130794.47*0.26</f>
        <v>34006.5622</v>
      </c>
    </row>
    <row r="39" spans="1:3" x14ac:dyDescent="0.2">
      <c r="A39" t="s">
        <v>777</v>
      </c>
      <c r="B39" s="239">
        <f>84005.93</f>
        <v>84005.93</v>
      </c>
      <c r="C39" s="239">
        <f>43337.39</f>
        <v>43337.39</v>
      </c>
    </row>
    <row r="40" spans="1:3" x14ac:dyDescent="0.2">
      <c r="A40" t="str">
        <f>IF(B36=B40,IF(C36=C40,"Check Total OK","Check Total Error"),"Check Total Error")</f>
        <v>Check Total OK</v>
      </c>
      <c r="B40" s="230">
        <f>SUM(B37:B39)</f>
        <v>406937.8</v>
      </c>
      <c r="C40" s="230">
        <f>SUM(C37:C39)</f>
        <v>130794.47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Bow</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19859157.119999997</v>
      </c>
      <c r="D5" s="20">
        <f>SUM('DOE25'!L198:L201)+SUM('DOE25'!L216:L219)+SUM('DOE25'!L234:L237)-F5-G5-H5</f>
        <v>19653025.120000001</v>
      </c>
      <c r="E5" s="242"/>
      <c r="F5" s="243">
        <f>5000+42427.83-25000</f>
        <v>22427.83</v>
      </c>
      <c r="G5" s="53">
        <f>SUM('DOE25'!J198:J201)+SUM('DOE25'!J216:J219)+SUM('DOE25'!J234:J237)</f>
        <v>147350.9</v>
      </c>
      <c r="H5" s="53">
        <f>SUM('DOE25'!K198:K201)+SUM('DOE25'!K216:K219)+SUM('DOE25'!K234:K237)</f>
        <v>36353.270000000004</v>
      </c>
      <c r="I5" s="255"/>
    </row>
    <row r="6" spans="1:9" x14ac:dyDescent="0.2">
      <c r="A6" s="32">
        <v>2100</v>
      </c>
      <c r="B6" t="s">
        <v>796</v>
      </c>
      <c r="C6" s="274">
        <f t="shared" si="0"/>
        <v>2539284.17</v>
      </c>
      <c r="D6" s="20">
        <f>'DOE25'!L203+'DOE25'!L221+'DOE25'!L239-F6-G6-H6</f>
        <v>2479388.75</v>
      </c>
      <c r="E6" s="242"/>
      <c r="F6" s="243">
        <f>78515.46-25000</f>
        <v>53515.460000000006</v>
      </c>
      <c r="G6" s="53">
        <f>'DOE25'!J203+'DOE25'!J221+'DOE25'!J239</f>
        <v>5430.9599999999991</v>
      </c>
      <c r="H6" s="53">
        <f>'DOE25'!K203+'DOE25'!K221+'DOE25'!K239</f>
        <v>949</v>
      </c>
      <c r="I6" s="255"/>
    </row>
    <row r="7" spans="1:9" x14ac:dyDescent="0.2">
      <c r="A7" s="32">
        <v>2200</v>
      </c>
      <c r="B7" t="s">
        <v>821</v>
      </c>
      <c r="C7" s="274">
        <f t="shared" si="0"/>
        <v>1358790.79</v>
      </c>
      <c r="D7" s="20">
        <f>'DOE25'!L204+'DOE25'!L222+'DOE25'!L240-F7-G7-H7</f>
        <v>1013045.3700000001</v>
      </c>
      <c r="E7" s="242"/>
      <c r="F7" s="243">
        <v>0</v>
      </c>
      <c r="G7" s="53">
        <f>'DOE25'!J204+'DOE25'!J222+'DOE25'!J240</f>
        <v>345533.42</v>
      </c>
      <c r="H7" s="53">
        <f>'DOE25'!K204+'DOE25'!K222+'DOE25'!K240</f>
        <v>212</v>
      </c>
      <c r="I7" s="255"/>
    </row>
    <row r="8" spans="1:9" x14ac:dyDescent="0.2">
      <c r="A8" s="32">
        <v>2300</v>
      </c>
      <c r="B8" t="s">
        <v>797</v>
      </c>
      <c r="C8" s="274">
        <f t="shared" si="0"/>
        <v>565059.06999999995</v>
      </c>
      <c r="D8" s="242"/>
      <c r="E8" s="20">
        <f>'DOE25'!L205+'DOE25'!L223+'DOE25'!L241-F8-G8-H8-D9-D11</f>
        <v>559334.09</v>
      </c>
      <c r="F8" s="243">
        <v>0</v>
      </c>
      <c r="G8" s="53">
        <f>'DOE25'!J205+'DOE25'!J223+'DOE25'!J241</f>
        <v>0</v>
      </c>
      <c r="H8" s="53">
        <f>'DOE25'!K205+'DOE25'!K223+'DOE25'!K241</f>
        <v>5724.98</v>
      </c>
      <c r="I8" s="255"/>
    </row>
    <row r="9" spans="1:9" ht="14.25" x14ac:dyDescent="0.2">
      <c r="A9" s="32">
        <v>2310</v>
      </c>
      <c r="B9" s="184" t="s">
        <v>888</v>
      </c>
      <c r="C9" s="274">
        <f t="shared" si="0"/>
        <v>84399.99</v>
      </c>
      <c r="D9" s="243">
        <v>84399.99</v>
      </c>
      <c r="E9" s="242"/>
      <c r="F9" s="252"/>
      <c r="G9" s="252"/>
      <c r="H9" s="252"/>
      <c r="I9" s="255"/>
    </row>
    <row r="10" spans="1:9" ht="14.25" x14ac:dyDescent="0.2">
      <c r="A10" s="32">
        <v>2317</v>
      </c>
      <c r="B10" s="184" t="s">
        <v>889</v>
      </c>
      <c r="C10" s="274">
        <f t="shared" si="0"/>
        <v>12725</v>
      </c>
      <c r="D10" s="242"/>
      <c r="E10" s="243">
        <v>12725</v>
      </c>
      <c r="F10" s="252"/>
      <c r="G10" s="252"/>
      <c r="H10" s="252"/>
      <c r="I10" s="255"/>
    </row>
    <row r="11" spans="1:9" ht="14.25" x14ac:dyDescent="0.2">
      <c r="A11" s="32">
        <v>2321</v>
      </c>
      <c r="B11" s="184" t="s">
        <v>890</v>
      </c>
      <c r="C11" s="274">
        <f t="shared" si="0"/>
        <v>246208.39</v>
      </c>
      <c r="D11" s="243">
        <v>246208.39</v>
      </c>
      <c r="E11" s="242"/>
      <c r="F11" s="252"/>
      <c r="G11" s="252"/>
      <c r="H11" s="252"/>
      <c r="I11" s="255"/>
    </row>
    <row r="12" spans="1:9" x14ac:dyDescent="0.2">
      <c r="A12" s="32">
        <v>2400</v>
      </c>
      <c r="B12" t="s">
        <v>711</v>
      </c>
      <c r="C12" s="274">
        <f t="shared" si="0"/>
        <v>1504546.1400000001</v>
      </c>
      <c r="D12" s="20">
        <f>'DOE25'!L206+'DOE25'!L224+'DOE25'!L242-F12-G12-H12</f>
        <v>1492125.37</v>
      </c>
      <c r="E12" s="242"/>
      <c r="F12" s="243">
        <v>0</v>
      </c>
      <c r="G12" s="53">
        <f>'DOE25'!J206+'DOE25'!J224+'DOE25'!J242</f>
        <v>0</v>
      </c>
      <c r="H12" s="53">
        <f>'DOE25'!K206+'DOE25'!K224+'DOE25'!K242</f>
        <v>12420.77</v>
      </c>
      <c r="I12" s="255"/>
    </row>
    <row r="13" spans="1:9" x14ac:dyDescent="0.2">
      <c r="A13" s="32">
        <v>2500</v>
      </c>
      <c r="B13" t="s">
        <v>798</v>
      </c>
      <c r="C13" s="274">
        <f t="shared" si="0"/>
        <v>0</v>
      </c>
      <c r="D13" s="242"/>
      <c r="E13" s="20">
        <f>'DOE25'!L207+'DOE25'!L225+'DOE25'!L243-F13-G13-H13</f>
        <v>0</v>
      </c>
      <c r="F13" s="243">
        <v>0</v>
      </c>
      <c r="G13" s="53">
        <f>'DOE25'!J207+'DOE25'!J225+'DOE25'!J243</f>
        <v>0</v>
      </c>
      <c r="H13" s="53">
        <f>'DOE25'!K207+'DOE25'!K225+'DOE25'!K243</f>
        <v>0</v>
      </c>
      <c r="I13" s="255"/>
    </row>
    <row r="14" spans="1:9" x14ac:dyDescent="0.2">
      <c r="A14" s="32">
        <v>2600</v>
      </c>
      <c r="B14" t="s">
        <v>819</v>
      </c>
      <c r="C14" s="274">
        <f t="shared" si="0"/>
        <v>2493307.7999999998</v>
      </c>
      <c r="D14" s="20">
        <f>'DOE25'!L208+'DOE25'!L226+'DOE25'!L244-F14-G14-H14</f>
        <v>2490392.7999999998</v>
      </c>
      <c r="E14" s="242"/>
      <c r="F14" s="243">
        <v>0</v>
      </c>
      <c r="G14" s="53">
        <f>'DOE25'!J208+'DOE25'!J226+'DOE25'!J244</f>
        <v>2915</v>
      </c>
      <c r="H14" s="53">
        <f>'DOE25'!K208+'DOE25'!K226+'DOE25'!K244</f>
        <v>0</v>
      </c>
      <c r="I14" s="255"/>
    </row>
    <row r="15" spans="1:9" x14ac:dyDescent="0.2">
      <c r="A15" s="32">
        <v>2700</v>
      </c>
      <c r="B15" t="s">
        <v>799</v>
      </c>
      <c r="C15" s="274">
        <f t="shared" si="0"/>
        <v>1144205.7</v>
      </c>
      <c r="D15" s="20">
        <f>'DOE25'!L209+'DOE25'!L227+'DOE25'!L245-F15-G15-H15</f>
        <v>958049.39999999991</v>
      </c>
      <c r="E15" s="242"/>
      <c r="F15" s="243">
        <f>39160-25000</f>
        <v>14160</v>
      </c>
      <c r="G15" s="53">
        <f>'DOE25'!J209+'DOE25'!J227+'DOE25'!J245</f>
        <v>162249.37</v>
      </c>
      <c r="H15" s="53">
        <f>'DOE25'!K209+'DOE25'!K227+'DOE25'!K245</f>
        <v>9746.93</v>
      </c>
      <c r="I15" s="255"/>
    </row>
    <row r="16" spans="1:9" x14ac:dyDescent="0.2">
      <c r="A16" s="32">
        <v>2800</v>
      </c>
      <c r="B16" t="s">
        <v>800</v>
      </c>
      <c r="C16" s="274">
        <f t="shared" si="0"/>
        <v>0</v>
      </c>
      <c r="D16" s="242"/>
      <c r="E16" s="20">
        <f>'DOE25'!L210+'DOE25'!L228+'DOE25'!L246-F16-G16-H16</f>
        <v>0</v>
      </c>
      <c r="F16" s="243">
        <v>0</v>
      </c>
      <c r="G16" s="53">
        <f>'DOE25'!J210+'DOE25'!J228+'DOE25'!J246</f>
        <v>0</v>
      </c>
      <c r="H16" s="53">
        <f>'DOE25'!K210+'DOE25'!K228+'DOE25'!K246</f>
        <v>0</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84300</v>
      </c>
      <c r="D22" s="242"/>
      <c r="E22" s="242"/>
      <c r="F22" s="242"/>
      <c r="G22" s="53">
        <f>'DOE25'!L256+'DOE25'!L337</f>
        <v>84300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249400</v>
      </c>
      <c r="D25" s="242"/>
      <c r="E25" s="242"/>
      <c r="F25" s="254"/>
      <c r="G25" s="252"/>
      <c r="H25" s="252"/>
      <c r="I25" s="253">
        <f>'DOE25'!L261+'DOE25'!L262+'DOE25'!L342+'DOE25'!L343</f>
        <v>249400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406368.52999999997</v>
      </c>
      <c r="D29" s="282">
        <f>'DOE25'!L359+'DOE25'!L360+'DOE25'!L361-'DOE25'!I368-F29-G29-H29</f>
        <v>399431.95999999996</v>
      </c>
      <c r="E29" s="242"/>
      <c r="F29" s="243">
        <v>0</v>
      </c>
      <c r="G29" s="53">
        <f>'DOE25'!J359+'DOE25'!J360+'DOE25'!J361</f>
        <v>6936.57</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862518.96</v>
      </c>
      <c r="D31" s="20">
        <f>'DOE25'!L291+'DOE25'!L310+'DOE25'!L329+'DOE25'!L334+'DOE25'!L335+'DOE25'!L336-F31-G31-H31</f>
        <v>732868.46</v>
      </c>
      <c r="E31" s="242"/>
      <c r="F31" s="243">
        <v>0</v>
      </c>
      <c r="G31" s="53">
        <f>'DOE25'!J291+'DOE25'!J310+'DOE25'!J329+'DOE25'!J334+'DOE25'!J335+'DOE25'!J336</f>
        <v>114749.45</v>
      </c>
      <c r="H31" s="53">
        <f>'DOE25'!K291+'DOE25'!K310+'DOE25'!K329+'DOE25'!K334+'DOE25'!K335+'DOE25'!K336</f>
        <v>14901.050000000001</v>
      </c>
      <c r="I31" s="255"/>
    </row>
    <row r="32" spans="1:9" ht="12" thickBot="1" x14ac:dyDescent="0.25">
      <c r="C32" s="275"/>
      <c r="G32" s="250"/>
      <c r="H32" s="250"/>
      <c r="I32" s="257"/>
    </row>
    <row r="33" spans="1:9" ht="12" thickTop="1" x14ac:dyDescent="0.2">
      <c r="B33" t="s">
        <v>809</v>
      </c>
      <c r="D33" s="244">
        <f t="shared" ref="D33:I33" si="1">SUM(D5:D31)</f>
        <v>29548935.610000003</v>
      </c>
      <c r="E33" s="244">
        <f t="shared" si="1"/>
        <v>572059.09</v>
      </c>
      <c r="F33" s="244">
        <f t="shared" si="1"/>
        <v>90103.290000000008</v>
      </c>
      <c r="G33" s="244">
        <f t="shared" si="1"/>
        <v>869465.66999999981</v>
      </c>
      <c r="H33" s="244">
        <f t="shared" si="1"/>
        <v>80308</v>
      </c>
      <c r="I33" s="244">
        <f t="shared" si="1"/>
        <v>249400</v>
      </c>
    </row>
    <row r="35" spans="1:9" ht="12" thickBot="1" x14ac:dyDescent="0.25">
      <c r="B35" s="250" t="s">
        <v>831</v>
      </c>
      <c r="D35" s="251">
        <f>E33</f>
        <v>572059.09</v>
      </c>
      <c r="E35" s="247"/>
      <c r="F35" s="328" t="s">
        <v>1617</v>
      </c>
      <c r="G35" s="329"/>
      <c r="H35" s="329"/>
      <c r="I35" s="329"/>
    </row>
    <row r="36" spans="1:9" ht="12" thickTop="1" x14ac:dyDescent="0.2">
      <c r="B36" t="s">
        <v>810</v>
      </c>
      <c r="D36" s="20">
        <f>D33</f>
        <v>29548935.610000003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Bow</v>
      </c>
      <c r="B2" s="126">
        <f>'DOE25'!B2</f>
        <v>57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8978448.4499999993</v>
      </c>
      <c r="G4" s="299">
        <f>'DOE25'!L212+'DOE25'!L291</f>
        <v>8978448.4499999993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Bow Elementary School</v>
      </c>
      <c r="B6" s="300">
        <f>IFERROR(VLOOKUP(A6,'School Tables'!$C$3:$D$365,2,FALSE),"")</f>
        <v>20680</v>
      </c>
      <c r="C6" s="293" t="str">
        <f>IFERROR(INDEX('School Tables'!$B$3:$B$365,MATCH('School Level Expenditures'!B6,'School Tables'!$D$3:$D$365,0)),"")</f>
        <v>Bow</v>
      </c>
      <c r="D6" s="290">
        <f>'DOE25'!L212</f>
        <v>8494686.6099999994</v>
      </c>
      <c r="E6" s="290">
        <f>'DOE25'!L291</f>
        <v>483761.83999999991</v>
      </c>
      <c r="F6" s="303">
        <f t="shared" ref="F6:F20" si="0">D6+E6</f>
        <v>8978448.4499999993</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8494686.6099999994</v>
      </c>
      <c r="E21" s="338">
        <f>SUM(E5:E20)</f>
        <v>483761.83999999991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9355243.870000001</v>
      </c>
      <c r="G24" s="299">
        <f>'DOE25'!L230+'DOE25'!L310</f>
        <v>9355243.870000001</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Bow Memorial School</v>
      </c>
      <c r="B26" s="300">
        <f>IFERROR(VLOOKUP(A26,'School Tables'!$N$4:$O$75,2,FALSE),"")</f>
        <v>20675</v>
      </c>
      <c r="C26" s="293" t="str">
        <f>IFERROR(INDEX('School Tables'!$M$4:$M$75,MATCH('School Level Expenditures'!A26,'School Tables'!$N$4:$N$75,0)),"")</f>
        <v>Bow</v>
      </c>
      <c r="D26" s="290">
        <f>'DOE25'!L230</f>
        <v>8996371.9700000007</v>
      </c>
      <c r="E26" s="290">
        <f>'DOE25'!L310</f>
        <v>358871.9</v>
      </c>
      <c r="F26" s="303">
        <f t="shared" ref="F26:F32" si="1">D26+E26</f>
        <v>9355243.870000001</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8996371.9700000007</v>
      </c>
      <c r="E33" s="338">
        <f>SUM(E25:E32)</f>
        <v>358871.9</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12323186.809999997</v>
      </c>
      <c r="G36" s="299">
        <f>'DOE25'!L248+'DOE25'!L329</f>
        <v>12323186.809999997</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Bow High School</v>
      </c>
      <c r="B38" s="300">
        <f>IFERROR(VLOOKUP(A38,'School Tables'!$Y$4:$Z$100,2,FALSE),"")</f>
        <v>27375</v>
      </c>
      <c r="C38" s="293" t="str">
        <f>IFERROR(INDEX('School Tables'!$X$4:$X$100,MATCH('School Level Expenditures'!A38,'School Tables'!$Y$4:$Y$100,0)),"")</f>
        <v>Bow</v>
      </c>
      <c r="D38" s="290">
        <f>'DOE25'!L248</f>
        <v>12303900.589999996</v>
      </c>
      <c r="E38" s="290">
        <f>'DOE25'!L329</f>
        <v>19286.22</v>
      </c>
      <c r="F38" s="303">
        <f t="shared" si="2"/>
        <v>12323186.809999997</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12303900.589999996</v>
      </c>
      <c r="E43" s="339">
        <f>SUM(E37:E42)</f>
        <v>19286.22</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Bow</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3028303.9899999998</v>
      </c>
      <c r="D8" s="95">
        <f>'DOE25'!G9</f>
        <v>0</v>
      </c>
      <c r="E8" s="95">
        <f>'DOE25'!H9</f>
        <v>0</v>
      </c>
      <c r="F8" s="95">
        <f>'DOE25'!I9</f>
        <v>0</v>
      </c>
      <c r="G8" s="95">
        <f>'DOE25'!J9</f>
        <v>0</v>
      </c>
      <c r="H8" s="124">
        <f>SUM(C8:G8)</f>
        <v>3028303.9899999998</v>
      </c>
      <c r="I8" s="124"/>
    </row>
    <row r="9" spans="1:9" x14ac:dyDescent="0.2">
      <c r="A9" s="1" t="s">
        <v>140</v>
      </c>
      <c r="B9" s="6">
        <v>110</v>
      </c>
      <c r="C9" s="95">
        <f>'DOE25'!F10</f>
        <v>0</v>
      </c>
      <c r="D9" s="95">
        <f>'DOE25'!G10</f>
        <v>0</v>
      </c>
      <c r="E9" s="95">
        <f>'DOE25'!H10</f>
        <v>0</v>
      </c>
      <c r="F9" s="95">
        <f>'DOE25'!I10</f>
        <v>0</v>
      </c>
      <c r="G9" s="95">
        <f>'DOE25'!J10</f>
        <v>614595.01</v>
      </c>
      <c r="H9" s="124">
        <f t="shared" ref="H9:H18" si="0">SUM(C9:G9)</f>
        <v>614595.01</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-0.41</v>
      </c>
      <c r="D11" s="95">
        <f>'DOE25'!G12</f>
        <v>572872.48</v>
      </c>
      <c r="E11" s="95">
        <f>'DOE25'!H12</f>
        <v>0</v>
      </c>
      <c r="F11" s="95">
        <f>'DOE25'!I12</f>
        <v>0</v>
      </c>
      <c r="G11" s="95">
        <f>'DOE25'!J12</f>
        <v>0</v>
      </c>
      <c r="H11" s="124">
        <f t="shared" si="0"/>
        <v>572872.06999999995</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374518.67</v>
      </c>
      <c r="D13" s="95">
        <f>'DOE25'!G14</f>
        <v>73841.14</v>
      </c>
      <c r="E13" s="95">
        <f>'DOE25'!H14</f>
        <v>61456.63</v>
      </c>
      <c r="F13" s="95">
        <f>'DOE25'!I14</f>
        <v>0</v>
      </c>
      <c r="G13" s="95">
        <f>'DOE25'!J14</f>
        <v>0</v>
      </c>
      <c r="H13" s="124">
        <f t="shared" si="0"/>
        <v>509816.44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68596.25</v>
      </c>
      <c r="D16" s="95">
        <f>'DOE25'!G17</f>
        <v>0</v>
      </c>
      <c r="E16" s="95">
        <f>'DOE25'!H17</f>
        <v>0</v>
      </c>
      <c r="F16" s="95">
        <f>'DOE25'!I17</f>
        <v>0</v>
      </c>
      <c r="G16" s="95">
        <f>'DOE25'!J17</f>
        <v>0</v>
      </c>
      <c r="H16" s="124">
        <f t="shared" si="0"/>
        <v>68596.25</v>
      </c>
      <c r="I16" s="124"/>
    </row>
    <row r="17" spans="1:9" ht="12" thickBot="1" x14ac:dyDescent="0.25">
      <c r="A17" s="1" t="s">
        <v>148</v>
      </c>
      <c r="B17" s="6">
        <v>190</v>
      </c>
      <c r="C17" s="95">
        <f>'DOE25'!F18</f>
        <v>0</v>
      </c>
      <c r="D17" s="95">
        <f>'DOE25'!G18</f>
        <v>0</v>
      </c>
      <c r="E17" s="95">
        <f>'DOE25'!H18</f>
        <v>0.47</v>
      </c>
      <c r="F17" s="95">
        <f>'DOE25'!I18</f>
        <v>0</v>
      </c>
      <c r="G17" s="95">
        <f>'DOE25'!J18</f>
        <v>0</v>
      </c>
      <c r="H17" s="124">
        <f t="shared" si="0"/>
        <v>0.47</v>
      </c>
      <c r="I17" s="124"/>
    </row>
    <row r="18" spans="1:9" ht="12" thickTop="1" x14ac:dyDescent="0.2">
      <c r="A18" s="38" t="s">
        <v>149</v>
      </c>
      <c r="B18" s="39"/>
      <c r="C18" s="41">
        <f>SUM(C8:C17)</f>
        <v>3471418.4999999995</v>
      </c>
      <c r="D18" s="41">
        <f>SUM(D8:D17)</f>
        <v>646713.62</v>
      </c>
      <c r="E18" s="41">
        <f>SUM(E8:E17)</f>
        <v>61457.1</v>
      </c>
      <c r="F18" s="41">
        <f>SUM(F8:F17)</f>
        <v>0</v>
      </c>
      <c r="G18" s="41">
        <f>SUM(G8:G17)</f>
        <v>614595.01</v>
      </c>
      <c r="H18" s="41">
        <f t="shared" si="0"/>
        <v>4794184.2299999995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525921.39</v>
      </c>
      <c r="D21" s="95">
        <f>'DOE25'!G22</f>
        <v>0</v>
      </c>
      <c r="E21" s="95">
        <f>'DOE25'!H22</f>
        <v>46951.71</v>
      </c>
      <c r="F21" s="95">
        <f>'DOE25'!I22</f>
        <v>0</v>
      </c>
      <c r="G21" s="95">
        <f>'DOE25'!J22</f>
        <v>0</v>
      </c>
      <c r="H21" s="124">
        <f t="shared" ref="H21:H31" si="1">SUM(C21:G21)</f>
        <v>572873.1</v>
      </c>
      <c r="I21" s="124"/>
    </row>
    <row r="22" spans="1:9" x14ac:dyDescent="0.2">
      <c r="A22" s="1" t="s">
        <v>151</v>
      </c>
      <c r="B22" s="6">
        <v>410</v>
      </c>
      <c r="C22" s="95">
        <f>'DOE25'!F23</f>
        <v>0</v>
      </c>
      <c r="D22" s="95">
        <f>'DOE25'!G23</f>
        <v>2726</v>
      </c>
      <c r="E22" s="95">
        <f>'DOE25'!H23</f>
        <v>0</v>
      </c>
      <c r="F22" s="95">
        <f>'DOE25'!I23</f>
        <v>0</v>
      </c>
      <c r="G22" s="95">
        <f>'DOE25'!J23</f>
        <v>0</v>
      </c>
      <c r="H22" s="124">
        <f t="shared" si="1"/>
        <v>2726</v>
      </c>
      <c r="I22" s="124"/>
    </row>
    <row r="23" spans="1:9" x14ac:dyDescent="0.2">
      <c r="A23" s="1" t="s">
        <v>152</v>
      </c>
      <c r="B23" s="6">
        <v>420</v>
      </c>
      <c r="C23" s="95">
        <f>'DOE25'!F24</f>
        <v>1615478.85</v>
      </c>
      <c r="D23" s="95">
        <f>'DOE25'!G24</f>
        <v>46639.15</v>
      </c>
      <c r="E23" s="95">
        <f>'DOE25'!H24</f>
        <v>14505.39</v>
      </c>
      <c r="F23" s="95">
        <f>'DOE25'!I24</f>
        <v>0</v>
      </c>
      <c r="G23" s="95">
        <f>'DOE25'!J24</f>
        <v>0</v>
      </c>
      <c r="H23" s="124">
        <f t="shared" si="1"/>
        <v>1676623.39</v>
      </c>
      <c r="I23" s="124"/>
    </row>
    <row r="24" spans="1:9" x14ac:dyDescent="0.2">
      <c r="A24" s="1" t="s">
        <v>153</v>
      </c>
      <c r="B24" s="6">
        <v>430</v>
      </c>
      <c r="C24" s="95">
        <f>'DOE25'!F25</f>
        <v>225516.69</v>
      </c>
      <c r="D24" s="95">
        <f>'DOE25'!G25</f>
        <v>0</v>
      </c>
      <c r="E24" s="95">
        <f>'DOE25'!H25</f>
        <v>0</v>
      </c>
      <c r="F24" s="95">
        <f>'DOE25'!I25</f>
        <v>0</v>
      </c>
      <c r="G24" s="24" t="s">
        <v>288</v>
      </c>
      <c r="H24" s="124">
        <f t="shared" si="1"/>
        <v>225516.69</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38176.83</v>
      </c>
      <c r="E29" s="95">
        <f>'DOE25'!H30</f>
        <v>0</v>
      </c>
      <c r="F29" s="95">
        <f>'DOE25'!I30</f>
        <v>0</v>
      </c>
      <c r="G29" s="24" t="s">
        <v>288</v>
      </c>
      <c r="H29" s="124">
        <f t="shared" si="1"/>
        <v>38176.83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2366916.9300000002</v>
      </c>
      <c r="D31" s="41">
        <f>SUM(D21:D30)</f>
        <v>87541.98000000001</v>
      </c>
      <c r="E31" s="41">
        <f>SUM(E21:E30)</f>
        <v>61457.1</v>
      </c>
      <c r="F31" s="41">
        <f>SUM(F21:F30)</f>
        <v>0</v>
      </c>
      <c r="G31" s="41">
        <f>SUM(G21:G30)</f>
        <v>0</v>
      </c>
      <c r="H31" s="41">
        <f t="shared" si="1"/>
        <v>2515916.0100000002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68596.25</v>
      </c>
      <c r="D35" s="95">
        <f>'DOE25'!G36</f>
        <v>0</v>
      </c>
      <c r="E35" s="95">
        <f>'DOE25'!H36</f>
        <v>0</v>
      </c>
      <c r="F35" s="95">
        <f>'DOE25'!I36</f>
        <v>0</v>
      </c>
      <c r="G35" s="24" t="s">
        <v>288</v>
      </c>
      <c r="H35" s="124">
        <f t="shared" si="2"/>
        <v>68596.25</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559171.64</v>
      </c>
      <c r="E39" s="24" t="s">
        <v>288</v>
      </c>
      <c r="F39" s="24" t="s">
        <v>288</v>
      </c>
      <c r="G39" s="24" t="s">
        <v>288</v>
      </c>
      <c r="H39" s="124">
        <f t="shared" si="2"/>
        <v>559171.64</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614595.01</v>
      </c>
      <c r="H47" s="124">
        <f t="shared" si="2"/>
        <v>614595.01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1035905.32</v>
      </c>
      <c r="D49" s="24" t="s">
        <v>288</v>
      </c>
      <c r="E49" s="24" t="s">
        <v>288</v>
      </c>
      <c r="F49" s="24" t="s">
        <v>288</v>
      </c>
      <c r="G49" s="24" t="s">
        <v>288</v>
      </c>
      <c r="H49" s="124">
        <f t="shared" si="2"/>
        <v>1035905.32</v>
      </c>
      <c r="I49" s="124"/>
    </row>
    <row r="50" spans="1:9" ht="12.75" thickTop="1" thickBot="1" x14ac:dyDescent="0.25">
      <c r="A50" s="38" t="s">
        <v>884</v>
      </c>
      <c r="B50" s="48"/>
      <c r="C50" s="41">
        <f>SUM(C34:C49)</f>
        <v>1104501.5699999998</v>
      </c>
      <c r="D50" s="41">
        <f>SUM(D34:D49)</f>
        <v>559171.64</v>
      </c>
      <c r="E50" s="41">
        <f>SUM(E34:E49)</f>
        <v>0</v>
      </c>
      <c r="F50" s="41">
        <f>SUM(F34:F49)</f>
        <v>0</v>
      </c>
      <c r="G50" s="41">
        <f>SUM(G34:G49)</f>
        <v>614595.01</v>
      </c>
      <c r="H50" s="41">
        <f t="shared" si="2"/>
        <v>2278268.2199999997</v>
      </c>
      <c r="I50" s="124"/>
    </row>
    <row r="51" spans="1:9" ht="12" thickTop="1" x14ac:dyDescent="0.2">
      <c r="A51" s="38" t="s">
        <v>885</v>
      </c>
      <c r="B51" s="2"/>
      <c r="C51" s="41">
        <f>C50+C31</f>
        <v>3471418.5</v>
      </c>
      <c r="D51" s="41">
        <f>D50+D31</f>
        <v>646713.62</v>
      </c>
      <c r="E51" s="41">
        <f>E50+E31</f>
        <v>61457.1</v>
      </c>
      <c r="F51" s="41">
        <f>F50+F31</f>
        <v>0</v>
      </c>
      <c r="G51" s="41">
        <f>G50+G31</f>
        <v>614595.01</v>
      </c>
      <c r="H51" s="41">
        <f t="shared" si="2"/>
        <v>4794184.2300000004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17945156</v>
      </c>
      <c r="D56" s="95">
        <f>'DOE25'!G60</f>
        <v>0</v>
      </c>
      <c r="E56" s="95">
        <f>'DOE25'!H60</f>
        <v>0</v>
      </c>
      <c r="F56" s="95">
        <f>'DOE25'!I60</f>
        <v>0</v>
      </c>
      <c r="G56" s="95">
        <f>'DOE25'!J60</f>
        <v>0</v>
      </c>
      <c r="H56" s="124">
        <f t="shared" ref="H56:H63" si="3">SUM(C56:G56)</f>
        <v>17945156</v>
      </c>
      <c r="I56"/>
    </row>
    <row r="57" spans="1:9" x14ac:dyDescent="0.2">
      <c r="A57" s="1" t="s">
        <v>164</v>
      </c>
      <c r="B57" s="6" t="s">
        <v>165</v>
      </c>
      <c r="C57" s="95">
        <f>'DOE25'!F79</f>
        <v>3443618.98</v>
      </c>
      <c r="D57" s="24" t="s">
        <v>288</v>
      </c>
      <c r="E57" s="95">
        <f>'DOE25'!H79</f>
        <v>0</v>
      </c>
      <c r="F57" s="24" t="s">
        <v>288</v>
      </c>
      <c r="G57" s="24" t="s">
        <v>288</v>
      </c>
      <c r="H57" s="124">
        <f t="shared" si="3"/>
        <v>3443618.98</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8721.61</v>
      </c>
      <c r="D59" s="95">
        <f>'DOE25'!G96</f>
        <v>0</v>
      </c>
      <c r="E59" s="95">
        <f>'DOE25'!H96</f>
        <v>0</v>
      </c>
      <c r="F59" s="95">
        <f>'DOE25'!I96</f>
        <v>0</v>
      </c>
      <c r="G59" s="95">
        <f>'DOE25'!J96</f>
        <v>68273.66</v>
      </c>
      <c r="H59" s="124">
        <f t="shared" si="3"/>
        <v>76995.27</v>
      </c>
      <c r="I59"/>
    </row>
    <row r="60" spans="1:9" x14ac:dyDescent="0.2">
      <c r="A60" s="1" t="s">
        <v>170</v>
      </c>
      <c r="B60" s="118" t="s">
        <v>171</v>
      </c>
      <c r="C60" s="24" t="s">
        <v>288</v>
      </c>
      <c r="D60" s="95">
        <f>'DOE25'!G97</f>
        <v>210069.44999999998</v>
      </c>
      <c r="E60" s="24" t="s">
        <v>288</v>
      </c>
      <c r="F60" s="24" t="s">
        <v>288</v>
      </c>
      <c r="G60" s="24" t="s">
        <v>288</v>
      </c>
      <c r="H60" s="124">
        <f t="shared" si="3"/>
        <v>210069.44999999998</v>
      </c>
      <c r="I60"/>
    </row>
    <row r="61" spans="1:9" ht="12" thickBot="1" x14ac:dyDescent="0.25">
      <c r="A61" s="1" t="s">
        <v>172</v>
      </c>
      <c r="B61" s="118" t="s">
        <v>173</v>
      </c>
      <c r="C61" s="95">
        <f>SUM('DOE25'!F98:F110)</f>
        <v>564705.46</v>
      </c>
      <c r="D61" s="95">
        <f>SUM('DOE25'!G98:G110)</f>
        <v>12549.87</v>
      </c>
      <c r="E61" s="95">
        <f>SUM('DOE25'!H98:H110)</f>
        <v>0</v>
      </c>
      <c r="F61" s="95">
        <f>SUM('DOE25'!I98:I110)</f>
        <v>13453.35</v>
      </c>
      <c r="G61" s="95">
        <f>SUM('DOE25'!J98:J110)</f>
        <v>0</v>
      </c>
      <c r="H61" s="124">
        <f t="shared" si="3"/>
        <v>590708.67999999993</v>
      </c>
      <c r="I61"/>
    </row>
    <row r="62" spans="1:9" ht="12.75" thickTop="1" thickBot="1" x14ac:dyDescent="0.25">
      <c r="A62" s="29" t="s">
        <v>174</v>
      </c>
      <c r="B62" s="6"/>
      <c r="C62" s="130">
        <f>SUM(C57:C61)</f>
        <v>4017046.05</v>
      </c>
      <c r="D62" s="130">
        <f>SUM(D57:D61)</f>
        <v>222619.31999999998</v>
      </c>
      <c r="E62" s="130">
        <f>SUM(E57:E61)</f>
        <v>0</v>
      </c>
      <c r="F62" s="130">
        <f>SUM(F57:F61)</f>
        <v>13453.35</v>
      </c>
      <c r="G62" s="130">
        <f>SUM(G57:G61)</f>
        <v>68273.66</v>
      </c>
      <c r="H62" s="124">
        <f t="shared" si="3"/>
        <v>4321392.38</v>
      </c>
      <c r="I62"/>
    </row>
    <row r="63" spans="1:9" ht="12" thickTop="1" x14ac:dyDescent="0.2">
      <c r="A63" s="29" t="s">
        <v>175</v>
      </c>
      <c r="B63" s="6"/>
      <c r="C63" s="22">
        <f>C56+C62</f>
        <v>21962202.050000001</v>
      </c>
      <c r="D63" s="22">
        <f>D56+D62</f>
        <v>222619.31999999998</v>
      </c>
      <c r="E63" s="22">
        <f>E56+E62</f>
        <v>0</v>
      </c>
      <c r="F63" s="22">
        <f>F56+F62</f>
        <v>13453.35</v>
      </c>
      <c r="G63" s="22">
        <f>G56+G62</f>
        <v>68273.66</v>
      </c>
      <c r="H63" s="124">
        <f t="shared" si="3"/>
        <v>22266548.380000003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4236296.2699999996</v>
      </c>
      <c r="D66" s="24" t="s">
        <v>288</v>
      </c>
      <c r="E66" s="24" t="s">
        <v>288</v>
      </c>
      <c r="F66" s="24" t="s">
        <v>288</v>
      </c>
      <c r="G66" s="24" t="s">
        <v>288</v>
      </c>
      <c r="H66" s="124">
        <f t="shared" ref="H66:H81" si="4">SUM(C66:G66)</f>
        <v>4236296.2699999996</v>
      </c>
      <c r="I66"/>
    </row>
    <row r="67" spans="1:9" x14ac:dyDescent="0.2">
      <c r="A67" s="1" t="s">
        <v>770</v>
      </c>
      <c r="B67" s="6">
        <v>3112</v>
      </c>
      <c r="C67" s="95">
        <f>'DOE25'!F118</f>
        <v>2197686</v>
      </c>
      <c r="D67" s="24"/>
      <c r="E67" s="24"/>
      <c r="F67" s="24"/>
      <c r="G67" s="24"/>
      <c r="H67" s="124">
        <f t="shared" si="4"/>
        <v>2197686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6437972.6899999995</v>
      </c>
      <c r="D70" s="139">
        <f>D69</f>
        <v>0</v>
      </c>
      <c r="E70" s="139">
        <f>E69</f>
        <v>0</v>
      </c>
      <c r="F70" s="139">
        <f>F69</f>
        <v>0</v>
      </c>
      <c r="G70" s="139">
        <f>G69</f>
        <v>0</v>
      </c>
      <c r="H70" s="124">
        <f t="shared" si="4"/>
        <v>6437972.6899999995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67289.929999999993</v>
      </c>
      <c r="D72" s="24" t="s">
        <v>288</v>
      </c>
      <c r="E72" s="24" t="s">
        <v>288</v>
      </c>
      <c r="F72" s="95">
        <f>'DOE25'!I123</f>
        <v>0</v>
      </c>
      <c r="G72" s="24" t="s">
        <v>288</v>
      </c>
      <c r="H72" s="124">
        <f t="shared" si="4"/>
        <v>67289.929999999993</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512298.94</v>
      </c>
      <c r="D75" s="24" t="s">
        <v>288</v>
      </c>
      <c r="E75" s="24" t="s">
        <v>288</v>
      </c>
      <c r="F75" s="24" t="s">
        <v>288</v>
      </c>
      <c r="G75" s="24" t="s">
        <v>288</v>
      </c>
      <c r="H75" s="124">
        <f t="shared" si="4"/>
        <v>512298.94</v>
      </c>
      <c r="I75"/>
    </row>
    <row r="76" spans="1:9" x14ac:dyDescent="0.2">
      <c r="A76" s="1" t="s">
        <v>257</v>
      </c>
      <c r="B76" s="6" t="s">
        <v>179</v>
      </c>
      <c r="C76" s="95">
        <f>SUM('DOE25'!F127:F130)</f>
        <v>22484.400000000001</v>
      </c>
      <c r="D76" s="24" t="s">
        <v>288</v>
      </c>
      <c r="E76" s="95">
        <f>SUM('DOE25'!H127:H130)</f>
        <v>0</v>
      </c>
      <c r="F76" s="95">
        <f>SUM('DOE25'!I127:I130)</f>
        <v>0</v>
      </c>
      <c r="G76" s="24" t="s">
        <v>288</v>
      </c>
      <c r="H76" s="124">
        <f t="shared" si="4"/>
        <v>22484.400000000001</v>
      </c>
      <c r="I76"/>
    </row>
    <row r="77" spans="1:9" ht="12" thickBot="1" x14ac:dyDescent="0.25">
      <c r="A77" s="1" t="s">
        <v>258</v>
      </c>
      <c r="B77" s="6" t="s">
        <v>180</v>
      </c>
      <c r="C77" s="95">
        <f>SUM('DOE25'!F131:F135)</f>
        <v>0</v>
      </c>
      <c r="D77" s="95">
        <f>SUM('DOE25'!G131:G135)</f>
        <v>28706.74</v>
      </c>
      <c r="E77" s="95">
        <f>SUM('DOE25'!H131:H135)</f>
        <v>46387.49</v>
      </c>
      <c r="F77" s="95">
        <f>SUM('DOE25'!I131:I135)</f>
        <v>0</v>
      </c>
      <c r="G77" s="95">
        <f>SUM('DOE25'!J131:J135)</f>
        <v>0</v>
      </c>
      <c r="H77" s="124">
        <f t="shared" si="4"/>
        <v>75094.23</v>
      </c>
      <c r="I77"/>
    </row>
    <row r="78" spans="1:9" ht="12.75" thickTop="1" thickBot="1" x14ac:dyDescent="0.25">
      <c r="A78" s="29" t="s">
        <v>259</v>
      </c>
      <c r="B78" s="6"/>
      <c r="C78" s="130">
        <f>SUM(C72:C77)</f>
        <v>602073.27</v>
      </c>
      <c r="D78" s="130">
        <f>SUM(D72:D77)</f>
        <v>28706.74</v>
      </c>
      <c r="E78" s="130">
        <f>SUM(E72:E77)</f>
        <v>46387.49</v>
      </c>
      <c r="F78" s="130">
        <f>SUM(F72:F77)</f>
        <v>0</v>
      </c>
      <c r="G78" s="130">
        <f>SUM(G72:G77)</f>
        <v>0</v>
      </c>
      <c r="H78" s="124">
        <f t="shared" si="4"/>
        <v>677167.5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7040045.959999999</v>
      </c>
      <c r="D81" s="130">
        <f>SUM(D79:D80)+D78+D70</f>
        <v>28706.74</v>
      </c>
      <c r="E81" s="130">
        <f>SUM(E79:E80)+E78+E70</f>
        <v>46387.49</v>
      </c>
      <c r="F81" s="130">
        <f>SUM(F79:F80)+F78+F70</f>
        <v>0</v>
      </c>
      <c r="G81" s="130">
        <f>SUM(G79:G80)+G78+G70</f>
        <v>0</v>
      </c>
      <c r="H81" s="130">
        <f t="shared" si="4"/>
        <v>7115140.1899999995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209362.03</v>
      </c>
      <c r="D88" s="326">
        <f>SUM('DOE25'!G153:G162)</f>
        <v>912731.11</v>
      </c>
      <c r="E88" s="326">
        <f>SUM('DOE25'!H153:H162)</f>
        <v>816131.47</v>
      </c>
      <c r="F88" s="326">
        <f>SUM('DOE25'!I153:I162)</f>
        <v>0</v>
      </c>
      <c r="G88" s="24" t="s">
        <v>288</v>
      </c>
      <c r="H88" s="124">
        <f t="shared" si="5"/>
        <v>1938224.6099999999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209362.03</v>
      </c>
      <c r="D91" s="131">
        <f>SUM(D85:D90)</f>
        <v>912731.11</v>
      </c>
      <c r="E91" s="131">
        <f>SUM(E85:E90)</f>
        <v>816131.47</v>
      </c>
      <c r="F91" s="131">
        <f>SUM(F85:F90)</f>
        <v>0</v>
      </c>
      <c r="G91" s="24" t="s">
        <v>288</v>
      </c>
      <c r="H91" s="124">
        <f t="shared" si="5"/>
        <v>1938224.6099999999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90260</v>
      </c>
      <c r="H96" s="124">
        <f t="shared" si="5"/>
        <v>90260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104000</v>
      </c>
      <c r="D99" s="95">
        <f>'DOE25'!G186</f>
        <v>0</v>
      </c>
      <c r="E99" s="95">
        <f>'DOE25'!H186</f>
        <v>0</v>
      </c>
      <c r="F99" s="95">
        <f>'DOE25'!I186</f>
        <v>1541420</v>
      </c>
      <c r="G99" s="24" t="s">
        <v>288</v>
      </c>
      <c r="H99" s="124">
        <f t="shared" si="5"/>
        <v>1645420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104000</v>
      </c>
      <c r="D103" s="86">
        <f>SUM(D93:D102)</f>
        <v>0</v>
      </c>
      <c r="E103" s="86">
        <f>SUM(E93:E102)</f>
        <v>0</v>
      </c>
      <c r="F103" s="86">
        <f>SUM(F93:F102)</f>
        <v>1541420</v>
      </c>
      <c r="G103" s="86">
        <f>SUM(G93:G102)</f>
        <v>90260</v>
      </c>
      <c r="H103" s="86">
        <f t="shared" si="5"/>
        <v>1735680</v>
      </c>
    </row>
    <row r="104" spans="1:8" ht="12.75" thickTop="1" thickBot="1" x14ac:dyDescent="0.25">
      <c r="A104" s="33" t="s">
        <v>761</v>
      </c>
      <c r="C104" s="86">
        <f>C63+C81+C91+C103</f>
        <v>29315610.039999999</v>
      </c>
      <c r="D104" s="86">
        <f>D63+D81+D91+D103</f>
        <v>1164057.17</v>
      </c>
      <c r="E104" s="86">
        <f>E63+E81+E91+E103</f>
        <v>862518.96</v>
      </c>
      <c r="F104" s="86">
        <f>F63+F81+F91+F103</f>
        <v>1554873.35</v>
      </c>
      <c r="G104" s="86">
        <f>G63+G81+G103</f>
        <v>158533.66</v>
      </c>
      <c r="H104" s="86">
        <f t="shared" si="5"/>
        <v>33055593.180000003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12871417.739999998</v>
      </c>
      <c r="D109" s="24" t="s">
        <v>288</v>
      </c>
      <c r="E109" s="95">
        <f>('DOE25'!L277)+('DOE25'!L296)+('DOE25'!L315)</f>
        <v>608835.82999999996</v>
      </c>
      <c r="F109" s="24" t="s">
        <v>288</v>
      </c>
      <c r="G109" s="24" t="s">
        <v>288</v>
      </c>
      <c r="H109" s="124">
        <f t="shared" ref="H109:H115" si="6">SUM(C109:G109)</f>
        <v>13480253.569999998</v>
      </c>
    </row>
    <row r="110" spans="1:8" x14ac:dyDescent="0.2">
      <c r="A110" t="s">
        <v>198</v>
      </c>
      <c r="B110" s="32" t="s">
        <v>199</v>
      </c>
      <c r="C110" s="95">
        <f>('DOE25'!L199)+('DOE25'!L217)+('DOE25'!L235)</f>
        <v>5958984.0800000001</v>
      </c>
      <c r="D110" s="24" t="s">
        <v>288</v>
      </c>
      <c r="E110" s="95">
        <f>('DOE25'!L278)+('DOE25'!L297)+('DOE25'!L316)</f>
        <v>113799.25999999998</v>
      </c>
      <c r="F110" s="24" t="s">
        <v>288</v>
      </c>
      <c r="G110" s="24" t="s">
        <v>288</v>
      </c>
      <c r="H110" s="124">
        <f t="shared" si="6"/>
        <v>6072783.3399999999</v>
      </c>
    </row>
    <row r="111" spans="1:8" x14ac:dyDescent="0.2">
      <c r="A111" t="s">
        <v>200</v>
      </c>
      <c r="B111" s="32" t="s">
        <v>165</v>
      </c>
      <c r="C111" s="95">
        <f>('DOE25'!L200)+('DOE25'!L218)+('DOE25'!L236)</f>
        <v>217475.81</v>
      </c>
      <c r="D111" s="24" t="s">
        <v>288</v>
      </c>
      <c r="E111" s="95">
        <f>('DOE25'!L279)+('DOE25'!L298)+('DOE25'!L317)</f>
        <v>0</v>
      </c>
      <c r="F111" s="24" t="s">
        <v>288</v>
      </c>
      <c r="G111" s="24" t="s">
        <v>288</v>
      </c>
      <c r="H111" s="124">
        <f t="shared" si="6"/>
        <v>217475.81</v>
      </c>
    </row>
    <row r="112" spans="1:8" x14ac:dyDescent="0.2">
      <c r="A112" t="s">
        <v>201</v>
      </c>
      <c r="B112" s="32" t="s">
        <v>167</v>
      </c>
      <c r="C112" s="95">
        <f>('DOE25'!L201)+('DOE25'!L219)+('DOE25'!L237)</f>
        <v>811279.49</v>
      </c>
      <c r="D112" s="24" t="s">
        <v>288</v>
      </c>
      <c r="E112" s="95">
        <f>+('DOE25'!L280)+('DOE25'!L299)+('DOE25'!L318)</f>
        <v>1</v>
      </c>
      <c r="F112" s="24" t="s">
        <v>288</v>
      </c>
      <c r="G112" s="24" t="s">
        <v>288</v>
      </c>
      <c r="H112" s="124">
        <f t="shared" si="6"/>
        <v>811280.49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599</v>
      </c>
      <c r="F114" s="24" t="s">
        <v>288</v>
      </c>
      <c r="G114" s="24" t="s">
        <v>288</v>
      </c>
      <c r="H114" s="124">
        <f t="shared" si="6"/>
        <v>599</v>
      </c>
    </row>
    <row r="115" spans="1:8" ht="12.75" thickTop="1" thickBot="1" x14ac:dyDescent="0.25">
      <c r="A115" s="33" t="s">
        <v>205</v>
      </c>
      <c r="C115" s="86">
        <f>SUM(C109:C114)</f>
        <v>19859157.119999997</v>
      </c>
      <c r="D115" s="86">
        <f>SUM(D109:D114)</f>
        <v>0</v>
      </c>
      <c r="E115" s="86">
        <f>SUM(E109:E114)</f>
        <v>723235.09</v>
      </c>
      <c r="F115" s="86">
        <f>SUM(F109:F114)</f>
        <v>0</v>
      </c>
      <c r="G115" s="86">
        <f>SUM(G109:G114)</f>
        <v>0</v>
      </c>
      <c r="H115" s="86">
        <f t="shared" si="6"/>
        <v>20582392.209999997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2539284.17</v>
      </c>
      <c r="D118" s="24" t="s">
        <v>288</v>
      </c>
      <c r="E118" s="95">
        <f>+('DOE25'!L282)+('DOE25'!L301)+('DOE25'!L320)</f>
        <v>60429.819999999992</v>
      </c>
      <c r="F118" s="24" t="s">
        <v>288</v>
      </c>
      <c r="G118" s="24" t="s">
        <v>288</v>
      </c>
      <c r="H118" s="124">
        <f t="shared" ref="H118:H145" si="7">SUM(C118:G118)</f>
        <v>2599713.9899999998</v>
      </c>
    </row>
    <row r="119" spans="1:8" x14ac:dyDescent="0.2">
      <c r="A119" t="s">
        <v>208</v>
      </c>
      <c r="B119" s="32" t="s">
        <v>209</v>
      </c>
      <c r="C119" s="95">
        <f>('DOE25'!L204)+('DOE25'!L222)+('DOE25'!L240)</f>
        <v>1358790.79</v>
      </c>
      <c r="D119" s="24" t="s">
        <v>288</v>
      </c>
      <c r="E119" s="95">
        <f>+('DOE25'!L283)+('DOE25'!L302)+('DOE25'!L321)</f>
        <v>78854.05</v>
      </c>
      <c r="F119" s="24" t="s">
        <v>288</v>
      </c>
      <c r="G119" s="24" t="s">
        <v>288</v>
      </c>
      <c r="H119" s="124">
        <f t="shared" si="7"/>
        <v>1437644.84</v>
      </c>
    </row>
    <row r="120" spans="1:8" x14ac:dyDescent="0.2">
      <c r="A120" t="s">
        <v>210</v>
      </c>
      <c r="B120" s="32" t="s">
        <v>211</v>
      </c>
      <c r="C120" s="95">
        <f>('DOE25'!L205)+('DOE25'!L223)+('DOE25'!L241)</f>
        <v>895667.45</v>
      </c>
      <c r="D120" s="24" t="s">
        <v>288</v>
      </c>
      <c r="E120" s="95">
        <f>+('DOE25'!L284)+('DOE25'!L303)+('DOE25'!L322)</f>
        <v>0</v>
      </c>
      <c r="F120" s="24" t="s">
        <v>288</v>
      </c>
      <c r="G120" s="24" t="s">
        <v>288</v>
      </c>
      <c r="H120" s="124">
        <f t="shared" si="7"/>
        <v>895667.45</v>
      </c>
    </row>
    <row r="121" spans="1:8" x14ac:dyDescent="0.2">
      <c r="A121" t="s">
        <v>212</v>
      </c>
      <c r="B121" s="32" t="s">
        <v>213</v>
      </c>
      <c r="C121" s="95">
        <f>('DOE25'!L206)+('DOE25'!L224)+('DOE25'!L242)</f>
        <v>1504546.1400000001</v>
      </c>
      <c r="D121" s="24" t="s">
        <v>288</v>
      </c>
      <c r="E121" s="95">
        <f>+('DOE25'!L285)+('DOE25'!L304)+('DOE25'!L323)</f>
        <v>0</v>
      </c>
      <c r="F121" s="24" t="s">
        <v>288</v>
      </c>
      <c r="G121" s="24" t="s">
        <v>288</v>
      </c>
      <c r="H121" s="124">
        <f t="shared" si="7"/>
        <v>1504546.1400000001</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2493307.7999999998</v>
      </c>
      <c r="D123" s="24" t="s">
        <v>288</v>
      </c>
      <c r="E123" s="95">
        <f>+('DOE25'!L287)+('DOE25'!L306)+('DOE25'!L325)</f>
        <v>0</v>
      </c>
      <c r="F123" s="24" t="s">
        <v>288</v>
      </c>
      <c r="G123" s="24" t="s">
        <v>288</v>
      </c>
      <c r="H123" s="124">
        <f t="shared" si="7"/>
        <v>2493307.7999999998</v>
      </c>
    </row>
    <row r="124" spans="1:8" x14ac:dyDescent="0.2">
      <c r="A124" t="s">
        <v>218</v>
      </c>
      <c r="B124" s="32" t="s">
        <v>219</v>
      </c>
      <c r="C124" s="95">
        <f>('DOE25'!L209)+('DOE25'!L227)+('DOE25'!L245+'DOE25'!L255)</f>
        <v>1144205.7</v>
      </c>
      <c r="D124" s="24" t="s">
        <v>288</v>
      </c>
      <c r="E124" s="95">
        <f>+('DOE25'!L288)+('DOE25'!L307)+('DOE25'!L326)</f>
        <v>0</v>
      </c>
      <c r="F124" s="24" t="s">
        <v>288</v>
      </c>
      <c r="G124" s="24" t="s">
        <v>288</v>
      </c>
      <c r="H124" s="124">
        <f t="shared" si="7"/>
        <v>1144205.7</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749092.2</v>
      </c>
      <c r="E127" s="24" t="s">
        <v>288</v>
      </c>
      <c r="F127" s="24" t="s">
        <v>288</v>
      </c>
      <c r="G127" s="24" t="s">
        <v>288</v>
      </c>
      <c r="H127" s="124">
        <f t="shared" si="7"/>
        <v>749092.2</v>
      </c>
    </row>
    <row r="128" spans="1:8" ht="12.75" thickTop="1" thickBot="1" x14ac:dyDescent="0.25">
      <c r="A128" s="33" t="s">
        <v>226</v>
      </c>
      <c r="C128" s="86">
        <f>SUM(C118:C127)</f>
        <v>9935802.0500000007</v>
      </c>
      <c r="D128" s="86">
        <f>SUM(D118:D127)</f>
        <v>749092.2</v>
      </c>
      <c r="E128" s="86">
        <f>SUM(E118:E127)</f>
        <v>139283.87</v>
      </c>
      <c r="F128" s="86">
        <f>SUM(F118:F127)</f>
        <v>0</v>
      </c>
      <c r="G128" s="86">
        <f>SUM(G118:G127)</f>
        <v>0</v>
      </c>
      <c r="H128" s="86">
        <f t="shared" si="7"/>
        <v>10824178.119999999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84300</v>
      </c>
      <c r="D130" s="24" t="s">
        <v>288</v>
      </c>
      <c r="E130" s="129">
        <f>'DOE25'!L337</f>
        <v>0</v>
      </c>
      <c r="F130" s="129">
        <f>SUM('DOE25'!L375:'DOE25'!L381)</f>
        <v>1554873.35</v>
      </c>
      <c r="G130" s="24" t="s">
        <v>288</v>
      </c>
      <c r="H130" s="124">
        <f t="shared" si="7"/>
        <v>1639173.35</v>
      </c>
    </row>
    <row r="131" spans="1:8" x14ac:dyDescent="0.2">
      <c r="A131" t="s">
        <v>229</v>
      </c>
      <c r="B131" s="32">
        <v>5110</v>
      </c>
      <c r="C131" s="95">
        <f>'DOE25'!L261</f>
        <v>200000</v>
      </c>
      <c r="D131" s="24" t="s">
        <v>288</v>
      </c>
      <c r="E131" s="129">
        <f>'DOE25'!L342</f>
        <v>0</v>
      </c>
      <c r="F131" s="24" t="s">
        <v>288</v>
      </c>
      <c r="G131" s="24" t="s">
        <v>288</v>
      </c>
      <c r="H131" s="124">
        <f t="shared" si="7"/>
        <v>200000</v>
      </c>
    </row>
    <row r="132" spans="1:8" x14ac:dyDescent="0.2">
      <c r="A132" t="s">
        <v>230</v>
      </c>
      <c r="B132" s="32">
        <v>5120</v>
      </c>
      <c r="C132" s="95">
        <f>'DOE25'!L262</f>
        <v>49400</v>
      </c>
      <c r="D132" s="24" t="s">
        <v>288</v>
      </c>
      <c r="E132" s="129">
        <f>'DOE25'!L343</f>
        <v>0</v>
      </c>
      <c r="F132" s="24" t="s">
        <v>288</v>
      </c>
      <c r="G132" s="24" t="s">
        <v>288</v>
      </c>
      <c r="H132" s="124">
        <f t="shared" si="7"/>
        <v>49400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1645420</v>
      </c>
      <c r="H134" s="124">
        <f t="shared" si="7"/>
        <v>1645420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158533.66</v>
      </c>
      <c r="D138" s="24" t="s">
        <v>288</v>
      </c>
      <c r="E138" s="24" t="s">
        <v>288</v>
      </c>
      <c r="F138" s="24" t="s">
        <v>288</v>
      </c>
      <c r="G138" s="24" t="s">
        <v>288</v>
      </c>
      <c r="H138" s="124">
        <f t="shared" si="7"/>
        <v>158533.66</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-68273.66</v>
      </c>
      <c r="D141" s="24" t="s">
        <v>288</v>
      </c>
      <c r="E141" s="24" t="s">
        <v>288</v>
      </c>
      <c r="F141" s="24" t="s">
        <v>288</v>
      </c>
      <c r="G141" s="24" t="s">
        <v>288</v>
      </c>
      <c r="H141" s="124">
        <f t="shared" si="7"/>
        <v>-68273.66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423960</v>
      </c>
      <c r="D144" s="141">
        <f>SUM(D130:D143)</f>
        <v>0</v>
      </c>
      <c r="E144" s="141">
        <f>SUM(E130:E143)</f>
        <v>0</v>
      </c>
      <c r="F144" s="141">
        <f>SUM(F130:F143)</f>
        <v>1554873.35</v>
      </c>
      <c r="G144" s="141">
        <f>SUM(G130:G143)</f>
        <v>1645420</v>
      </c>
      <c r="H144" s="141">
        <f t="shared" si="7"/>
        <v>3624253.35</v>
      </c>
    </row>
    <row r="145" spans="1:9" ht="12.75" thickTop="1" thickBot="1" x14ac:dyDescent="0.25">
      <c r="A145" s="33" t="s">
        <v>244</v>
      </c>
      <c r="C145" s="86">
        <f>(C115+C128+C144)</f>
        <v>30218919.169999998</v>
      </c>
      <c r="D145" s="86">
        <f>(D115+D128+D144)</f>
        <v>749092.2</v>
      </c>
      <c r="E145" s="86">
        <f>(E115+E128+E144)</f>
        <v>862518.96</v>
      </c>
      <c r="F145" s="86">
        <f>(F115+F128+F144)</f>
        <v>1554873.35</v>
      </c>
      <c r="G145" s="86">
        <f>(G115+G128+G144)</f>
        <v>1645420</v>
      </c>
      <c r="H145" s="86">
        <f t="shared" si="7"/>
        <v>35030823.68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7/06</v>
      </c>
      <c r="C152" s="152">
        <f>'DOE25'!G492</f>
        <v>0</v>
      </c>
      <c r="D152" s="152">
        <f>'DOE25'!H492</f>
        <v>0</v>
      </c>
      <c r="E152" s="152">
        <f>'DOE25'!I492</f>
        <v>0</v>
      </c>
      <c r="F152" s="152">
        <f>'DOE25'!J492</f>
        <v>0</v>
      </c>
      <c r="G152" s="24" t="s">
        <v>288</v>
      </c>
    </row>
    <row r="153" spans="1:9" x14ac:dyDescent="0.2">
      <c r="A153" s="136" t="s">
        <v>29</v>
      </c>
      <c r="B153" s="152" t="str">
        <f>'DOE25'!F493</f>
        <v>7/26</v>
      </c>
      <c r="C153" s="152">
        <f>'DOE25'!G493</f>
        <v>0</v>
      </c>
      <c r="D153" s="152">
        <f>'DOE25'!H493</f>
        <v>0</v>
      </c>
      <c r="E153" s="152">
        <f>'DOE25'!I493</f>
        <v>0</v>
      </c>
      <c r="F153" s="152">
        <f>'DOE25'!J493</f>
        <v>0</v>
      </c>
      <c r="G153" s="24" t="s">
        <v>288</v>
      </c>
    </row>
    <row r="154" spans="1:9" x14ac:dyDescent="0.2">
      <c r="A154" s="136" t="s">
        <v>30</v>
      </c>
      <c r="B154" s="137">
        <f>'DOE25'!F494</f>
        <v>4027000</v>
      </c>
      <c r="C154" s="137">
        <f>'DOE25'!G494</f>
        <v>0</v>
      </c>
      <c r="D154" s="137">
        <f>'DOE25'!H494</f>
        <v>0</v>
      </c>
      <c r="E154" s="137">
        <f>'DOE25'!I494</f>
        <v>0</v>
      </c>
      <c r="F154" s="137">
        <f>'DOE25'!J494</f>
        <v>0</v>
      </c>
      <c r="G154" s="24" t="s">
        <v>288</v>
      </c>
    </row>
    <row r="155" spans="1:9" x14ac:dyDescent="0.2">
      <c r="A155" s="136" t="s">
        <v>31</v>
      </c>
      <c r="B155" s="137">
        <f>'DOE25'!F495</f>
        <v>4.4000000000000004</v>
      </c>
      <c r="C155" s="137">
        <f>'DOE25'!G495</f>
        <v>0</v>
      </c>
      <c r="D155" s="137">
        <f>'DOE25'!H495</f>
        <v>0</v>
      </c>
      <c r="E155" s="137">
        <f>'DOE25'!I495</f>
        <v>0</v>
      </c>
      <c r="F155" s="137">
        <f>'DOE25'!J495</f>
        <v>0</v>
      </c>
      <c r="G155" s="24" t="s">
        <v>288</v>
      </c>
    </row>
    <row r="156" spans="1:9" x14ac:dyDescent="0.2">
      <c r="A156" s="22" t="s">
        <v>32</v>
      </c>
      <c r="B156" s="137">
        <f>'DOE25'!F496</f>
        <v>1200000</v>
      </c>
      <c r="C156" s="137">
        <f>'DOE25'!G496</f>
        <v>0</v>
      </c>
      <c r="D156" s="137">
        <f>'DOE25'!H496</f>
        <v>0</v>
      </c>
      <c r="E156" s="137">
        <f>'DOE25'!I496</f>
        <v>0</v>
      </c>
      <c r="F156" s="137">
        <f>'DOE25'!J496</f>
        <v>0</v>
      </c>
      <c r="G156" s="138">
        <f>SUM(B156:F156)</f>
        <v>1200000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200000</v>
      </c>
      <c r="C158" s="137">
        <f>'DOE25'!G498</f>
        <v>0</v>
      </c>
      <c r="D158" s="137">
        <f>'DOE25'!H498</f>
        <v>0</v>
      </c>
      <c r="E158" s="137">
        <f>'DOE25'!I498</f>
        <v>0</v>
      </c>
      <c r="F158" s="137">
        <f>'DOE25'!J498</f>
        <v>0</v>
      </c>
      <c r="G158" s="138">
        <f t="shared" si="8"/>
        <v>200000</v>
      </c>
    </row>
    <row r="159" spans="1:9" x14ac:dyDescent="0.2">
      <c r="A159" s="22" t="s">
        <v>35</v>
      </c>
      <c r="B159" s="137">
        <f>'DOE25'!F499</f>
        <v>1000000</v>
      </c>
      <c r="C159" s="137">
        <f>'DOE25'!G499</f>
        <v>0</v>
      </c>
      <c r="D159" s="137">
        <f>'DOE25'!H499</f>
        <v>0</v>
      </c>
      <c r="E159" s="137">
        <f>'DOE25'!I499</f>
        <v>0</v>
      </c>
      <c r="F159" s="137">
        <f>'DOE25'!J499</f>
        <v>0</v>
      </c>
      <c r="G159" s="138">
        <f t="shared" si="8"/>
        <v>1000000</v>
      </c>
    </row>
    <row r="160" spans="1:9" x14ac:dyDescent="0.2">
      <c r="A160" s="22" t="s">
        <v>36</v>
      </c>
      <c r="B160" s="137">
        <f>'DOE25'!F500</f>
        <v>424161</v>
      </c>
      <c r="C160" s="137">
        <f>'DOE25'!G500</f>
        <v>0</v>
      </c>
      <c r="D160" s="137">
        <f>'DOE25'!H500</f>
        <v>0</v>
      </c>
      <c r="E160" s="137">
        <f>'DOE25'!I500</f>
        <v>0</v>
      </c>
      <c r="F160" s="137">
        <f>'DOE25'!J500</f>
        <v>0</v>
      </c>
      <c r="G160" s="138">
        <f t="shared" si="8"/>
        <v>424161</v>
      </c>
    </row>
    <row r="161" spans="1:7" x14ac:dyDescent="0.2">
      <c r="A161" s="22" t="s">
        <v>37</v>
      </c>
      <c r="B161" s="137">
        <f>'DOE25'!F501</f>
        <v>1424161</v>
      </c>
      <c r="C161" s="137">
        <f>'DOE25'!G501</f>
        <v>0</v>
      </c>
      <c r="D161" s="137">
        <f>'DOE25'!H501</f>
        <v>0</v>
      </c>
      <c r="E161" s="137">
        <f>'DOE25'!I501</f>
        <v>0</v>
      </c>
      <c r="F161" s="137">
        <f>'DOE25'!J501</f>
        <v>0</v>
      </c>
      <c r="G161" s="138">
        <f t="shared" si="8"/>
        <v>1424161</v>
      </c>
    </row>
    <row r="162" spans="1:7" x14ac:dyDescent="0.2">
      <c r="A162" s="22" t="s">
        <v>38</v>
      </c>
      <c r="B162" s="137">
        <f>'DOE25'!F502</f>
        <v>200000</v>
      </c>
      <c r="C162" s="137">
        <f>'DOE25'!G502</f>
        <v>0</v>
      </c>
      <c r="D162" s="137">
        <f>'DOE25'!H502</f>
        <v>0</v>
      </c>
      <c r="E162" s="137">
        <f>'DOE25'!I502</f>
        <v>0</v>
      </c>
      <c r="F162" s="137">
        <f>'DOE25'!J502</f>
        <v>0</v>
      </c>
      <c r="G162" s="138">
        <f t="shared" si="8"/>
        <v>200000</v>
      </c>
    </row>
    <row r="163" spans="1:7" x14ac:dyDescent="0.2">
      <c r="A163" s="22" t="s">
        <v>39</v>
      </c>
      <c r="B163" s="137">
        <f>'DOE25'!F503</f>
        <v>40500</v>
      </c>
      <c r="C163" s="137">
        <f>'DOE25'!G503</f>
        <v>0</v>
      </c>
      <c r="D163" s="137">
        <f>'DOE25'!H503</f>
        <v>0</v>
      </c>
      <c r="E163" s="137">
        <f>'DOE25'!I503</f>
        <v>0</v>
      </c>
      <c r="F163" s="137">
        <f>'DOE25'!J503</f>
        <v>0</v>
      </c>
      <c r="G163" s="138">
        <f t="shared" si="8"/>
        <v>40500</v>
      </c>
    </row>
    <row r="164" spans="1:7" x14ac:dyDescent="0.2">
      <c r="A164" s="22" t="s">
        <v>246</v>
      </c>
      <c r="B164" s="137">
        <f>'DOE25'!F504</f>
        <v>240500</v>
      </c>
      <c r="C164" s="137">
        <f>'DOE25'!G504</f>
        <v>0</v>
      </c>
      <c r="D164" s="137">
        <f>'DOE25'!H504</f>
        <v>0</v>
      </c>
      <c r="E164" s="137">
        <f>'DOE25'!I504</f>
        <v>0</v>
      </c>
      <c r="F164" s="137">
        <f>'DOE25'!J504</f>
        <v>0</v>
      </c>
      <c r="G164" s="138">
        <f t="shared" si="8"/>
        <v>240500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Bow</v>
      </c>
    </row>
    <row r="3" spans="1:4" x14ac:dyDescent="0.2">
      <c r="B3" s="187" t="s">
        <v>1799</v>
      </c>
    </row>
    <row r="4" spans="1:4" x14ac:dyDescent="0.2">
      <c r="B4" t="s">
        <v>61</v>
      </c>
      <c r="C4" s="178">
        <f>IF('DOE25'!F666+'DOE25'!F671=0,0,ROUND('DOE25'!F673,0))</f>
        <v>16263</v>
      </c>
    </row>
    <row r="5" spans="1:4" x14ac:dyDescent="0.2">
      <c r="B5" t="s">
        <v>700</v>
      </c>
      <c r="C5" s="178">
        <f>IF('DOE25'!G666+'DOE25'!G671=0,0,ROUND('DOE25'!G673,0))</f>
        <v>15792</v>
      </c>
    </row>
    <row r="6" spans="1:4" x14ac:dyDescent="0.2">
      <c r="B6" t="s">
        <v>62</v>
      </c>
      <c r="C6" s="178">
        <f>IF('DOE25'!H666+'DOE25'!H671=0,0,ROUND('DOE25'!H673,0))</f>
        <v>18828</v>
      </c>
    </row>
    <row r="7" spans="1:4" x14ac:dyDescent="0.2">
      <c r="B7" t="s">
        <v>701</v>
      </c>
      <c r="C7" s="178">
        <f>IF('DOE25'!I666+'DOE25'!I671=0,0,ROUND('DOE25'!I673,0))</f>
        <v>17027</v>
      </c>
    </row>
    <row r="9" spans="1:4" x14ac:dyDescent="0.2">
      <c r="A9" s="186" t="s">
        <v>94</v>
      </c>
      <c r="B9" s="187" t="s">
        <v>1800</v>
      </c>
      <c r="C9" s="180" t="s">
        <v>720</v>
      </c>
      <c r="D9" s="180" t="s">
        <v>721</v>
      </c>
    </row>
    <row r="10" spans="1:4" x14ac:dyDescent="0.2">
      <c r="A10">
        <v>1100</v>
      </c>
      <c r="B10" t="s">
        <v>702</v>
      </c>
      <c r="C10" s="178">
        <f>ROUND('DOE25'!L198+'DOE25'!L216+'DOE25'!L234+'DOE25'!L277+'DOE25'!L296+'DOE25'!L315,0)</f>
        <v>13480254</v>
      </c>
      <c r="D10" s="181">
        <f>ROUND((C10/$C$28)*100,1)</f>
        <v>43.2</v>
      </c>
    </row>
    <row r="11" spans="1:4" x14ac:dyDescent="0.2">
      <c r="A11">
        <v>1200</v>
      </c>
      <c r="B11" t="s">
        <v>703</v>
      </c>
      <c r="C11" s="178">
        <f>ROUND('DOE25'!L199+'DOE25'!L217+'DOE25'!L235+'DOE25'!L278+'DOE25'!L297+'DOE25'!L316,0)</f>
        <v>6072783</v>
      </c>
      <c r="D11" s="181">
        <f>ROUND((C11/$C$28)*100,1)</f>
        <v>19.399999999999999</v>
      </c>
    </row>
    <row r="12" spans="1:4" x14ac:dyDescent="0.2">
      <c r="A12">
        <v>1300</v>
      </c>
      <c r="B12" t="s">
        <v>704</v>
      </c>
      <c r="C12" s="178">
        <f>ROUND('DOE25'!L200+'DOE25'!L218+'DOE25'!L236+'DOE25'!L279+'DOE25'!L298+'DOE25'!L317,0)</f>
        <v>217476</v>
      </c>
      <c r="D12" s="181">
        <f>ROUND((C12/$C$28)*100,1)</f>
        <v>0.7</v>
      </c>
    </row>
    <row r="13" spans="1:4" x14ac:dyDescent="0.2">
      <c r="A13">
        <v>1400</v>
      </c>
      <c r="B13" t="s">
        <v>705</v>
      </c>
      <c r="C13" s="178">
        <f>ROUND('DOE25'!L201+'DOE25'!L219+'DOE25'!L237+'DOE25'!L280+'DOE25'!L299+'DOE25'!L318,0)</f>
        <v>811280</v>
      </c>
      <c r="D13" s="181">
        <f>ROUND((C13/$C$28)*100,1)</f>
        <v>2.6</v>
      </c>
    </row>
    <row r="14" spans="1:4" x14ac:dyDescent="0.2">
      <c r="D14" s="181"/>
    </row>
    <row r="15" spans="1:4" x14ac:dyDescent="0.2">
      <c r="A15">
        <v>2100</v>
      </c>
      <c r="B15" t="s">
        <v>706</v>
      </c>
      <c r="C15" s="178">
        <f>ROUND('DOE25'!L203+'DOE25'!L221+'DOE25'!L239+'DOE25'!L282+'DOE25'!L301+'DOE25'!L320,0)</f>
        <v>2599714</v>
      </c>
      <c r="D15" s="181">
        <f t="shared" ref="D15:D27" si="0">ROUND((C15/$C$28)*100,1)</f>
        <v>8.3000000000000007</v>
      </c>
    </row>
    <row r="16" spans="1:4" x14ac:dyDescent="0.2">
      <c r="A16">
        <v>2200</v>
      </c>
      <c r="B16" t="s">
        <v>707</v>
      </c>
      <c r="C16" s="178">
        <f>ROUND('DOE25'!L204+'DOE25'!L222+'DOE25'!L240+'DOE25'!L283+'DOE25'!L302+'DOE25'!L321,0)</f>
        <v>1437645</v>
      </c>
      <c r="D16" s="181">
        <f t="shared" si="0"/>
        <v>4.5999999999999996</v>
      </c>
    </row>
    <row r="17" spans="1:4" x14ac:dyDescent="0.2">
      <c r="A17" s="182" t="s">
        <v>723</v>
      </c>
      <c r="B17" t="s">
        <v>738</v>
      </c>
      <c r="C17" s="178">
        <f>ROUND('DOE25'!L205+'DOE25'!L210+'DOE25'!L223+'DOE25'!L228+'DOE25'!L241+'DOE25'!L246+'DOE25'!L284+'DOE25'!L289+'DOE25'!L303+'DOE25'!L308+'DOE25'!L322+'DOE25'!L327,0)</f>
        <v>895667</v>
      </c>
      <c r="D17" s="181">
        <f t="shared" si="0"/>
        <v>2.9</v>
      </c>
    </row>
    <row r="18" spans="1:4" x14ac:dyDescent="0.2">
      <c r="A18">
        <v>2400</v>
      </c>
      <c r="B18" t="s">
        <v>711</v>
      </c>
      <c r="C18" s="178">
        <f>ROUND('DOE25'!L206+'DOE25'!L224+'DOE25'!L242+'DOE25'!L285+'DOE25'!L304+'DOE25'!L323,0)</f>
        <v>1504546</v>
      </c>
      <c r="D18" s="181">
        <f t="shared" si="0"/>
        <v>4.8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2493308</v>
      </c>
      <c r="D20" s="181">
        <f t="shared" si="0"/>
        <v>8</v>
      </c>
    </row>
    <row r="21" spans="1:4" x14ac:dyDescent="0.2">
      <c r="A21">
        <v>2700</v>
      </c>
      <c r="B21" t="s">
        <v>710</v>
      </c>
      <c r="C21" s="178">
        <f>ROUND('DOE25'!L209+'DOE25'!L227+'DOE25'!L245+'DOE25'!L288+'DOE25'!L307+'DOE25'!L326,0)</f>
        <v>1144206</v>
      </c>
      <c r="D21" s="181">
        <f t="shared" si="0"/>
        <v>3.7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599</v>
      </c>
      <c r="D24" s="181">
        <f t="shared" si="0"/>
        <v>0</v>
      </c>
    </row>
    <row r="25" spans="1:4" x14ac:dyDescent="0.2">
      <c r="A25">
        <v>5120</v>
      </c>
      <c r="B25" t="s">
        <v>716</v>
      </c>
      <c r="C25" s="178">
        <f>ROUND('DOE25'!L262+'DOE25'!L343,0)</f>
        <v>49400</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526472.68000000005</v>
      </c>
      <c r="D27" s="181">
        <f t="shared" si="0"/>
        <v>1.7</v>
      </c>
    </row>
    <row r="28" spans="1:4" x14ac:dyDescent="0.2">
      <c r="B28" s="186" t="s">
        <v>719</v>
      </c>
      <c r="C28" s="179">
        <f>SUM(C10:C27)</f>
        <v>31233350.68</v>
      </c>
      <c r="D28" s="183">
        <f>ROUND(SUM(D10:D27),0)</f>
        <v>100</v>
      </c>
    </row>
    <row r="29" spans="1:4" x14ac:dyDescent="0.2">
      <c r="A29">
        <v>4000</v>
      </c>
      <c r="B29" t="s">
        <v>724</v>
      </c>
      <c r="C29" s="178">
        <f>ROUND('DOE25'!L256+'DOE25'!L337+'DOE25'!L375+'DOE25'!L376+'DOE25'!L377+'DOE25'!L378+'DOE25'!L379+'DOE25'!L380+'DOE25'!L381,0)</f>
        <v>1639173</v>
      </c>
    </row>
    <row r="30" spans="1:4" x14ac:dyDescent="0.2">
      <c r="B30" s="186" t="s">
        <v>725</v>
      </c>
      <c r="C30" s="179">
        <f>SUM(C28:C29)</f>
        <v>32872523.68</v>
      </c>
    </row>
    <row r="31" spans="1:4" x14ac:dyDescent="0.2">
      <c r="B31" s="33"/>
      <c r="C31" s="179"/>
    </row>
    <row r="32" spans="1:4" x14ac:dyDescent="0.2">
      <c r="A32">
        <v>5100</v>
      </c>
      <c r="B32" s="33" t="s">
        <v>726</v>
      </c>
      <c r="C32" s="179">
        <f>ROUND('DOE25'!L261+'DOE25'!L342,0)</f>
        <v>200000</v>
      </c>
    </row>
    <row r="34" spans="1:4" x14ac:dyDescent="0.2">
      <c r="A34" s="186" t="s">
        <v>94</v>
      </c>
      <c r="B34" s="187" t="s">
        <v>1801</v>
      </c>
      <c r="C34" s="180" t="s">
        <v>720</v>
      </c>
      <c r="D34" s="180" t="s">
        <v>721</v>
      </c>
    </row>
    <row r="35" spans="1:4" x14ac:dyDescent="0.2">
      <c r="A35">
        <v>1100</v>
      </c>
      <c r="B35" s="184" t="s">
        <v>727</v>
      </c>
      <c r="C35" s="178">
        <f>ROUND('DOE25'!F60+'DOE25'!G60+'DOE25'!H60+'DOE25'!I60+'DOE25'!J60,0)</f>
        <v>17945156</v>
      </c>
      <c r="D35" s="181">
        <f t="shared" ref="D35:D40" si="1">ROUND((C35/$C$41)*100,1)</f>
        <v>57.7</v>
      </c>
    </row>
    <row r="36" spans="1:4" x14ac:dyDescent="0.2">
      <c r="B36" s="184" t="s">
        <v>739</v>
      </c>
      <c r="C36" s="178">
        <f>SUM('DOE25'!F112:J112)-SUM('DOE25'!G97:G110)+('DOE25'!F175+'DOE25'!F176+'DOE25'!I175+'DOE25'!I176)-C35</f>
        <v>4098773.0600000024</v>
      </c>
      <c r="D36" s="181">
        <f t="shared" si="1"/>
        <v>13.2</v>
      </c>
    </row>
    <row r="37" spans="1:4" x14ac:dyDescent="0.2">
      <c r="A37" s="182" t="s">
        <v>835</v>
      </c>
      <c r="B37" s="184" t="s">
        <v>728</v>
      </c>
      <c r="C37" s="178">
        <f>ROUND('DOE25'!F117+'DOE25'!F118,0)</f>
        <v>6433982</v>
      </c>
      <c r="D37" s="181">
        <f t="shared" si="1"/>
        <v>20.7</v>
      </c>
    </row>
    <row r="38" spans="1:4" x14ac:dyDescent="0.2">
      <c r="A38" s="182" t="s">
        <v>734</v>
      </c>
      <c r="B38" s="184" t="s">
        <v>729</v>
      </c>
      <c r="C38" s="178">
        <f>ROUND(SUM('DOE25'!F140:J140)-SUM('DOE25'!F117:F119),0)</f>
        <v>681158</v>
      </c>
      <c r="D38" s="181">
        <f t="shared" si="1"/>
        <v>2.2000000000000002</v>
      </c>
    </row>
    <row r="39" spans="1:4" x14ac:dyDescent="0.2">
      <c r="A39">
        <v>4000</v>
      </c>
      <c r="B39" s="184" t="s">
        <v>730</v>
      </c>
      <c r="C39" s="178">
        <f>ROUND('DOE25'!F170+'DOE25'!G170+'DOE25'!H170+'DOE25'!I170,0)</f>
        <v>1938225</v>
      </c>
      <c r="D39" s="181">
        <f t="shared" si="1"/>
        <v>6.2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31097294.060000002</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Bow</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7</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6</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f>IF('School Level Expenditures'!$B$2='School Tables'!W9,'School Tables'!AD9,"")</f>
        <v>6</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f>IF('School Level Expenditures'!$B$2='School Tables'!L10,'School Tables'!S10,"")</f>
        <v>7</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f>IF('School Level Expenditures'!$B$2=A32,'School Tables'!H32,"")</f>
        <v>29</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2022-08-26T14:46:05Z</cp:lastPrinted>
  <dcterms:created xsi:type="dcterms:W3CDTF">1997-12-04T19:04:30Z</dcterms:created>
  <dcterms:modified xsi:type="dcterms:W3CDTF">2022-12-19T13:00:34Z</dcterms:modified>
</cp:coreProperties>
</file>