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4_{DE8DFC3E-F37C-4946-AF06-6FAFA759905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0" i="1" l="1"/>
  <c r="F50" i="1" l="1"/>
  <c r="F5" i="13" l="1"/>
  <c r="F532" i="1" l="1"/>
  <c r="D7" i="14" l="1"/>
  <c r="D6" i="14"/>
  <c r="E7" i="14"/>
  <c r="E6" i="14"/>
  <c r="F198" i="1" l="1"/>
  <c r="F13" i="1"/>
  <c r="F23" i="1"/>
  <c r="F277" i="1"/>
  <c r="F12" i="1"/>
  <c r="I199" i="1" l="1"/>
  <c r="I198" i="1"/>
  <c r="K206" i="1"/>
  <c r="K208" i="1"/>
  <c r="H205" i="1"/>
  <c r="H198" i="1"/>
  <c r="F583" i="1" l="1"/>
  <c r="F580" i="1"/>
  <c r="F24" i="1" l="1"/>
  <c r="H605" i="1"/>
  <c r="J204" i="1"/>
  <c r="J203" i="1"/>
  <c r="I209" i="1"/>
  <c r="H209" i="1"/>
  <c r="G460" i="1" l="1"/>
  <c r="G443" i="1"/>
  <c r="F522" i="1" l="1"/>
  <c r="H542" i="1" l="1"/>
  <c r="I208" i="1" l="1"/>
  <c r="J206" i="1"/>
  <c r="H49" i="1"/>
  <c r="H13" i="1"/>
  <c r="I283" i="1"/>
  <c r="I280" i="1"/>
  <c r="F280" i="1"/>
  <c r="I277" i="1"/>
  <c r="F96" i="1" l="1"/>
  <c r="F29" i="1"/>
  <c r="F14" i="1"/>
  <c r="F9" i="1"/>
  <c r="G97" i="1"/>
  <c r="G158"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H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H87" i="2" s="1"/>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J652" i="1" s="1"/>
  <c r="H653" i="1"/>
  <c r="G654" i="1"/>
  <c r="H654" i="1"/>
  <c r="H655" i="1"/>
  <c r="H656" i="1"/>
  <c r="I170" i="1"/>
  <c r="I409" i="1" l="1"/>
  <c r="H97" i="2"/>
  <c r="H93" i="2"/>
  <c r="H80" i="2"/>
  <c r="H34" i="2"/>
  <c r="H26" i="2"/>
  <c r="H113" i="2"/>
  <c r="C110" i="2"/>
  <c r="H36" i="2"/>
  <c r="H38" i="2"/>
  <c r="H44" i="2"/>
  <c r="H96" i="2"/>
  <c r="H89" i="2"/>
  <c r="H35" i="2"/>
  <c r="H29" i="2"/>
  <c r="H13" i="2"/>
  <c r="H9" i="2"/>
  <c r="E121" i="2"/>
  <c r="G646" i="1"/>
  <c r="J646" i="1" s="1"/>
  <c r="H94" i="2"/>
  <c r="H69" i="2"/>
  <c r="H47" i="2"/>
  <c r="H30" i="2"/>
  <c r="H28" i="2"/>
  <c r="H24" i="2"/>
  <c r="H17" i="2"/>
  <c r="H15" i="2"/>
  <c r="H137" i="2"/>
  <c r="H143" i="2"/>
  <c r="H48" i="2"/>
  <c r="C120" i="2"/>
  <c r="H120" i="2" s="1"/>
  <c r="H59" i="2"/>
  <c r="H27" i="2"/>
  <c r="H23" i="2"/>
  <c r="H11" i="2"/>
  <c r="H12" i="2"/>
  <c r="H8" i="2"/>
  <c r="H43" i="2"/>
  <c r="G477" i="1"/>
  <c r="H624" i="1" s="1"/>
  <c r="J624" i="1" s="1"/>
  <c r="G62" i="2"/>
  <c r="H61" i="2"/>
  <c r="D78" i="2"/>
  <c r="H77" i="2"/>
  <c r="H22" i="2"/>
  <c r="G409" i="1"/>
  <c r="H646" i="1" s="1"/>
  <c r="G662" i="1"/>
  <c r="H132" i="2"/>
  <c r="H112" i="2"/>
  <c r="H125" i="2"/>
  <c r="C12" i="10"/>
  <c r="C121" i="2"/>
  <c r="H121" i="2" s="1"/>
  <c r="A40" i="1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E115" i="2" s="1"/>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42" i="2" l="1"/>
  <c r="H16" i="2"/>
  <c r="H134" i="2"/>
  <c r="L572" i="1"/>
  <c r="H85" i="2"/>
  <c r="H103" i="2"/>
  <c r="H57" i="2"/>
  <c r="E51" i="2"/>
  <c r="H91" i="2"/>
  <c r="H78" i="2"/>
  <c r="C81" i="2"/>
  <c r="H81" i="2" s="1"/>
  <c r="F194" i="1"/>
  <c r="G628" i="1" s="1"/>
  <c r="J628" i="1" s="1"/>
  <c r="D51" i="2"/>
  <c r="H123" i="2"/>
  <c r="E63" i="2"/>
  <c r="E104" i="2" s="1"/>
  <c r="H62" i="2"/>
  <c r="H50" i="2"/>
  <c r="H18" i="2"/>
  <c r="G31" i="2"/>
  <c r="H31" i="2" s="1"/>
  <c r="H21" i="2"/>
  <c r="D128" i="2"/>
  <c r="D145" i="2" s="1"/>
  <c r="H127" i="2"/>
  <c r="H122" i="2"/>
  <c r="E128" i="2"/>
  <c r="H118" i="2"/>
  <c r="F661" i="1"/>
  <c r="F665" i="1" s="1"/>
  <c r="F668" i="1" s="1"/>
  <c r="H109" i="2"/>
  <c r="F144" i="2"/>
  <c r="H130" i="2"/>
  <c r="H661" i="1"/>
  <c r="H665" i="1" s="1"/>
  <c r="H668" i="1" s="1"/>
  <c r="H194" i="1"/>
  <c r="G630" i="1" s="1"/>
  <c r="J630" i="1" s="1"/>
  <c r="H649" i="1"/>
  <c r="J649" i="1" s="1"/>
  <c r="C141" i="2"/>
  <c r="F51" i="2"/>
  <c r="G36" i="14"/>
  <c r="H36" i="14" s="1"/>
  <c r="I36" i="14" s="1"/>
  <c r="E145"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3" i="2"/>
  <c r="H51" i="2"/>
  <c r="H104" i="2"/>
  <c r="H673" i="1"/>
  <c r="C6" i="10" s="1"/>
  <c r="C144" i="2"/>
  <c r="C145" i="2" s="1"/>
  <c r="H141" i="2"/>
  <c r="H128"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<sst xmlns="http://schemas.openxmlformats.org/spreadsheetml/2006/main" count="6536" uniqueCount="1808">
  <si>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</si>
  <si>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</si>
  <si>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</si>
  <si>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</si>
  <si>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</si>
  <si>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</si>
  <si>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</si>
  <si>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</si>
  <si>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</si>
  <si>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</si>
  <si>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</si>
  <si>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</si>
  <si>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</si>
  <si>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</si>
  <si>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</si>
  <si>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</si>
  <si>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</si>
  <si>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</si>
  <si>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</si>
  <si>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</si>
  <si>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</si>
  <si>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</si>
  <si>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</si>
  <si>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</si>
  <si>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</si>
  <si>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</si>
  <si>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</si>
  <si>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</si>
  <si>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</si>
  <si>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</si>
  <si>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</si>
  <si>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</si>
  <si>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</si>
  <si>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</si>
  <si>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</si>
  <si>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</si>
  <si>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</si>
  <si>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</si>
  <si>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</si>
  <si>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</si>
  <si>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</si>
  <si>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</si>
  <si>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</si>
  <si>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</si>
  <si>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</si>
  <si>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</si>
  <si>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</si>
  <si>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</si>
  <si>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</si>
  <si>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</si>
  <si>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</si>
  <si>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</si>
  <si>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</si>
  <si>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</si>
  <si>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</si>
  <si>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</si>
  <si>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</si>
  <si>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</si>
  <si>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</si>
  <si>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</si>
  <si>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</si>
  <si>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</si>
  <si>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</si>
  <si>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</si>
  <si>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</si>
  <si>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</si>
  <si>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</si>
  <si>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</si>
  <si>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</si>
  <si>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</si>
  <si>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</si>
  <si>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</si>
  <si>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</si>
  <si>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</si>
  <si>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</si>
  <si>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</si>
  <si>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</si>
  <si>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</si>
  <si>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</si>
  <si>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</si>
  <si>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</si>
  <si>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</si>
  <si>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</si>
  <si>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</si>
  <si>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</si>
  <si>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</si>
  <si>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</si>
  <si>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</si>
  <si>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</si>
  <si>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</si>
  <si>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</si>
  <si>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</si>
  <si>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</si>
  <si>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</si>
  <si>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</si>
  <si>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</si>
  <si>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</si>
  <si>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</si>
  <si>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</si>
  <si>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</si>
  <si>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</si>
  <si>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</si>
  <si>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</si>
  <si>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</si>
  <si>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</si>
  <si>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</si>
  <si>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</si>
  <si>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</si>
  <si>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</si>
  <si>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</si>
  <si>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</si>
  <si>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</si>
  <si>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</si>
  <si>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</si>
  <si>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</si>
  <si>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</si>
  <si>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</si>
  <si>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</si>
  <si>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</si>
  <si>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</si>
  <si>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</si>
  <si>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</si>
  <si>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</si>
  <si>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</si>
  <si>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</si>
  <si>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</si>
  <si>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</si>
  <si>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</si>
  <si>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</si>
  <si>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</si>
  <si>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</si>
  <si>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</si>
  <si>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</si>
  <si>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</si>
  <si>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</si>
  <si>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</si>
  <si>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</si>
  <si>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</si>
  <si>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</si>
  <si>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</si>
  <si>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</si>
  <si>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</si>
  <si>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</si>
  <si>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</si>
  <si>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</si>
  <si>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</si>
  <si>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</si>
  <si>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</si>
  <si>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</si>
  <si>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</si>
  <si>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</si>
  <si>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</si>
  <si>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</si>
  <si>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</si>
  <si>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</si>
  <si>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</si>
  <si>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</si>
  <si>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</si>
  <si>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</si>
  <si>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</si>
  <si>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</si>
  <si>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</si>
  <si>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</si>
  <si>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</si>
  <si>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</si>
  <si>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</si>
  <si>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</si>
  <si>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</si>
  <si>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</si>
  <si>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</si>
  <si>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</si>
  <si>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</si>
  <si>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</si>
  <si>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</si>
  <si>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</si>
  <si>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</si>
  <si>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</si>
  <si>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</si>
  <si>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</si>
  <si>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</si>
  <si>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</si>
  <si>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</si>
  <si>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</si>
  <si>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</si>
  <si>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</si>
  <si>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</si>
  <si>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</si>
  <si>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</si>
  <si>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</si>
  <si>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</si>
  <si>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</si>
  <si>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</si>
  <si>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</si>
  <si>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</si>
  <si>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</si>
  <si>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</si>
  <si>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</si>
  <si>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</si>
  <si>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</si>
  <si>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</si>
  <si>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</si>
  <si>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</si>
  <si>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</si>
  <si>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</si>
  <si>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</si>
  <si>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</si>
  <si>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</si>
  <si>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</si>
  <si>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</si>
  <si>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</si>
  <si>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</si>
  <si>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</si>
  <si>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</si>
  <si>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</si>
  <si>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</si>
  <si>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</si>
  <si>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</si>
  <si>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</si>
  <si>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</si>
  <si>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</si>
  <si>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</si>
  <si>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</si>
  <si>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</si>
  <si>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</si>
  <si>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</si>
  <si>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</si>
  <si>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</si>
  <si>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</si>
  <si>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</si>
  <si>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</si>
  <si>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</si>
  <si>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</si>
  <si>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</si>
  <si>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</si>
  <si>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</si>
  <si>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</si>
  <si>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</si>
  <si>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</si>
  <si>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</si>
  <si>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</si>
  <si>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</si>
  <si>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</si>
  <si>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</si>
  <si>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</si>
  <si>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</si>
  <si>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</si>
  <si>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</si>
  <si>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</si>
  <si>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</si>
  <si>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</si>
  <si>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</si>
  <si>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</si>
  <si>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</si>
  <si>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</si>
  <si>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</si>
  <si>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</si>
  <si>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</si>
  <si>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</si>
  <si>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</si>
  <si>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</si>
  <si>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</si>
  <si>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</si>
  <si>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</si>
  <si>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</si>
  <si>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</si>
  <si>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</si>
  <si>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</si>
  <si>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</si>
  <si>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</si>
  <si>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</si>
  <si>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</si>
  <si>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</si>
  <si>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</si>
  <si>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</si>
  <si>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</si>
  <si>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</si>
  <si>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</si>
  <si>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</si>
  <si>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</si>
  <si>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</si>
  <si>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</si>
  <si>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</si>
  <si>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</si>
  <si>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</si>
  <si>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</si>
  <si>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</si>
  <si>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</si>
  <si>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</si>
  <si>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</si>
  <si>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</si>
  <si>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</si>
  <si>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</si>
  <si>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</si>
  <si>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</si>
  <si>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</si>
  <si>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</si>
  <si>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</si>
  <si>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</si>
  <si>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</si>
  <si>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</si>
  <si>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</si>
  <si>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</si>
  <si>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</si>
  <si>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</si>
  <si>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</si>
  <si>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</si>
  <si>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</si>
  <si>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</si>
  <si>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</si>
  <si>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</si>
  <si>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</si>
  <si>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</si>
  <si>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</si>
  <si>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</si>
  <si>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</si>
  <si>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</si>
  <si>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</si>
  <si>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</si>
  <si>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</si>
  <si>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</si>
  <si>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</si>
  <si>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</si>
  <si>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</si>
  <si>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</si>
  <si>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</si>
  <si>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</si>
  <si>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</si>
  <si>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</si>
  <si>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</si>
  <si>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</si>
  <si>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</si>
  <si>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</si>
  <si>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</si>
  <si>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</si>
  <si>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</si>
  <si>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</si>
  <si>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</si>
  <si>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</si>
  <si>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</si>
  <si>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</si>
  <si>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</si>
  <si>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</si>
  <si>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</si>
  <si>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</si>
  <si>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</si>
  <si>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</si>
  <si>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</si>
  <si>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</si>
  <si>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</si>
  <si>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</si>
  <si>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</si>
  <si>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</si>
  <si>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</si>
  <si>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</si>
  <si>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</si>
  <si>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</si>
  <si>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</si>
  <si>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</si>
  <si>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</si>
  <si>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</si>
  <si>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</si>
  <si>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</si>
  <si>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</si>
  <si>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</si>
  <si>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</si>
  <si>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</si>
  <si>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</si>
  <si>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</si>
  <si>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</si>
  <si>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</si>
  <si>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</si>
  <si>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</si>
  <si>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</si>
  <si>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</si>
  <si>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</si>
  <si>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</si>
  <si>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</si>
  <si>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</si>
  <si>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</si>
  <si>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</si>
  <si>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</si>
  <si>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</si>
  <si>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</si>
  <si>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</si>
  <si>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</si>
  <si>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</si>
  <si>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</si>
  <si>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</si>
  <si>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</si>
  <si>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</si>
  <si>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</si>
  <si>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</si>
  <si>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</si>
  <si>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</si>
  <si>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</si>
  <si>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</si>
  <si>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</si>
  <si>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</si>
  <si>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</si>
  <si>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</si>
  <si>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</si>
  <si>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</si>
  <si>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</si>
  <si>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</si>
  <si>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</si>
  <si>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</si>
  <si>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</si>
  <si>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</si>
  <si>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</si>
  <si>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</si>
  <si>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</si>
  <si>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</si>
  <si>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</si>
  <si>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</si>
  <si>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</si>
  <si>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</si>
  <si>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</si>
  <si>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</si>
  <si>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</si>
  <si>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</si>
  <si>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</si>
  <si>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</si>
  <si>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</si>
  <si>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</si>
  <si>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</si>
  <si>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</si>
  <si>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</si>
  <si>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</si>
  <si>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</si>
  <si>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</si>
  <si>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</si>
  <si>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</si>
  <si>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</si>
  <si>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</si>
  <si>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</si>
  <si>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</si>
  <si>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</si>
  <si>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</si>
  <si>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</si>
  <si>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</si>
  <si>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</si>
  <si>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</si>
  <si>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</si>
  <si>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</si>
  <si>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</si>
  <si>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</si>
  <si>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</si>
  <si>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</si>
  <si>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</si>
  <si>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</si>
  <si>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</si>
  <si>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</si>
  <si>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</si>
  <si>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</si>
  <si>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</si>
  <si>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</si>
  <si>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</si>
  <si>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</si>
  <si>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</si>
  <si>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</si>
  <si>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</si>
  <si>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</si>
  <si>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</si>
  <si>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</si>
  <si>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</si>
  <si>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</si>
  <si>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</si>
  <si>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</si>
  <si>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</si>
  <si>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</si>
  <si>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</si>
  <si>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</si>
  <si>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</si>
  <si>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</si>
  <si>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</si>
  <si>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</si>
  <si>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</si>
  <si>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</si>
  <si>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</si>
  <si>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</si>
  <si>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</si>
  <si>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</si>
  <si>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</si>
  <si>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</si>
  <si>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</si>
  <si>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</si>
  <si>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</si>
  <si>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</si>
  <si>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</si>
  <si>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</si>
  <si>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</si>
  <si>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</si>
  <si>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</si>
  <si>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</si>
  <si>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</si>
  <si>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</si>
  <si>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</si>
  <si>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</si>
  <si>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</si>
  <si>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</si>
  <si>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</si>
  <si>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</si>
  <si>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</si>
  <si>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</si>
  <si>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</si>
  <si>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</si>
  <si>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</si>
  <si>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</si>
  <si>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</si>
  <si>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</si>
  <si>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</si>
  <si>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</si>
  <si>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</si>
  <si>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</si>
  <si>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</si>
  <si>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</si>
  <si>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</si>
  <si>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</si>
  <si>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</si>
  <si>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</si>
  <si>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</si>
  <si>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</si>
  <si>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</si>
  <si>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</si>
  <si>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</si>
  <si>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</si>
  <si>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</si>
  <si>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</si>
  <si>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</si>
  <si>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</si>
  <si>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</si>
  <si>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</si>
  <si>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</si>
  <si>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</si>
  <si>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</si>
  <si>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</si>
  <si>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</si>
  <si>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</si>
  <si>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</si>
  <si>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</si>
  <si>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</si>
  <si>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</si>
  <si>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</si>
  <si>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</si>
  <si>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</si>
  <si>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</si>
  <si>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</si>
  <si>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</si>
  <si>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</si>
  <si>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</si>
  <si>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</si>
  <si>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</si>
  <si>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</si>
  <si>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</si>
  <si>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</si>
  <si>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</si>
  <si>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</si>
  <si>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</si>
  <si>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</si>
  <si>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</si>
  <si>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</si>
  <si>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</si>
  <si>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</si>
  <si>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</si>
  <si>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</si>
  <si>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</si>
  <si>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</si>
  <si>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</si>
  <si>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</si>
  <si>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</si>
  <si>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</si>
  <si>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</si>
  <si>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</si>
  <si>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</si>
  <si>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</si>
  <si>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</si>
  <si>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</si>
  <si>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</si>
  <si>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</si>
  <si>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</si>
  <si>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</si>
  <si>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</si>
  <si>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</si>
  <si>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</si>
  <si>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</si>
  <si>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</si>
  <si>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</si>
  <si>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</si>
  <si>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</si>
  <si>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</si>
  <si>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</si>
  <si>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</si>
  <si>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</si>
  <si>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</si>
  <si>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</si>
  <si>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</si>
  <si>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</si>
  <si>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</si>
  <si>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</si>
  <si>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</si>
  <si>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</si>
  <si>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</si>
  <si>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</si>
  <si>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</si>
  <si>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</si>
  <si>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</si>
  <si>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</si>
  <si>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</si>
  <si>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</si>
  <si>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</si>
  <si>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</si>
  <si>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</si>
  <si>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</si>
  <si>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</si>
  <si>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</si>
  <si>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</si>
  <si>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</si>
  <si>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</si>
  <si>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</si>
  <si>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</si>
  <si>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</si>
  <si>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</si>
  <si>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</si>
  <si>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</si>
  <si>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</si>
  <si>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</si>
  <si>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</si>
  <si>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</si>
  <si>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</si>
  <si>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</si>
  <si>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</si>
  <si>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</si>
  <si>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</si>
  <si>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</si>
  <si>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</si>
  <si>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</si>
  <si>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</si>
  <si>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</si>
  <si>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</si>
  <si>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</si>
  <si>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</si>
  <si>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</si>
  <si>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</si>
  <si>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</si>
  <si>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</si>
  <si>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</si>
  <si>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</si>
  <si>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</si>
  <si>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</si>
  <si>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</si>
  <si>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</si>
  <si>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</si>
  <si>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</si>
  <si>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</si>
  <si>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</si>
  <si>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</si>
  <si>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</si>
  <si>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</si>
  <si>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</si>
  <si>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</si>
  <si>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</si>
  <si>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</si>
  <si>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</si>
  <si>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</si>
  <si>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</si>
  <si>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</si>
  <si>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</si>
  <si>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</si>
  <si>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</si>
  <si>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</si>
  <si>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</si>
  <si>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</si>
  <si>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</si>
  <si>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</si>
  <si>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</si>
  <si>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</si>
  <si>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</si>
  <si>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</si>
  <si>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</si>
  <si>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</si>
  <si>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</si>
  <si>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</si>
  <si>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</si>
  <si>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</si>
  <si>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</si>
  <si>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</si>
  <si>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</si>
  <si>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</si>
  <si>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</si>
  <si>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</si>
  <si>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</si>
  <si>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</si>
  <si>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</si>
  <si>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</si>
  <si>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</si>
  <si>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</si>
  <si>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</si>
  <si>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</si>
  <si>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</si>
  <si>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</si>
  <si>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</si>
  <si>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</si>
  <si>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</si>
  <si>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</si>
  <si>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</si>
  <si>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</si>
  <si>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</si>
  <si>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</si>
  <si>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</si>
  <si>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</si>
  <si>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</si>
  <si>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</si>
  <si>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</si>
  <si>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</si>
  <si>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</si>
  <si>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</si>
  <si>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</si>
  <si>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</si>
  <si>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</si>
  <si>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</si>
  <si>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</si>
  <si>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</si>
  <si>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</si>
  <si>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</si>
  <si>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</si>
  <si>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</si>
  <si>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</si>
  <si>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</si>
  <si>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</si>
  <si>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</si>
  <si>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</si>
  <si>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</si>
  <si>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</si>
  <si>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</si>
  <si>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</si>
  <si>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</si>
  <si>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</si>
  <si>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</si>
  <si>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</si>
  <si>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</si>
  <si>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</si>
  <si>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</si>
  <si>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</si>
  <si>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</si>
  <si>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</si>
  <si>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</si>
  <si>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</si>
  <si>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</si>
  <si>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</si>
  <si>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</si>
  <si>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</si>
  <si>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</si>
  <si>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</si>
  <si>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</si>
  <si>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</si>
  <si>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</si>
  <si>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</si>
  <si>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</si>
  <si>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</si>
  <si>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</si>
  <si>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</si>
  <si>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</si>
  <si>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</si>
  <si>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</si>
  <si>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</si>
  <si>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</si>
  <si>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</si>
  <si>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</si>
  <si>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</si>
  <si>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</si>
  <si>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</si>
  <si>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</si>
  <si>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</si>
  <si>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</si>
  <si>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</si>
  <si>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</si>
  <si>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</si>
  <si>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</si>
  <si>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</si>
  <si>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</si>
  <si>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</si>
  <si>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</si>
  <si>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</si>
  <si>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</si>
  <si>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</si>
  <si>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</si>
  <si>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</si>
  <si>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</si>
  <si>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</si>
  <si>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</si>
  <si>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</si>
  <si>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</si>
  <si>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</si>
  <si>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</si>
  <si>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</si>
  <si>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</si>
  <si>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</si>
  <si>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</si>
  <si>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</si>
  <si>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</si>
  <si>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</si>
  <si>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</si>
  <si>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</si>
  <si>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</si>
  <si>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</si>
  <si>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</si>
  <si>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</si>
  <si>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</si>
  <si>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</si>
  <si>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</si>
  <si>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</si>
  <si>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</si>
  <si>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</si>
  <si>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</si>
  <si>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</si>
  <si>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</si>
  <si>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</si>
  <si>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</si>
  <si>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</si>
  <si>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</si>
  <si>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</si>
  <si>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</si>
  <si>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</si>
  <si>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</si>
  <si>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</si>
  <si>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</si>
  <si>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</si>
  <si>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</si>
  <si>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</si>
  <si>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</si>
  <si>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</si>
  <si>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</si>
  <si>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</si>
  <si>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</si>
  <si>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</si>
  <si>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</si>
  <si>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</si>
  <si>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</si>
  <si>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</si>
  <si>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</si>
  <si>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</si>
  <si>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</si>
  <si>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</si>
  <si>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</si>
  <si>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</si>
  <si>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</si>
  <si>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</si>
  <si>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</si>
  <si>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</si>
  <si>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</si>
  <si>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</si>
  <si>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</si>
  <si>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</si>
  <si>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</si>
  <si>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</si>
  <si>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</si>
  <si>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</si>
  <si>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</si>
  <si>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</si>
  <si>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</si>
  <si>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</si>
  <si>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</si>
  <si>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</si>
  <si>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</si>
  <si>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</si>
  <si>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</si>
  <si>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</si>
  <si>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</si>
  <si>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</si>
  <si>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</si>
  <si>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</si>
  <si>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</si>
  <si>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</si>
  <si>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</si>
  <si>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</si>
  <si>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</si>
  <si>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</si>
  <si>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</si>
  <si>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</si>
  <si>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</si>
  <si>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</si>
  <si>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</si>
  <si>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</si>
  <si>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</si>
  <si>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</si>
  <si>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</si>
  <si>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</si>
  <si>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</si>
  <si>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</si>
  <si>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</si>
  <si>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</si>
  <si>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</si>
  <si>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</si>
  <si>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</si>
  <si>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</si>
  <si>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</si>
  <si>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</si>
  <si>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</si>
  <si>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</si>
  <si>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</si>
  <si>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</si>
  <si>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</si>
  <si>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</si>
  <si>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</si>
  <si>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</si>
  <si>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</si>
  <si>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</si>
  <si>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</si>
  <si>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</si>
  <si>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</si>
  <si>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</si>
  <si>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</si>
  <si>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</si>
  <si>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</si>
  <si>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</si>
  <si>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</si>
  <si>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</si>
  <si>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</si>
  <si>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</si>
  <si>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</si>
  <si>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</si>
  <si>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</si>
  <si>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</si>
  <si>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</si>
  <si>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</si>
  <si>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</si>
  <si>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</si>
  <si>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</si>
  <si>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</si>
  <si>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</si>
  <si>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</si>
  <si>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</si>
  <si>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</si>
  <si>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</si>
  <si>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</si>
  <si>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</si>
  <si>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</si>
  <si>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</si>
  <si>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</si>
  <si>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</si>
  <si>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</si>
  <si>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</si>
  <si>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</si>
  <si>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</si>
  <si>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</si>
  <si>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</si>
  <si>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</si>
  <si>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</si>
  <si>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</si>
  <si>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</si>
  <si>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</si>
  <si>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</si>
  <si>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</si>
  <si>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</si>
  <si>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</si>
  <si>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</si>
  <si>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</si>
  <si>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</si>
  <si>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</si>
  <si>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</si>
  <si>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</si>
  <si>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</si>
  <si>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</si>
  <si>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</si>
  <si>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</si>
  <si>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</si>
  <si>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</si>
  <si>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</si>
  <si>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</si>
  <si>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</si>
  <si>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</si>
  <si>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</si>
  <si>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</si>
  <si>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</si>
  <si>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</si>
  <si>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</si>
  <si>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</si>
  <si>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</si>
  <si>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</si>
  <si>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</si>
  <si>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</si>
  <si>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</si>
  <si>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</si>
  <si>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</si>
  <si>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</si>
  <si>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</si>
  <si>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</si>
  <si>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</si>
  <si>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</si>
  <si>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</si>
  <si>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</si>
  <si>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</si>
  <si>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</si>
  <si>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</si>
  <si>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</si>
  <si>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</si>
  <si>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</si>
  <si>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</si>
  <si>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</si>
  <si>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</si>
  <si>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</si>
  <si>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</si>
  <si>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</si>
  <si>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</si>
  <si>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</si>
  <si>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</si>
  <si>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</si>
  <si>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</si>
  <si>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</si>
  <si>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</si>
  <si>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</si>
  <si>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</si>
  <si>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</si>
  <si>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</si>
  <si>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</si>
  <si>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</si>
  <si>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</si>
  <si>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</si>
  <si>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</si>
  <si>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</si>
  <si>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</si>
  <si>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</si>
  <si>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</si>
  <si>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</si>
  <si>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</si>
  <si>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</si>
  <si>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</si>
  <si>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</si>
  <si>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</si>
  <si>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</si>
  <si>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</si>
  <si>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</si>
  <si>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</si>
  <si>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</si>
  <si>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</si>
  <si>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</si>
  <si>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</si>
  <si>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</si>
  <si>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</si>
  <si>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</si>
  <si>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</si>
  <si>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</si>
  <si>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</si>
  <si>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</si>
  <si>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</si>
  <si>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</si>
  <si>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</si>
  <si>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</si>
  <si>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</si>
  <si>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</si>
  <si>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</si>
  <si>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</si>
  <si>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</si>
  <si>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</si>
  <si>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</si>
  <si>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</si>
  <si>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</si>
  <si>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</si>
  <si>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</si>
  <si>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</si>
  <si>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</si>
  <si>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</si>
  <si>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</si>
  <si>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</si>
  <si>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</si>
  <si>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</si>
  <si>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</si>
  <si>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</si>
  <si>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</si>
  <si>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</si>
  <si>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</si>
  <si>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</si>
  <si>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</si>
  <si>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</si>
  <si>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</si>
  <si>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</si>
  <si>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</si>
  <si>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</si>
  <si>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</si>
  <si>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</si>
  <si>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</si>
  <si>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</si>
  <si>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</si>
  <si>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</si>
  <si>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</si>
  <si>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</si>
  <si>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</si>
  <si>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</si>
  <si>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</si>
  <si>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</si>
  <si>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</si>
  <si>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</si>
  <si>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</si>
  <si>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</si>
  <si>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</si>
  <si>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</si>
  <si>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</si>
  <si>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</si>
  <si>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</si>
  <si>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</si>
  <si>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</si>
  <si>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</si>
  <si>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</si>
  <si>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</si>
  <si>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</si>
  <si>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</si>
  <si>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</si>
  <si>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</si>
  <si>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</si>
  <si>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</si>
  <si>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</si>
  <si>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</si>
  <si>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</si>
  <si>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</si>
  <si>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</si>
  <si>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</si>
  <si>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</si>
  <si>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</si>
  <si>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</si>
  <si>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</si>
  <si>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</si>
  <si>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</si>
  <si>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</si>
  <si>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</si>
  <si>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</si>
  <si>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</si>
  <si>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</si>
  <si>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</si>
  <si>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</si>
  <si>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</si>
  <si>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</si>
  <si>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</si>
  <si>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</si>
  <si>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</si>
  <si>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</si>
  <si>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</si>
  <si>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</si>
  <si>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</si>
  <si>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</si>
  <si>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</si>
  <si>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</si>
  <si>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</si>
  <si>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</si>
  <si>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</si>
  <si>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</si>
  <si>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</si>
  <si>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</si>
  <si>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</si>
  <si>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</si>
  <si>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</si>
  <si>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</si>
  <si>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</si>
  <si>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</si>
  <si>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</si>
  <si>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</si>
  <si>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</si>
  <si>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</si>
  <si>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</si>
  <si>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</si>
  <si>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</si>
  <si>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</si>
  <si>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</si>
  <si>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</si>
  <si>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</si>
  <si>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</si>
  <si>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</si>
  <si>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</si>
  <si>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</si>
  <si>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</si>
  <si>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</si>
  <si>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</si>
  <si>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</si>
  <si>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</si>
  <si>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</si>
  <si>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</si>
  <si>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</si>
  <si>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</si>
  <si>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</si>
  <si>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</si>
  <si>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</si>
  <si>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</si>
  <si>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</si>
  <si>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</si>
  <si>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</si>
  <si>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</si>
  <si>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</si>
  <si>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</si>
  <si>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</si>
  <si>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</si>
  <si>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</si>
  <si>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</si>
  <si>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</si>
  <si>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</si>
  <si>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</si>
  <si>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</si>
  <si>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</si>
  <si>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</si>
  <si>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</si>
  <si>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</si>
  <si>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</si>
  <si>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</si>
  <si>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</si>
  <si>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</si>
  <si>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</si>
  <si>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</si>
  <si>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</si>
  <si>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</si>
  <si>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</si>
  <si>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</si>
  <si>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</si>
  <si>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</si>
  <si>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</si>
  <si>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</si>
  <si>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</si>
  <si>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</si>
  <si>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</si>
  <si>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</si>
  <si>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</si>
  <si>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</si>
  <si>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</si>
  <si>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</si>
  <si>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</si>
  <si>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</si>
  <si>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</si>
  <si>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</si>
  <si>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</si>
  <si>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</si>
  <si>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</si>
  <si>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</si>
  <si>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</si>
  <si>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</si>
  <si>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</si>
  <si>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</si>
  <si>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</si>
  <si>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</si>
  <si>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</si>
  <si>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</si>
  <si>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</si>
  <si>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</si>
  <si>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</si>
  <si>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</si>
  <si>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</si>
  <si>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</si>
  <si>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</si>
  <si>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</si>
  <si>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</si>
  <si>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</si>
  <si>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</si>
  <si>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</si>
  <si>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</si>
  <si>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</si>
  <si>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</si>
  <si>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</si>
  <si>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</si>
  <si>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</si>
  <si>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</si>
  <si>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</si>
  <si>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</si>
  <si>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</si>
  <si>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</si>
  <si>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</si>
  <si>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</si>
  <si>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</si>
  <si>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</si>
  <si>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</si>
  <si>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</si>
  <si>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</si>
  <si>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</si>
  <si>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</si>
  <si>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</si>
  <si>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</si>
  <si>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</si>
  <si>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</si>
  <si>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</si>
  <si>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</si>
  <si>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</si>
  <si>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</si>
  <si>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</si>
  <si>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</si>
  <si>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</si>
  <si>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</si>
  <si>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</si>
  <si>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</si>
  <si>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</si>
  <si>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</si>
  <si>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</si>
  <si>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</si>
  <si>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</si>
  <si>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</si>
  <si>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</si>
  <si>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</si>
  <si>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</si>
  <si>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</si>
  <si>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</si>
  <si>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</si>
  <si>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</si>
  <si>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</si>
  <si>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</si>
  <si>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</si>
  <si>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</si>
  <si>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</si>
  <si>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</si>
  <si>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</si>
  <si>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</si>
  <si>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</si>
  <si>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</si>
  <si>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</si>
  <si>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</si>
  <si>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</si>
  <si>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</si>
  <si>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</si>
  <si>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</si>
  <si>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</si>
  <si>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</si>
  <si>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</si>
  <si>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</si>
  <si>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</si>
  <si>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</si>
  <si>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</si>
  <si>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</si>
  <si>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</si>
  <si>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</si>
  <si>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</si>
  <si>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</si>
  <si>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</si>
  <si>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</si>
  <si>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</si>
  <si>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</si>
  <si>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</si>
  <si>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</si>
  <si>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</si>
  <si>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</si>
  <si>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</si>
  <si>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</si>
  <si>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</si>
  <si>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</si>
  <si>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</si>
  <si>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</si>
  <si>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</si>
  <si>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</si>
  <si>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</si>
  <si>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</si>
  <si>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</si>
  <si>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</si>
  <si>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</si>
  <si>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</si>
  <si>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</si>
  <si>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</si>
  <si>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</si>
  <si>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</si>
  <si>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</si>
  <si>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</si>
  <si>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</si>
  <si>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</si>
  <si>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</si>
  <si>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</si>
  <si>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</si>
  <si>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</si>
  <si>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</si>
  <si>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</si>
  <si>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</si>
  <si>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</si>
  <si>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</si>
  <si>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</si>
  <si>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</si>
  <si>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</si>
  <si>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</si>
  <si>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</si>
  <si>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</si>
  <si>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</si>
  <si>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</si>
  <si>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</si>
  <si>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</si>
  <si>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</si>
  <si>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</si>
  <si>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</si>
  <si>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</si>
  <si>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</si>
  <si>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</si>
  <si>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</si>
  <si>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</si>
  <si>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</si>
  <si>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</si>
  <si>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</si>
  <si>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</si>
  <si>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</si>
  <si>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</si>
  <si>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</si>
  <si>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</si>
  <si>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</si>
  <si>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</si>
  <si>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</si>
  <si>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</si>
  <si>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</si>
  <si>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</si>
  <si>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</si>
  <si>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</si>
  <si>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</si>
  <si>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</si>
  <si>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</si>
  <si>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</si>
  <si>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</si>
  <si>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</si>
  <si>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</si>
  <si>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</si>
  <si>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</si>
  <si>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</si>
  <si>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</si>
  <si>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</si>
  <si>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</si>
  <si>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</si>
  <si>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</si>
  <si>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</si>
  <si>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</si>
  <si>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</si>
  <si>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</si>
  <si>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</si>
  <si>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</si>
  <si>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</si>
  <si>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</si>
  <si>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</si>
  <si>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</si>
  <si>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</si>
  <si>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</si>
  <si>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</si>
  <si>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</si>
  <si>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</si>
  <si>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</si>
  <si>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</si>
  <si>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</si>
  <si>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</si>
  <si>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</si>
  <si>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</si>
  <si>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</si>
  <si>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</si>
  <si>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</si>
  <si>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</si>
  <si>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</si>
  <si>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</si>
  <si>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</si>
  <si>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</si>
  <si>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</si>
  <si>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</si>
  <si>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</si>
  <si>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</si>
  <si>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</si>
  <si>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</si>
  <si>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</si>
  <si>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</si>
  <si>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</si>
  <si>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</si>
  <si>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</si>
  <si>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</si>
  <si>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</si>
  <si>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</si>
  <si>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</si>
  <si>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</si>
  <si>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</si>
  <si>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</si>
  <si>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</si>
  <si>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</si>
  <si>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</si>
  <si>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</si>
  <si>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</si>
  <si>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</si>
  <si>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</si>
  <si>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</si>
  <si>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</si>
  <si>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</si>
  <si>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</si>
  <si>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</si>
  <si>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</si>
  <si>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</si>
  <si>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</si>
  <si>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</si>
  <si>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</si>
  <si>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</si>
  <si>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</si>
  <si>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</si>
  <si>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</si>
  <si>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</si>
  <si>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</si>
  <si>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</si>
  <si>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</si>
  <si>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</si>
  <si>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</si>
  <si>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</si>
  <si>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</si>
  <si>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</si>
  <si>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</si>
  <si>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</si>
  <si>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</si>
  <si>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</si>
  <si>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</si>
  <si>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</si>
  <si>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</si>
  <si>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</si>
  <si>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</si>
  <si>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</si>
  <si>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</si>
  <si>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</si>
  <si>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</si>
  <si>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</si>
  <si>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</si>
  <si>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</si>
  <si>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</si>
  <si>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</si>
  <si>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</si>
  <si>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</si>
  <si>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</si>
  <si>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</si>
  <si>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</si>
  <si>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</si>
  <si>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</si>
  <si>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</si>
  <si>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</si>
  <si>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</si>
  <si>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</si>
  <si>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</si>
  <si>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</si>
  <si>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</si>
  <si>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</si>
  <si>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</si>
  <si>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</si>
  <si>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</si>
  <si>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</si>
  <si>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</si>
  <si>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</si>
  <si>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</si>
  <si>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</si>
  <si>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</si>
  <si>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</si>
  <si>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</si>
  <si>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</si>
  <si>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</si>
  <si>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</si>
  <si>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</si>
  <si>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</si>
  <si>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</si>
  <si>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</si>
  <si>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</si>
  <si>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</si>
  <si>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</si>
  <si>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</si>
  <si>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</si>
  <si>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</si>
  <si>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</si>
  <si>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</si>
  <si>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</si>
  <si>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</si>
  <si>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</si>
  <si>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</si>
  <si>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</si>
  <si>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</si>
  <si>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</si>
  <si>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</si>
  <si>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</si>
  <si>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</si>
  <si>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</si>
  <si>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</si>
  <si>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</si>
  <si>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</si>
  <si>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</si>
  <si>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</si>
  <si>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</si>
  <si>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</si>
  <si>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</si>
  <si>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</si>
  <si>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</si>
  <si>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</si>
  <si>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</si>
  <si>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</si>
  <si>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</si>
  <si>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</si>
  <si>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</si>
  <si>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</si>
  <si>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</si>
  <si>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</si>
  <si>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</si>
  <si>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</si>
  <si>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</si>
  <si>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</si>
  <si>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</si>
  <si>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</si>
  <si>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</si>
  <si>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</si>
  <si>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</si>
  <si>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</si>
  <si>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</si>
  <si>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</si>
  <si>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</si>
  <si>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</si>
  <si>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</si>
  <si>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</si>
  <si>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</si>
  <si>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</si>
  <si>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</si>
  <si>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</si>
  <si>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</si>
  <si>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</si>
  <si>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</si>
  <si>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</si>
  <si>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</si>
  <si>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</si>
  <si>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</si>
  <si>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</si>
  <si>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</si>
  <si>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</si>
  <si>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</si>
  <si>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</si>
  <si>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</si>
  <si>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</si>
  <si>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</si>
  <si>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</si>
  <si>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</si>
  <si>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</si>
  <si>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</si>
  <si>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</si>
  <si>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</si>
  <si>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</si>
  <si>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</si>
  <si>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</si>
  <si>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</si>
  <si>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</si>
  <si>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</si>
  <si>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</si>
  <si>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</si>
  <si>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</si>
  <si>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</si>
  <si>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</si>
  <si>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</si>
  <si>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</si>
  <si>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</si>
  <si>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</si>
  <si>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</si>
  <si>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</si>
  <si>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</si>
  <si>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</si>
  <si>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</si>
  <si>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</si>
  <si>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</si>
  <si>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</si>
  <si>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</si>
  <si>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</si>
  <si>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</si>
  <si>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</si>
  <si>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</si>
  <si>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</si>
  <si>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</si>
  <si>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</si>
  <si>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</si>
  <si>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</si>
  <si>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</si>
  <si>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</si>
  <si>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</si>
  <si>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</si>
  <si>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</si>
  <si>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</si>
  <si>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</si>
  <si>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</si>
  <si>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</si>
  <si>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</si>
  <si>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</si>
  <si>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</si>
  <si>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</si>
  <si>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</si>
  <si>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</si>
  <si>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</si>
  <si>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</si>
  <si>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</si>
  <si>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</si>
  <si>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</si>
  <si>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</si>
  <si>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</si>
  <si>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</si>
  <si>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</si>
  <si>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</si>
  <si>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</si>
  <si>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</si>
  <si>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</si>
  <si>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</si>
  <si>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</si>
  <si>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</si>
  <si>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</si>
  <si>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</si>
  <si>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</si>
  <si>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</si>
  <si>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</si>
  <si>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</si>
  <si>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</si>
  <si>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</si>
  <si>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</si>
  <si>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</si>
  <si>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</si>
  <si>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</si>
  <si>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</si>
  <si>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</si>
  <si>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</si>
  <si>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</si>
  <si>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</si>
  <si>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</si>
  <si>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</si>
  <si>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</si>
  <si>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</si>
  <si>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</si>
  <si>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</si>
  <si>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</si>
  <si>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</si>
  <si>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</si>
  <si>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</si>
  <si>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</si>
  <si>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</si>
  <si>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</si>
  <si>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</si>
  <si>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</si>
  <si>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</si>
  <si>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</si>
  <si>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</si>
  <si>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</si>
  <si>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</si>
  <si>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</si>
  <si>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</si>
  <si>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</si>
  <si>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</si>
  <si>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</si>
  <si>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</si>
  <si>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</si>
  <si>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</si>
  <si>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</si>
  <si>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</si>
  <si>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</si>
  <si>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</si>
  <si>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</si>
  <si>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</si>
  <si>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</si>
  <si>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</si>
  <si>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</si>
  <si>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</si>
  <si>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</si>
  <si>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</si>
  <si>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</si>
  <si>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</si>
  <si>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</si>
  <si>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</si>
  <si>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</si>
  <si>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</si>
  <si>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</si>
  <si>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</si>
  <si>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</si>
  <si>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</si>
  <si>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</si>
  <si>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</si>
  <si>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</si>
  <si>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</si>
  <si>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</si>
  <si>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</si>
  <si>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</si>
  <si>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</si>
  <si>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</si>
  <si>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</si>
  <si>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</si>
  <si>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</si>
  <si>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</si>
  <si>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</si>
  <si>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</si>
  <si>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</si>
  <si>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</si>
  <si>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</si>
  <si>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</si>
  <si>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</si>
  <si>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</si>
  <si>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</si>
  <si>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</si>
  <si>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</si>
  <si>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</si>
  <si>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</si>
  <si>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</si>
  <si>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</si>
  <si>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</si>
  <si>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</si>
  <si>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</si>
  <si>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</si>
  <si>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</si>
  <si>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</si>
  <si>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</si>
  <si>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</si>
  <si>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</si>
  <si>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</si>
  <si>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</si>
  <si>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</si>
  <si>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</si>
  <si>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</si>
  <si>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</si>
  <si>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</si>
  <si>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</si>
  <si>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</si>
  <si>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</si>
  <si>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</si>
  <si>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</si>
  <si>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</si>
  <si>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</si>
  <si>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</si>
  <si>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            </t>
  </si>
  <si>
    <t>8/2012</t>
  </si>
  <si>
    <t>8/2022</t>
  </si>
  <si>
    <t>1- Col 2</t>
  </si>
  <si>
    <t>Beginning Fund Equity for Food Service is different from the ending balance as of 6/30/2021 due to minor audit</t>
  </si>
  <si>
    <t>adjustment after the DOE report was completed. Total amount is $904.15.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</si>
</sst>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115" zoomScaleNormal="115" workbookViewId="0">
      <selection activeCell="A663" sqref="A66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950</v>
      </c>
      <c r="B2" s="126">
        <f>INDEX('School Tables'!$AH$3:$AH$208,MATCH('DOE25'!A2,'School Tables'!$AJ$3:$AJ$208,0))</f>
        <v>71</v>
      </c>
      <c r="C2" s="126">
        <f>INDEX('School Tables'!$AI$3:$AI$208,MATCH('DOE25'!A2,'School Tables'!$AJ$3:$AJ$208,0))</f>
        <v>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820956+1000</f>
        <v>821956</v>
      </c>
      <c r="G9" s="18">
        <v>3436.58</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-107288.13</f>
        <v>-107288.13</v>
      </c>
      <c r="G12" s="18">
        <v>138987.89000000001</v>
      </c>
      <c r="H12" s="18">
        <v>48960.47</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f>354730.96-7.79</f>
        <v>354723.17000000004</v>
      </c>
      <c r="G13" s="18">
        <v>122680.3</v>
      </c>
      <c r="H13" s="18">
        <f>94389.9+13</f>
        <v>94402.9</v>
      </c>
      <c r="I13" s="18"/>
      <c r="J13" s="67">
        <f>SUM(I443)</f>
        <v>316515.02</v>
      </c>
      <c r="K13" s="24" t="s">
        <v>288</v>
      </c>
      <c r="L13" s="24" t="s">
        <v>288</v>
      </c>
      <c r="M13" s="8"/>
      <c r="N13" s="265"/>
    </row>
    <row r="14" spans="1:14" s="3" customFormat="1" ht="12.2" customHeight="1" x14ac:dyDescent="0.15">
      <c r="A14" s="1" t="s">
        <v>565</v>
      </c>
      <c r="B14" s="2" t="s">
        <v>289</v>
      </c>
      <c r="C14" s="6">
        <v>6</v>
      </c>
      <c r="D14" s="2" t="s">
        <v>428</v>
      </c>
      <c r="E14" s="6">
        <v>150</v>
      </c>
      <c r="F14" s="18">
        <f>143.85</f>
        <v>143.85</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10858.99</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1069534.8900000001</v>
      </c>
      <c r="G19" s="41">
        <f>SUM(G9:G18)</f>
        <v>275963.76</v>
      </c>
      <c r="H19" s="41">
        <f>SUM(H9:H18)</f>
        <v>143363.37</v>
      </c>
      <c r="I19" s="41">
        <f>SUM(I9:I18)</f>
        <v>0</v>
      </c>
      <c r="J19" s="41">
        <f>SUM(J9:J18)</f>
        <v>316515.02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89615.81</v>
      </c>
      <c r="I22" s="18"/>
      <c r="J22" s="67">
        <f>SUM(I449)</f>
        <v>-8947.7900000000009</v>
      </c>
      <c r="K22" s="24" t="s">
        <v>288</v>
      </c>
      <c r="L22" s="24" t="s">
        <v>288</v>
      </c>
      <c r="M22" s="8"/>
      <c r="N22" s="265"/>
    </row>
    <row r="23" spans="1:14" s="3" customFormat="1" ht="12.2" customHeight="1" x14ac:dyDescent="0.15">
      <c r="A23" s="1" t="s">
        <v>607</v>
      </c>
      <c r="B23" s="2" t="s">
        <v>289</v>
      </c>
      <c r="C23" s="6">
        <v>13</v>
      </c>
      <c r="D23" s="2" t="s">
        <v>429</v>
      </c>
      <c r="E23" s="6">
        <v>410</v>
      </c>
      <c r="F23" s="18">
        <f>230416.85-7.79</f>
        <v>230409.06</v>
      </c>
      <c r="G23" s="18">
        <v>20570.490000000002</v>
      </c>
      <c r="H23" s="18">
        <v>1007.79</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52605.23-24497.67</f>
        <v>28107.560000000005</v>
      </c>
      <c r="G24" s="18">
        <v>20000</v>
      </c>
      <c r="H24" s="18">
        <v>3766.3</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25974.28</v>
      </c>
      <c r="G28" s="18">
        <v>1147.19</v>
      </c>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2077.48+2802.12</f>
        <v>4879.6000000000004</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18245.12</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289370.5</v>
      </c>
      <c r="G32" s="41">
        <f>SUM(G22:G31)</f>
        <v>59962.8</v>
      </c>
      <c r="H32" s="41">
        <f>SUM(H22:H31)</f>
        <v>94389.9</v>
      </c>
      <c r="I32" s="41">
        <f>SUM(I22:I31)</f>
        <v>0</v>
      </c>
      <c r="J32" s="41">
        <f>SUM(J22:J31)</f>
        <v>-8947.7900000000009</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10859</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v>35429.94</v>
      </c>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100000</v>
      </c>
      <c r="G44" s="18">
        <v>20187.87</v>
      </c>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140161</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84895</v>
      </c>
      <c r="G48" s="18">
        <v>149524.15</v>
      </c>
      <c r="H48" s="18">
        <v>24427.45</v>
      </c>
      <c r="I48" s="18"/>
      <c r="J48" s="13">
        <f>SUM(I460)</f>
        <v>325462.81</v>
      </c>
      <c r="K48" s="24" t="s">
        <v>288</v>
      </c>
      <c r="L48" s="24" t="s">
        <v>288</v>
      </c>
      <c r="M48" s="8"/>
      <c r="N48" s="265"/>
    </row>
    <row r="49" spans="1:14" s="3" customFormat="1" ht="12.2" customHeight="1" x14ac:dyDescent="0.15">
      <c r="A49" s="1" t="s">
        <v>859</v>
      </c>
      <c r="B49" s="2" t="s">
        <v>289</v>
      </c>
      <c r="C49" s="6">
        <v>34</v>
      </c>
      <c r="D49" s="2"/>
      <c r="E49" s="6">
        <v>753</v>
      </c>
      <c r="F49" s="18"/>
      <c r="G49" s="18"/>
      <c r="H49" s="18">
        <f>28182.99-3636.97</f>
        <v>24546.02</v>
      </c>
      <c r="I49" s="18"/>
      <c r="J49" s="13">
        <f>I455</f>
        <v>0</v>
      </c>
      <c r="K49" s="24"/>
      <c r="L49" s="24"/>
      <c r="M49" s="8"/>
      <c r="N49" s="265"/>
    </row>
    <row r="50" spans="1:14" s="3" customFormat="1" ht="12.2" customHeight="1" thickBot="1" x14ac:dyDescent="0.2">
      <c r="A50" s="29" t="s">
        <v>840</v>
      </c>
      <c r="B50" s="2" t="s">
        <v>289</v>
      </c>
      <c r="C50" s="71">
        <v>35</v>
      </c>
      <c r="D50" s="2" t="s">
        <v>653</v>
      </c>
      <c r="E50" s="6">
        <v>770</v>
      </c>
      <c r="F50" s="18">
        <f>673475.58-78206.19-140161</f>
        <v>455108.3899999999</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780164.3899999999</v>
      </c>
      <c r="G51" s="41">
        <f>SUM(G35:G50)</f>
        <v>216000.96</v>
      </c>
      <c r="H51" s="41">
        <f>SUM(H35:H50)</f>
        <v>48973.47</v>
      </c>
      <c r="I51" s="41">
        <f>SUM(I35:I50)</f>
        <v>0</v>
      </c>
      <c r="J51" s="41">
        <f>SUM(J35:J50)</f>
        <v>325462.81</v>
      </c>
      <c r="K51" s="45" t="s">
        <v>288</v>
      </c>
      <c r="L51" s="45" t="s">
        <v>288</v>
      </c>
      <c r="N51" s="263"/>
    </row>
    <row r="52" spans="1:14" s="3" customFormat="1" ht="12.2" customHeight="1" thickTop="1" x14ac:dyDescent="0.15">
      <c r="A52" s="38" t="s">
        <v>455</v>
      </c>
      <c r="B52" s="39" t="s">
        <v>289</v>
      </c>
      <c r="C52" s="6">
        <v>37</v>
      </c>
      <c r="D52" s="39" t="s">
        <v>653</v>
      </c>
      <c r="E52" s="39"/>
      <c r="F52" s="41">
        <f>F51+F32</f>
        <v>1069534.8899999999</v>
      </c>
      <c r="G52" s="41">
        <f>G51+G32</f>
        <v>275963.76</v>
      </c>
      <c r="H52" s="41">
        <f>H51+H32</f>
        <v>143363.37</v>
      </c>
      <c r="I52" s="41">
        <f>I51+I32</f>
        <v>0</v>
      </c>
      <c r="J52" s="41">
        <f>J51+J32</f>
        <v>316515.02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6388822.0700000003</v>
      </c>
      <c r="G57" s="18"/>
      <c r="H57" s="18" t="s">
        <v>1802</v>
      </c>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6388822.0700000003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1503.96</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19800</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21303.96</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f>921.67+1055.08</f>
        <v>1976.75</v>
      </c>
      <c r="G96" s="18"/>
      <c r="H96" s="18"/>
      <c r="I96" s="18"/>
      <c r="J96" s="18">
        <v>28.29</v>
      </c>
      <c r="K96" s="24" t="s">
        <v>288</v>
      </c>
      <c r="L96" s="24" t="s">
        <v>288</v>
      </c>
      <c r="M96" s="8"/>
      <c r="N96" s="265"/>
    </row>
    <row r="97" spans="1:14" s="3" customFormat="1" ht="12.2" customHeight="1" x14ac:dyDescent="0.15">
      <c r="A97" s="1" t="s">
        <v>503</v>
      </c>
      <c r="B97" s="2" t="s">
        <v>315</v>
      </c>
      <c r="C97" s="6">
        <v>12</v>
      </c>
      <c r="D97" s="2" t="s">
        <v>430</v>
      </c>
      <c r="E97" s="6">
        <v>1600</v>
      </c>
      <c r="F97" s="24" t="s">
        <v>288</v>
      </c>
      <c r="G97" s="18">
        <f>-6723.5+964.91+7475.36+2323.1+1117.75+28.92+28.92</f>
        <v>5215.4599999999991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245</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85496.82+20979.78</f>
        <v>106476.6</v>
      </c>
      <c r="G110" s="18"/>
      <c r="H110" s="18">
        <v>6924.55</v>
      </c>
      <c r="I110" s="18"/>
      <c r="J110" s="18">
        <v>5437.5</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108698.35</v>
      </c>
      <c r="G111" s="41">
        <f>SUM(G96:G110)</f>
        <v>5215.4599999999991</v>
      </c>
      <c r="H111" s="41">
        <f>SUM(H96:H110)</f>
        <v>6924.55</v>
      </c>
      <c r="I111" s="41">
        <f>SUM(I96:I110)</f>
        <v>0</v>
      </c>
      <c r="J111" s="41">
        <f>SUM(J96:J110)</f>
        <v>5465.79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6518824.3799999999</v>
      </c>
      <c r="G112" s="41">
        <f>G60+G111</f>
        <v>5215.4599999999991</v>
      </c>
      <c r="H112" s="41">
        <f>H60+H79+H94+H111</f>
        <v>6924.55</v>
      </c>
      <c r="I112" s="41">
        <f>I60+I111</f>
        <v>0</v>
      </c>
      <c r="J112" s="41">
        <f>J60+J111</f>
        <v>5465.79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2178665.9300000002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619233.93000000005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2797899.8600000003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131661.69</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151104.89000000001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7363.72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v>5764.18</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282766.58</v>
      </c>
      <c r="G136" s="41">
        <f>SUM(G123:G135)</f>
        <v>7363.72</v>
      </c>
      <c r="H136" s="41">
        <f>SUM(H123:H135)</f>
        <v>5764.18</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3080666.4400000004</v>
      </c>
      <c r="G140" s="41">
        <f>G121+SUM(G136:G137)</f>
        <v>7363.72</v>
      </c>
      <c r="H140" s="41">
        <f>H121+SUM(H136:H139)</f>
        <v>5764.18</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v>12484.23</v>
      </c>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12484.23</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68348.23</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21268.76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226747.28+172349.54</f>
        <v>399096.82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152380.84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28523.26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72330.789999999994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28523.26</v>
      </c>
      <c r="G163" s="41">
        <f>SUM(G150:G162)</f>
        <v>399096.82</v>
      </c>
      <c r="H163" s="41">
        <f>SUM(H150:H162)</f>
        <v>314328.62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28523.26</v>
      </c>
      <c r="G170" s="41">
        <f>G147+G163+SUM(G164:G169)</f>
        <v>411581.05</v>
      </c>
      <c r="H170" s="41">
        <f>H147+H163+SUM(H164:H169)</f>
        <v>314328.62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100000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9628014.0800000001</v>
      </c>
      <c r="G194" s="47">
        <f>G112+G140+G170+G193</f>
        <v>424160.23</v>
      </c>
      <c r="H194" s="47">
        <f>H112+H140+H170+H193</f>
        <v>327017.34999999998</v>
      </c>
      <c r="I194" s="47">
        <f>I112+I140+I170+I193</f>
        <v>0</v>
      </c>
      <c r="J194" s="47">
        <f>J112+J140+J193</f>
        <v>105465.79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2453597.7+7.79+7.79</f>
        <v>2453613.2800000003</v>
      </c>
      <c r="G198" s="18">
        <v>1291934.6599999999</v>
      </c>
      <c r="H198" s="18">
        <f>22545+222.5</f>
        <v>22767.5</v>
      </c>
      <c r="I198" s="18">
        <f>949.64+55587.36</f>
        <v>56537</v>
      </c>
      <c r="J198" s="18">
        <v>728.44</v>
      </c>
      <c r="K198" s="18">
        <v>280.5</v>
      </c>
      <c r="L198" s="19">
        <f>SUM(F198:K198)</f>
        <v>3825861.3800000004</v>
      </c>
      <c r="M198" s="8"/>
      <c r="N198" s="265"/>
    </row>
    <row r="199" spans="1:14" s="3" customFormat="1" ht="12.2" customHeight="1" x14ac:dyDescent="0.15">
      <c r="A199" s="1" t="s">
        <v>439</v>
      </c>
      <c r="B199" s="2" t="s">
        <v>341</v>
      </c>
      <c r="C199" s="2" t="s">
        <v>291</v>
      </c>
      <c r="D199" s="2" t="s">
        <v>431</v>
      </c>
      <c r="E199" s="6">
        <v>1200</v>
      </c>
      <c r="F199" s="18">
        <v>988313.08</v>
      </c>
      <c r="G199" s="18">
        <v>520390.05</v>
      </c>
      <c r="H199" s="18">
        <v>767371.95</v>
      </c>
      <c r="I199" s="18">
        <f>12103.28+244.23</f>
        <v>12347.51</v>
      </c>
      <c r="J199" s="18">
        <v>2579.2399999999998</v>
      </c>
      <c r="K199" s="18">
        <v>705</v>
      </c>
      <c r="L199" s="19">
        <f>SUM(F199:K199)</f>
        <v>2291706.83</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487560.87</v>
      </c>
      <c r="G203" s="18">
        <v>256722.11</v>
      </c>
      <c r="H203" s="18">
        <v>41518.93</v>
      </c>
      <c r="I203" s="18">
        <v>9946.19</v>
      </c>
      <c r="J203" s="18">
        <f>845+1470</f>
        <v>2315</v>
      </c>
      <c r="K203" s="18">
        <v>0</v>
      </c>
      <c r="L203" s="19">
        <f t="shared" ref="L203:L209" si="0">SUM(F203:K203)</f>
        <v>798063.1</v>
      </c>
      <c r="M203" s="8"/>
      <c r="N203" s="265"/>
    </row>
    <row r="204" spans="1:14" s="3" customFormat="1" ht="12.2" customHeight="1" x14ac:dyDescent="0.15">
      <c r="A204" s="1" t="s">
        <v>443</v>
      </c>
      <c r="B204" s="2" t="s">
        <v>341</v>
      </c>
      <c r="C204" s="2" t="s">
        <v>295</v>
      </c>
      <c r="D204" s="2" t="s">
        <v>431</v>
      </c>
      <c r="E204" s="6">
        <v>2200</v>
      </c>
      <c r="F204" s="18">
        <v>119545</v>
      </c>
      <c r="G204" s="18">
        <v>62945.67</v>
      </c>
      <c r="H204" s="18">
        <v>1855.87</v>
      </c>
      <c r="I204" s="18">
        <v>5464.27</v>
      </c>
      <c r="J204" s="18">
        <f>1520.6+1520.6+4136.78+5825.89</f>
        <v>13003.869999999999</v>
      </c>
      <c r="K204" s="18">
        <v>0</v>
      </c>
      <c r="L204" s="19">
        <f t="shared" si="0"/>
        <v>202814.67999999996</v>
      </c>
      <c r="M204" s="8"/>
      <c r="N204" s="265"/>
    </row>
    <row r="205" spans="1:14" s="3" customFormat="1" ht="12.2" customHeight="1" x14ac:dyDescent="0.15">
      <c r="A205" s="1" t="s">
        <v>444</v>
      </c>
      <c r="B205" s="2" t="s">
        <v>341</v>
      </c>
      <c r="C205" s="2" t="s">
        <v>296</v>
      </c>
      <c r="D205" s="2" t="s">
        <v>431</v>
      </c>
      <c r="E205" s="6">
        <v>2300</v>
      </c>
      <c r="F205" s="18">
        <v>3200</v>
      </c>
      <c r="G205" s="18">
        <v>1684.94</v>
      </c>
      <c r="H205" s="18">
        <f>314.63+391000.12</f>
        <v>391314.75</v>
      </c>
      <c r="I205" s="18">
        <v>449.74</v>
      </c>
      <c r="J205" s="18">
        <v>4112.33</v>
      </c>
      <c r="K205" s="18">
        <v>3634.91</v>
      </c>
      <c r="L205" s="19">
        <f t="shared" si="0"/>
        <v>404396.67</v>
      </c>
      <c r="M205" s="8"/>
      <c r="N205" s="265"/>
    </row>
    <row r="206" spans="1:14" s="3" customFormat="1" ht="12.2" customHeight="1" x14ac:dyDescent="0.15">
      <c r="A206" s="1" t="s">
        <v>445</v>
      </c>
      <c r="B206" s="2" t="s">
        <v>341</v>
      </c>
      <c r="C206" s="2" t="s">
        <v>297</v>
      </c>
      <c r="D206" s="2" t="s">
        <v>431</v>
      </c>
      <c r="E206" s="6">
        <v>2400</v>
      </c>
      <c r="F206" s="18">
        <v>360776.51</v>
      </c>
      <c r="G206" s="18">
        <v>189964.61</v>
      </c>
      <c r="H206" s="18">
        <v>47093.29</v>
      </c>
      <c r="I206" s="18">
        <v>76449.820000000007</v>
      </c>
      <c r="J206" s="18">
        <f>488.98+1623.6</f>
        <v>2112.58</v>
      </c>
      <c r="K206" s="18">
        <f>560+560+113.33</f>
        <v>1233.33</v>
      </c>
      <c r="L206" s="19">
        <f t="shared" si="0"/>
        <v>677630.1399999999</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307.83</v>
      </c>
      <c r="L207" s="19">
        <f t="shared" si="0"/>
        <v>307.83</v>
      </c>
      <c r="M207" s="8"/>
      <c r="N207" s="265"/>
    </row>
    <row r="208" spans="1:14" s="3" customFormat="1" ht="12.2" customHeight="1" x14ac:dyDescent="0.15">
      <c r="A208" s="1" t="s">
        <v>447</v>
      </c>
      <c r="B208" s="2" t="s">
        <v>341</v>
      </c>
      <c r="C208" s="2" t="s">
        <v>299</v>
      </c>
      <c r="D208" s="2" t="s">
        <v>431</v>
      </c>
      <c r="E208" s="6">
        <v>2600</v>
      </c>
      <c r="F208" s="18">
        <v>256282.98</v>
      </c>
      <c r="G208" s="18">
        <v>134944.19</v>
      </c>
      <c r="H208" s="18">
        <v>146080.4</v>
      </c>
      <c r="I208" s="18">
        <f>195543.04+4582.86</f>
        <v>200125.9</v>
      </c>
      <c r="J208" s="18">
        <v>1306.58</v>
      </c>
      <c r="K208" s="18">
        <f>2997+5019.47</f>
        <v>8016.47</v>
      </c>
      <c r="L208" s="19">
        <f t="shared" si="0"/>
        <v>746756.52</v>
      </c>
      <c r="M208" s="8"/>
      <c r="N208" s="265"/>
    </row>
    <row r="209" spans="1:14" s="3" customFormat="1" ht="12.2" customHeight="1" x14ac:dyDescent="0.15">
      <c r="A209" s="1" t="s">
        <v>448</v>
      </c>
      <c r="B209" s="2" t="s">
        <v>341</v>
      </c>
      <c r="C209" s="2" t="s">
        <v>300</v>
      </c>
      <c r="D209" s="2" t="s">
        <v>431</v>
      </c>
      <c r="E209" s="6">
        <v>2700</v>
      </c>
      <c r="F209" s="18">
        <v>0</v>
      </c>
      <c r="G209" s="18">
        <v>0</v>
      </c>
      <c r="H209" s="18">
        <f>136995.9+136995.9+9745.5+9745.5+193485.35+89883.67</f>
        <v>576851.82000000007</v>
      </c>
      <c r="I209" s="18">
        <f>18940.64+18940.66</f>
        <v>37881.300000000003</v>
      </c>
      <c r="J209" s="18">
        <v>0</v>
      </c>
      <c r="K209" s="18">
        <v>0</v>
      </c>
      <c r="L209" s="19">
        <f t="shared" si="0"/>
        <v>614733.12000000011</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4669291.7200000007</v>
      </c>
      <c r="G212" s="41">
        <f t="shared" si="1"/>
        <v>2458586.2299999995</v>
      </c>
      <c r="H212" s="41">
        <f t="shared" si="1"/>
        <v>1994854.51</v>
      </c>
      <c r="I212" s="41">
        <f t="shared" si="1"/>
        <v>399201.73000000004</v>
      </c>
      <c r="J212" s="41">
        <f t="shared" si="1"/>
        <v>26158.04</v>
      </c>
      <c r="K212" s="41">
        <f t="shared" si="1"/>
        <v>14178.04</v>
      </c>
      <c r="L212" s="41">
        <f t="shared" si="1"/>
        <v>9562270.2699999996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c r="H256" s="18">
        <v>6850</v>
      </c>
      <c r="I256" s="18">
        <v>0</v>
      </c>
      <c r="J256" s="18">
        <v>0</v>
      </c>
      <c r="K256" s="18">
        <v>0</v>
      </c>
      <c r="L256" s="19">
        <f t="shared" si="6"/>
        <v>6850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6850</v>
      </c>
      <c r="I257" s="41">
        <f t="shared" si="7"/>
        <v>0</v>
      </c>
      <c r="J257" s="41">
        <f t="shared" si="7"/>
        <v>0</v>
      </c>
      <c r="K257" s="41">
        <f t="shared" si="7"/>
        <v>0</v>
      </c>
      <c r="L257" s="41">
        <f>SUM(F257:K257)</f>
        <v>6850</v>
      </c>
      <c r="M257" s="8"/>
      <c r="N257" s="265"/>
    </row>
    <row r="258" spans="1:14" s="3" customFormat="1" ht="12.2" customHeight="1" thickTop="1" x14ac:dyDescent="0.15">
      <c r="A258" s="38" t="s">
        <v>462</v>
      </c>
      <c r="B258" s="40">
        <v>10</v>
      </c>
      <c r="C258" s="40">
        <v>8</v>
      </c>
      <c r="D258" s="39" t="s">
        <v>431</v>
      </c>
      <c r="E258" s="40"/>
      <c r="F258" s="41">
        <f t="shared" ref="F258:L258" si="8">F212+F230+F248+F257</f>
        <v>4669291.7200000007</v>
      </c>
      <c r="G258" s="41">
        <f t="shared" si="8"/>
        <v>2458586.2299999995</v>
      </c>
      <c r="H258" s="41">
        <f t="shared" si="8"/>
        <v>2001704.51</v>
      </c>
      <c r="I258" s="41">
        <f t="shared" si="8"/>
        <v>399201.73000000004</v>
      </c>
      <c r="J258" s="41">
        <f t="shared" si="8"/>
        <v>26158.04</v>
      </c>
      <c r="K258" s="41">
        <f t="shared" si="8"/>
        <v>14178.04</v>
      </c>
      <c r="L258" s="41">
        <f t="shared" si="8"/>
        <v>9569120.2699999996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35000</v>
      </c>
      <c r="L261" s="19">
        <f>SUM(F261:K261)</f>
        <v>35000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2100</v>
      </c>
      <c r="L262" s="19">
        <f>SUM(F262:K262)</f>
        <v>2100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137100</v>
      </c>
      <c r="L271" s="41">
        <f t="shared" si="9"/>
        <v>137100</v>
      </c>
      <c r="M271" s="8"/>
      <c r="N271" s="265"/>
    </row>
    <row r="272" spans="1:14" s="34" customFormat="1" ht="12.2" customHeight="1" thickTop="1" x14ac:dyDescent="0.2">
      <c r="A272" s="43" t="s">
        <v>464</v>
      </c>
      <c r="B272" s="40">
        <v>10</v>
      </c>
      <c r="C272" s="40">
        <v>18</v>
      </c>
      <c r="D272" s="39" t="s">
        <v>431</v>
      </c>
      <c r="E272" s="40"/>
      <c r="F272" s="42">
        <f t="shared" ref="F272:L272" si="11">F258+F271</f>
        <v>4669291.7200000007</v>
      </c>
      <c r="G272" s="42">
        <f t="shared" si="11"/>
        <v>2458586.2299999995</v>
      </c>
      <c r="H272" s="42">
        <f t="shared" si="11"/>
        <v>2001704.51</v>
      </c>
      <c r="I272" s="42">
        <f t="shared" si="11"/>
        <v>399201.73000000004</v>
      </c>
      <c r="J272" s="42">
        <f t="shared" si="11"/>
        <v>26158.04</v>
      </c>
      <c r="K272" s="42">
        <f t="shared" si="11"/>
        <v>151278.04</v>
      </c>
      <c r="L272" s="42">
        <f t="shared" si="11"/>
        <v>9706220.2699999996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30400.74+64095.01</f>
        <v>94495.75</v>
      </c>
      <c r="G277" s="18">
        <v>0</v>
      </c>
      <c r="H277" s="18">
        <v>0</v>
      </c>
      <c r="I277" s="18">
        <f>7667+38.33</f>
        <v>7705.33</v>
      </c>
      <c r="J277" s="18">
        <v>0</v>
      </c>
      <c r="K277" s="18">
        <v>0</v>
      </c>
      <c r="L277" s="19">
        <f>SUM(F277:K277)</f>
        <v>102201.08</v>
      </c>
      <c r="M277" s="8"/>
      <c r="N277" s="265"/>
    </row>
    <row r="278" spans="1:14" s="3" customFormat="1" ht="12.2" customHeight="1" x14ac:dyDescent="0.15">
      <c r="A278" s="1" t="s">
        <v>439</v>
      </c>
      <c r="B278" s="2" t="s">
        <v>357</v>
      </c>
      <c r="C278" s="2" t="s">
        <v>291</v>
      </c>
      <c r="D278" s="2" t="s">
        <v>431</v>
      </c>
      <c r="E278" s="6">
        <v>1200</v>
      </c>
      <c r="F278" s="18">
        <v>122348.41</v>
      </c>
      <c r="G278" s="18">
        <v>0</v>
      </c>
      <c r="H278" s="18">
        <v>0</v>
      </c>
      <c r="I278" s="18">
        <v>210.06</v>
      </c>
      <c r="J278" s="18">
        <v>0</v>
      </c>
      <c r="K278" s="18">
        <v>0</v>
      </c>
      <c r="L278" s="19">
        <f>SUM(F278:K278)</f>
        <v>122558.47</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f>10366.99+500</f>
        <v>10866.99</v>
      </c>
      <c r="G280" s="18">
        <v>0</v>
      </c>
      <c r="H280" s="18">
        <v>0</v>
      </c>
      <c r="I280" s="18">
        <f>3643.47+331.04+295.19+438.76+558.64+304.5</f>
        <v>5571.6</v>
      </c>
      <c r="J280" s="18">
        <v>0</v>
      </c>
      <c r="K280" s="18">
        <v>0</v>
      </c>
      <c r="L280" s="19">
        <f>SUM(F280:K280)</f>
        <v>16438.59</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1800</v>
      </c>
      <c r="G283" s="18">
        <v>0</v>
      </c>
      <c r="H283" s="18">
        <v>11016.26</v>
      </c>
      <c r="I283" s="18">
        <f>2256+5839.06</f>
        <v>8095.06</v>
      </c>
      <c r="J283" s="18">
        <v>38722.49</v>
      </c>
      <c r="K283" s="18">
        <v>0</v>
      </c>
      <c r="L283" s="19">
        <f t="shared" si="12"/>
        <v>59633.81</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27610.080000000002</v>
      </c>
      <c r="I288" s="18">
        <v>0</v>
      </c>
      <c r="J288" s="18">
        <v>0</v>
      </c>
      <c r="K288" s="18">
        <v>0</v>
      </c>
      <c r="L288" s="19">
        <f t="shared" si="12"/>
        <v>27610.080000000002</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229511.15</v>
      </c>
      <c r="G291" s="42">
        <f t="shared" si="13"/>
        <v>0</v>
      </c>
      <c r="H291" s="42">
        <f t="shared" si="13"/>
        <v>38626.340000000004</v>
      </c>
      <c r="I291" s="42">
        <f t="shared" si="13"/>
        <v>21582.050000000003</v>
      </c>
      <c r="J291" s="42">
        <f t="shared" si="13"/>
        <v>38722.49</v>
      </c>
      <c r="K291" s="42">
        <f t="shared" si="13"/>
        <v>0</v>
      </c>
      <c r="L291" s="41">
        <f t="shared" si="13"/>
        <v>328442.02999999997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229511.15</v>
      </c>
      <c r="G339" s="41">
        <f t="shared" si="20"/>
        <v>0</v>
      </c>
      <c r="H339" s="41">
        <f t="shared" si="20"/>
        <v>38626.340000000004</v>
      </c>
      <c r="I339" s="41">
        <f t="shared" si="20"/>
        <v>21582.050000000003</v>
      </c>
      <c r="J339" s="41">
        <f t="shared" si="20"/>
        <v>38722.49</v>
      </c>
      <c r="K339" s="41">
        <f t="shared" si="20"/>
        <v>0</v>
      </c>
      <c r="L339" s="41">
        <f t="shared" si="20"/>
        <v>328442.02999999997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2212.29</v>
      </c>
      <c r="L345" s="19">
        <f t="shared" ref="L345:L351" si="21">SUM(F345:K345)</f>
        <v>2212.29</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2212.29</v>
      </c>
      <c r="L352" s="41">
        <f>SUM(L342:L351)</f>
        <v>2212.29</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229511.15</v>
      </c>
      <c r="G353" s="41">
        <f>G339</f>
        <v>0</v>
      </c>
      <c r="H353" s="41">
        <f>H339</f>
        <v>38626.340000000004</v>
      </c>
      <c r="I353" s="41">
        <f>I339</f>
        <v>21582.050000000003</v>
      </c>
      <c r="J353" s="41">
        <f>J339</f>
        <v>38722.49</v>
      </c>
      <c r="K353" s="47">
        <f>K339+K352</f>
        <v>2212.29</v>
      </c>
      <c r="L353" s="41">
        <f>L339+L352</f>
        <v>330654.31999999995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89472.29</v>
      </c>
      <c r="G359" s="18">
        <v>418.4</v>
      </c>
      <c r="H359" s="18">
        <v>4153.04</v>
      </c>
      <c r="I359" s="18">
        <v>160334.01999999999</v>
      </c>
      <c r="J359" s="18">
        <v>20083.330000000002</v>
      </c>
      <c r="K359" s="18">
        <v>175</v>
      </c>
      <c r="L359" s="13">
        <f>SUM(F359:K359)</f>
        <v>274636.07999999996</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89472.29</v>
      </c>
      <c r="G363" s="47">
        <f t="shared" si="22"/>
        <v>418.4</v>
      </c>
      <c r="H363" s="47">
        <f t="shared" si="22"/>
        <v>4153.04</v>
      </c>
      <c r="I363" s="47">
        <f t="shared" si="22"/>
        <v>160334.01999999999</v>
      </c>
      <c r="J363" s="47">
        <f t="shared" si="22"/>
        <v>20083.330000000002</v>
      </c>
      <c r="K363" s="47">
        <f t="shared" si="22"/>
        <v>175</v>
      </c>
      <c r="L363" s="47">
        <f t="shared" si="22"/>
        <v>274636.07999999996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135664.63</v>
      </c>
      <c r="G368" s="18"/>
      <c r="H368" s="18"/>
      <c r="I368" s="56">
        <f>SUM(F368:H368)</f>
        <v>135664.63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24669.39</v>
      </c>
      <c r="G369" s="63"/>
      <c r="H369" s="63"/>
      <c r="I369" s="56">
        <f>SUM(F369:H369)</f>
        <v>24669.39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160334.02000000002</v>
      </c>
      <c r="G370" s="47">
        <f>SUM(G368:G369)</f>
        <v>0</v>
      </c>
      <c r="H370" s="47">
        <f>SUM(H368:H369)</f>
        <v>0</v>
      </c>
      <c r="I370" s="47">
        <f>SUM(I368:I369)</f>
        <v>160334.02000000002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100000</v>
      </c>
      <c r="H397" s="18"/>
      <c r="I397" s="18"/>
      <c r="J397" s="24" t="s">
        <v>288</v>
      </c>
      <c r="K397" s="24" t="s">
        <v>288</v>
      </c>
      <c r="L397" s="56">
        <f t="shared" si="26"/>
        <v>100000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28.29</v>
      </c>
      <c r="I401" s="18">
        <v>5437.5</v>
      </c>
      <c r="J401" s="24" t="s">
        <v>288</v>
      </c>
      <c r="K401" s="24" t="s">
        <v>288</v>
      </c>
      <c r="L401" s="56">
        <f t="shared" si="26"/>
        <v>5465.79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28.29</v>
      </c>
      <c r="I402" s="47">
        <f>SUM(I396:I401)</f>
        <v>5437.5</v>
      </c>
      <c r="J402" s="45" t="s">
        <v>288</v>
      </c>
      <c r="K402" s="45" t="s">
        <v>288</v>
      </c>
      <c r="L402" s="47">
        <f>SUM(L396:L401)</f>
        <v>105465.79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100000</v>
      </c>
      <c r="H409" s="47">
        <f>H394+H402+H408</f>
        <v>28.29</v>
      </c>
      <c r="I409" s="47">
        <f>I394+I402+I408</f>
        <v>5437.5</v>
      </c>
      <c r="J409" s="24" t="s">
        <v>288</v>
      </c>
      <c r="K409" s="24" t="s">
        <v>288</v>
      </c>
      <c r="L409" s="47">
        <f>L394+L402+L408</f>
        <v>105465.79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v>23644.400000000001</v>
      </c>
      <c r="K423" s="18"/>
      <c r="L423" s="56">
        <f t="shared" si="29"/>
        <v>23644.400000000001</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23644.400000000001</v>
      </c>
      <c r="K428" s="47">
        <f t="shared" si="30"/>
        <v>0</v>
      </c>
      <c r="L428" s="47">
        <f t="shared" si="30"/>
        <v>23644.400000000001</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23644.400000000001</v>
      </c>
      <c r="K435" s="47">
        <f t="shared" si="32"/>
        <v>0</v>
      </c>
      <c r="L435" s="47">
        <f t="shared" si="32"/>
        <v>23644.400000000001</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f>121330.52+195184.5</f>
        <v>316515.02</v>
      </c>
      <c r="H443" s="18"/>
      <c r="I443" s="56">
        <f t="shared" si="33"/>
        <v>316515.02</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316515.02</v>
      </c>
      <c r="H447" s="13">
        <f>SUM(H440:H446)</f>
        <v>0</v>
      </c>
      <c r="I447" s="13">
        <f>SUM(I440:I446)</f>
        <v>316515.02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v>-8947.7900000000009</v>
      </c>
      <c r="H449" s="18"/>
      <c r="I449" s="56">
        <f>SUM(F449:H449)</f>
        <v>-8947.7900000000009</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-8947.7900000000009</v>
      </c>
      <c r="H453" s="72">
        <f>SUM(H449:H452)</f>
        <v>0</v>
      </c>
      <c r="I453" s="72">
        <f>SUM(I449:I452)</f>
        <v>-8947.7900000000009</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23712.08+219929.34+81821.39</f>
        <v>325462.81</v>
      </c>
      <c r="H460" s="18"/>
      <c r="I460" s="56">
        <f t="shared" si="34"/>
        <v>325462.81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325462.81</v>
      </c>
      <c r="H461" s="83">
        <f>SUM(H455:H460)</f>
        <v>0</v>
      </c>
      <c r="I461" s="83">
        <f>SUM(I455:I460)</f>
        <v>325462.81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316515.02</v>
      </c>
      <c r="H462" s="42">
        <f>H453+H461</f>
        <v>0</v>
      </c>
      <c r="I462" s="42">
        <f>I453+I461</f>
        <v>316515.02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858370.58</v>
      </c>
      <c r="G466" s="18">
        <v>66476.81</v>
      </c>
      <c r="H466" s="18">
        <v>52610.44</v>
      </c>
      <c r="I466" s="18"/>
      <c r="J466" s="18">
        <v>243641.42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9628014.0800000001</v>
      </c>
      <c r="G469" s="18">
        <v>424160.23</v>
      </c>
      <c r="H469" s="18">
        <v>327017.34999999998</v>
      </c>
      <c r="I469" s="18"/>
      <c r="J469" s="18">
        <v>105465.79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9628014.0800000001</v>
      </c>
      <c r="G471" s="53">
        <f>SUM(G469:G470)</f>
        <v>424160.23</v>
      </c>
      <c r="H471" s="53">
        <f>SUM(H469:H470)</f>
        <v>327017.34999999998</v>
      </c>
      <c r="I471" s="53">
        <f>SUM(I469:I470)</f>
        <v>0</v>
      </c>
      <c r="J471" s="53">
        <f>SUM(J469:J470)</f>
        <v>105465.79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9706220.2699999996</v>
      </c>
      <c r="G473" s="18">
        <v>274636.08</v>
      </c>
      <c r="H473" s="18">
        <v>330654.32</v>
      </c>
      <c r="I473" s="18"/>
      <c r="J473" s="18">
        <v>23644.400000000001</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9706220.2699999996</v>
      </c>
      <c r="G475" s="53">
        <f>SUM(G473:G474)</f>
        <v>274636.08</v>
      </c>
      <c r="H475" s="53">
        <f>SUM(H473:H474)</f>
        <v>330654.32</v>
      </c>
      <c r="I475" s="53">
        <f>SUM(I473:I474)</f>
        <v>0</v>
      </c>
      <c r="J475" s="53">
        <f>SUM(J473:J474)</f>
        <v>23644.400000000001</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780164.3900000006</v>
      </c>
      <c r="G477" s="53">
        <f>(G466+G471)- G475</f>
        <v>216000.95999999996</v>
      </c>
      <c r="H477" s="53">
        <f>(H466+H471)- H475</f>
        <v>48973.469999999972</v>
      </c>
      <c r="I477" s="53">
        <f>(I466+I471)- I475</f>
        <v>0</v>
      </c>
      <c r="J477" s="53">
        <f>(J466+J471)- J475</f>
        <v>325462.81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1803</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1804</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386400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2.3199999999999998</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70000</v>
      </c>
      <c r="G496" s="18"/>
      <c r="H496" s="18"/>
      <c r="I496" s="18"/>
      <c r="J496" s="18"/>
      <c r="K496" s="53">
        <f>SUM(F496:J496)</f>
        <v>70000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35000</v>
      </c>
      <c r="G498" s="18"/>
      <c r="H498" s="18"/>
      <c r="I498" s="18"/>
      <c r="J498" s="18"/>
      <c r="K498" s="53">
        <f t="shared" si="35"/>
        <v>35000</v>
      </c>
      <c r="L498" s="24" t="s">
        <v>288</v>
      </c>
      <c r="N498" s="264"/>
    </row>
    <row r="499" spans="1:14" s="52" customFormat="1" ht="12.2" customHeight="1" x14ac:dyDescent="0.2">
      <c r="A499" s="199" t="s">
        <v>622</v>
      </c>
      <c r="B499" s="200">
        <v>20</v>
      </c>
      <c r="C499" s="201">
        <v>9</v>
      </c>
      <c r="D499" s="202" t="s">
        <v>432</v>
      </c>
      <c r="E499" s="201"/>
      <c r="F499" s="203">
        <v>35000</v>
      </c>
      <c r="G499" s="203"/>
      <c r="H499" s="203"/>
      <c r="I499" s="203"/>
      <c r="J499" s="203"/>
      <c r="K499" s="204">
        <f t="shared" si="35"/>
        <v>35000</v>
      </c>
      <c r="L499" s="205" t="s">
        <v>288</v>
      </c>
      <c r="N499" s="264"/>
    </row>
    <row r="500" spans="1:14" s="52" customFormat="1" ht="12.2" customHeight="1" thickBot="1" x14ac:dyDescent="0.25">
      <c r="A500" s="22" t="s">
        <v>623</v>
      </c>
      <c r="B500" s="75">
        <v>20</v>
      </c>
      <c r="C500" s="115">
        <v>10</v>
      </c>
      <c r="D500" s="2" t="s">
        <v>432</v>
      </c>
      <c r="E500" s="115"/>
      <c r="F500" s="18">
        <v>700</v>
      </c>
      <c r="G500" s="18"/>
      <c r="H500" s="18"/>
      <c r="I500" s="18"/>
      <c r="J500" s="18"/>
      <c r="K500" s="53">
        <f t="shared" si="35"/>
        <v>700</v>
      </c>
      <c r="L500" s="24" t="s">
        <v>288</v>
      </c>
      <c r="N500" s="264"/>
    </row>
    <row r="501" spans="1:14" s="52" customFormat="1" ht="12.2" customHeight="1" thickTop="1" x14ac:dyDescent="0.2">
      <c r="A501" s="139" t="s">
        <v>624</v>
      </c>
      <c r="B501" s="44">
        <v>20</v>
      </c>
      <c r="C501" s="194">
        <v>11</v>
      </c>
      <c r="D501" s="39" t="s">
        <v>432</v>
      </c>
      <c r="E501" s="194"/>
      <c r="F501" s="42">
        <f>SUM(F499:F500)</f>
        <v>35700</v>
      </c>
      <c r="G501" s="42">
        <f>SUM(G499:G500)</f>
        <v>0</v>
      </c>
      <c r="H501" s="42">
        <f>SUM(H499:H500)</f>
        <v>0</v>
      </c>
      <c r="I501" s="42">
        <f>SUM(I499:I500)</f>
        <v>0</v>
      </c>
      <c r="J501" s="42">
        <f>SUM(J499:J500)</f>
        <v>0</v>
      </c>
      <c r="K501" s="42">
        <f t="shared" si="35"/>
        <v>35700</v>
      </c>
      <c r="L501" s="45" t="s">
        <v>288</v>
      </c>
      <c r="N501" s="264"/>
    </row>
    <row r="502" spans="1:14" s="52" customFormat="1" ht="12.2" customHeight="1" x14ac:dyDescent="0.2">
      <c r="A502" s="199" t="s">
        <v>651</v>
      </c>
      <c r="B502" s="200">
        <v>20</v>
      </c>
      <c r="C502" s="201">
        <v>12</v>
      </c>
      <c r="D502" s="202" t="s">
        <v>432</v>
      </c>
      <c r="E502" s="201"/>
      <c r="F502" s="203">
        <v>35000</v>
      </c>
      <c r="G502" s="203"/>
      <c r="H502" s="203"/>
      <c r="I502" s="203"/>
      <c r="J502" s="203"/>
      <c r="K502" s="204">
        <f t="shared" si="35"/>
        <v>35000</v>
      </c>
      <c r="L502" s="205" t="s">
        <v>288</v>
      </c>
      <c r="N502" s="264"/>
    </row>
    <row r="503" spans="1:14" s="52" customFormat="1" ht="12.2" customHeight="1" thickBot="1" x14ac:dyDescent="0.25">
      <c r="A503" s="22" t="s">
        <v>625</v>
      </c>
      <c r="B503" s="75">
        <v>20</v>
      </c>
      <c r="C503" s="115">
        <v>13</v>
      </c>
      <c r="D503" s="2" t="s">
        <v>432</v>
      </c>
      <c r="E503" s="115"/>
      <c r="F503" s="18">
        <v>700</v>
      </c>
      <c r="G503" s="18"/>
      <c r="H503" s="18"/>
      <c r="I503" s="18"/>
      <c r="J503" s="18"/>
      <c r="K503" s="53">
        <f t="shared" si="35"/>
        <v>700</v>
      </c>
      <c r="L503" s="24" t="s">
        <v>288</v>
      </c>
      <c r="N503" s="264"/>
    </row>
    <row r="504" spans="1:14" s="52" customFormat="1" ht="12.2" customHeight="1" thickTop="1" x14ac:dyDescent="0.2">
      <c r="A504" s="139" t="s">
        <v>626</v>
      </c>
      <c r="B504" s="44">
        <v>20</v>
      </c>
      <c r="C504" s="194">
        <v>14</v>
      </c>
      <c r="D504" s="39" t="s">
        <v>432</v>
      </c>
      <c r="E504" s="194"/>
      <c r="F504" s="42">
        <f>SUM(F502:F503)</f>
        <v>35700</v>
      </c>
      <c r="G504" s="42">
        <f>SUM(G502:G503)</f>
        <v>0</v>
      </c>
      <c r="H504" s="42">
        <f>SUM(H502:H503)</f>
        <v>0</v>
      </c>
      <c r="I504" s="42">
        <f>SUM(I502:I503)</f>
        <v>0</v>
      </c>
      <c r="J504" s="42">
        <f>SUM(J502:J503)</f>
        <v>0</v>
      </c>
      <c r="K504" s="42">
        <f t="shared" si="35"/>
        <v>35700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988313.083+390239.05</f>
        <v>1378552.1329999999</v>
      </c>
      <c r="G522" s="18">
        <v>407000.91</v>
      </c>
      <c r="H522" s="18">
        <v>801061.32</v>
      </c>
      <c r="I522" s="18">
        <v>22735.47</v>
      </c>
      <c r="J522" s="18">
        <v>4894.24</v>
      </c>
      <c r="K522" s="18">
        <v>705</v>
      </c>
      <c r="L522" s="88">
        <f>SUM(F522:K522)</f>
        <v>2614949.0730000003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1378552.1329999999</v>
      </c>
      <c r="G525" s="108">
        <f t="shared" ref="G525:L525" si="36">SUM(G522:G524)</f>
        <v>407000.91</v>
      </c>
      <c r="H525" s="108">
        <f t="shared" si="36"/>
        <v>801061.32</v>
      </c>
      <c r="I525" s="108">
        <f t="shared" si="36"/>
        <v>22735.47</v>
      </c>
      <c r="J525" s="108">
        <f t="shared" si="36"/>
        <v>4894.24</v>
      </c>
      <c r="K525" s="108">
        <f t="shared" si="36"/>
        <v>705</v>
      </c>
      <c r="L525" s="89">
        <f t="shared" si="36"/>
        <v>2614949.0730000003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487560.87</v>
      </c>
      <c r="G527" s="18">
        <v>50910.42</v>
      </c>
      <c r="H527" s="18">
        <v>283369.02</v>
      </c>
      <c r="I527" s="18"/>
      <c r="J527" s="18"/>
      <c r="K527" s="18"/>
      <c r="L527" s="88">
        <f>SUM(F527:K527)</f>
        <v>821840.31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487560.87</v>
      </c>
      <c r="G530" s="89">
        <f t="shared" ref="G530:L530" si="37">SUM(G527:G529)</f>
        <v>50910.42</v>
      </c>
      <c r="H530" s="89">
        <f t="shared" si="37"/>
        <v>283369.02</v>
      </c>
      <c r="I530" s="89">
        <f t="shared" si="37"/>
        <v>0</v>
      </c>
      <c r="J530" s="89">
        <f t="shared" si="37"/>
        <v>0</v>
      </c>
      <c r="K530" s="89">
        <f t="shared" si="37"/>
        <v>0</v>
      </c>
      <c r="L530" s="89">
        <f t="shared" si="37"/>
        <v>821840.31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31451.36+22742.02</f>
        <v>54193.380000000005</v>
      </c>
      <c r="G532" s="18">
        <v>628.99</v>
      </c>
      <c r="H532" s="18"/>
      <c r="I532" s="18"/>
      <c r="J532" s="18"/>
      <c r="K532" s="18"/>
      <c r="L532" s="88">
        <f>SUM(F532:K532)</f>
        <v>54822.37</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54193.380000000005</v>
      </c>
      <c r="G535" s="89">
        <f t="shared" ref="G535:L535" si="38">SUM(G532:G534)</f>
        <v>628.99</v>
      </c>
      <c r="H535" s="89">
        <f t="shared" si="38"/>
        <v>0</v>
      </c>
      <c r="I535" s="89">
        <f t="shared" si="38"/>
        <v>0</v>
      </c>
      <c r="J535" s="89">
        <f t="shared" si="38"/>
        <v>0</v>
      </c>
      <c r="K535" s="89">
        <f t="shared" si="38"/>
        <v>0</v>
      </c>
      <c r="L535" s="89">
        <f t="shared" si="38"/>
        <v>54822.37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7829.65</v>
      </c>
      <c r="I537" s="18"/>
      <c r="J537" s="18"/>
      <c r="K537" s="18"/>
      <c r="L537" s="88">
        <f>SUM(F537:K537)</f>
        <v>7829.65</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7829.65</v>
      </c>
      <c r="I540" s="89">
        <f t="shared" si="39"/>
        <v>0</v>
      </c>
      <c r="J540" s="89">
        <f t="shared" si="39"/>
        <v>0</v>
      </c>
      <c r="K540" s="89">
        <f t="shared" si="39"/>
        <v>0</v>
      </c>
      <c r="L540" s="89">
        <f t="shared" si="39"/>
        <v>7829.65</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193485.35+89883.67</f>
        <v>283369.02</v>
      </c>
      <c r="I542" s="18"/>
      <c r="J542" s="18"/>
      <c r="K542" s="18"/>
      <c r="L542" s="88">
        <f>SUM(F542:K542)</f>
        <v>283369.02</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283369.02</v>
      </c>
      <c r="I545" s="192">
        <f t="shared" si="40"/>
        <v>0</v>
      </c>
      <c r="J545" s="192">
        <f t="shared" si="40"/>
        <v>0</v>
      </c>
      <c r="K545" s="192">
        <f t="shared" si="40"/>
        <v>0</v>
      </c>
      <c r="L545" s="192">
        <f t="shared" si="40"/>
        <v>283369.02</v>
      </c>
      <c r="M545" s="8"/>
      <c r="N545" s="265"/>
    </row>
    <row r="546" spans="1:14" s="3" customFormat="1" ht="12.2" customHeight="1" thickTop="1" x14ac:dyDescent="0.15">
      <c r="A546" s="98" t="s">
        <v>72</v>
      </c>
      <c r="B546" s="107">
        <v>21</v>
      </c>
      <c r="C546" s="107">
        <v>21</v>
      </c>
      <c r="D546" s="158" t="s">
        <v>432</v>
      </c>
      <c r="E546" s="107"/>
      <c r="F546" s="89">
        <f>F525+F530+F535+F540+F545</f>
        <v>1920306.3829999999</v>
      </c>
      <c r="G546" s="89">
        <f t="shared" ref="G546:L546" si="41">G525+G530+G535+G540+G545</f>
        <v>458540.31999999995</v>
      </c>
      <c r="H546" s="89">
        <f t="shared" si="41"/>
        <v>1375629.0099999998</v>
      </c>
      <c r="I546" s="89">
        <f t="shared" si="41"/>
        <v>22735.47</v>
      </c>
      <c r="J546" s="89">
        <f t="shared" si="41"/>
        <v>4894.24</v>
      </c>
      <c r="K546" s="89">
        <f t="shared" si="41"/>
        <v>705</v>
      </c>
      <c r="L546" s="89">
        <f t="shared" si="41"/>
        <v>3782810.4230000004</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2614949.0730000003</v>
      </c>
      <c r="G550" s="87">
        <f>L527</f>
        <v>821840.31</v>
      </c>
      <c r="H550" s="87">
        <f>L532</f>
        <v>54822.37</v>
      </c>
      <c r="I550" s="87">
        <f>L537</f>
        <v>7829.65</v>
      </c>
      <c r="J550" s="87">
        <f>L542</f>
        <v>283369.02</v>
      </c>
      <c r="K550" s="87">
        <f>SUM(F550:J550)</f>
        <v>3782810.4230000004</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2614949.0730000003</v>
      </c>
      <c r="G553" s="89">
        <f t="shared" si="42"/>
        <v>821840.31</v>
      </c>
      <c r="H553" s="89">
        <f t="shared" si="42"/>
        <v>54822.37</v>
      </c>
      <c r="I553" s="89">
        <f t="shared" si="42"/>
        <v>7829.65</v>
      </c>
      <c r="J553" s="89">
        <f t="shared" si="42"/>
        <v>283369.02</v>
      </c>
      <c r="K553" s="89">
        <f t="shared" si="42"/>
        <v>3782810.4230000004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15504.09+15504.09</f>
        <v>31008.18</v>
      </c>
      <c r="G580" s="18"/>
      <c r="H580" s="18"/>
      <c r="I580" s="87">
        <f t="shared" si="47"/>
        <v>31008.18</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90988.45+83554.2</f>
        <v>174542.65</v>
      </c>
      <c r="G583" s="18"/>
      <c r="H583" s="18"/>
      <c r="I583" s="87">
        <f t="shared" si="47"/>
        <v>174542.65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331364.09999999998</v>
      </c>
      <c r="I592" s="18"/>
      <c r="J592" s="18"/>
      <c r="K592" s="104">
        <f t="shared" ref="K592:K598" si="48">SUM(H592:J592)</f>
        <v>331364.09999999998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283369.02</v>
      </c>
      <c r="I593" s="18"/>
      <c r="J593" s="18"/>
      <c r="K593" s="104">
        <f t="shared" si="48"/>
        <v>283369.02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614733.12</v>
      </c>
      <c r="I599" s="108">
        <f>SUM(I592:I598)</f>
        <v>0</v>
      </c>
      <c r="J599" s="108">
        <f>SUM(J592:J598)</f>
        <v>0</v>
      </c>
      <c r="K599" s="108">
        <f>SUM(K592:K598)</f>
        <v>614733.12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108646.59-23644.4-20000-83.33-38.33</f>
        <v>64880.53</v>
      </c>
      <c r="I605" s="18"/>
      <c r="J605" s="18"/>
      <c r="K605" s="104">
        <f>SUM(H605:J605)</f>
        <v>64880.53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64880.53</v>
      </c>
      <c r="I606" s="108">
        <f>SUM(I603:I605)</f>
        <v>0</v>
      </c>
      <c r="J606" s="108">
        <f>SUM(J603:J605)</f>
        <v>0</v>
      </c>
      <c r="K606" s="108">
        <f>SUM(K603:K605)</f>
        <v>64880.53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1069534.8900000001</v>
      </c>
      <c r="H618" s="109">
        <f>SUM(F52)</f>
        <v>1069534.8899999999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275963.76</v>
      </c>
      <c r="H619" s="109">
        <f>SUM(G52)</f>
        <v>275963.76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143363.37</v>
      </c>
      <c r="H620" s="109">
        <f>SUM(H52)</f>
        <v>143363.37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316515.02</v>
      </c>
      <c r="H622" s="109">
        <f>SUM(J52)</f>
        <v>316515.02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780164.3899999999</v>
      </c>
      <c r="H623" s="109">
        <f>F477</f>
        <v>780164.3900000006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216000.96</v>
      </c>
      <c r="H624" s="109">
        <f>G477</f>
        <v>216000.95999999996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48973.47</v>
      </c>
      <c r="H625" s="109">
        <f>H477</f>
        <v>48973.469999999972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325462.81</v>
      </c>
      <c r="H627" s="109">
        <f>J477</f>
        <v>325462.81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9628014.0800000001</v>
      </c>
      <c r="H628" s="104">
        <f>SUM(F469)</f>
        <v>9628014.0800000001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424160.23</v>
      </c>
      <c r="H629" s="104">
        <f>SUM(G469)</f>
        <v>424160.23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327017.34999999998</v>
      </c>
      <c r="H630" s="104">
        <f>SUM(H469)</f>
        <v>327017.34999999998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105465.79</v>
      </c>
      <c r="H632" s="104">
        <f>SUM(J469)</f>
        <v>105465.79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9706220.2699999996</v>
      </c>
      <c r="H633" s="104">
        <f>SUM(F473)</f>
        <v>9706220.2699999996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330654.31999999995</v>
      </c>
      <c r="H634" s="104">
        <f>SUM(H473)</f>
        <v>330654.32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160334.01999999999</v>
      </c>
      <c r="H635" s="104">
        <f>I370</f>
        <v>160334.02000000002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274636.07999999996</v>
      </c>
      <c r="H636" s="104">
        <f>SUM(G473)</f>
        <v>274636.08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105465.79</v>
      </c>
      <c r="H638" s="164">
        <f>SUM(J469)</f>
        <v>105465.79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23644.400000000001</v>
      </c>
      <c r="H639" s="164">
        <f>SUM(J473)</f>
        <v>23644.400000000001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316515.02</v>
      </c>
      <c r="H641" s="104">
        <f>SUM(G462)</f>
        <v>316515.02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316515.02</v>
      </c>
      <c r="H643" s="104">
        <f>SUM(I462)</f>
        <v>316515.02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28.29</v>
      </c>
      <c r="H645" s="104">
        <f>H409</f>
        <v>28.29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105465.79</v>
      </c>
      <c r="H647" s="104">
        <f>L409</f>
        <v>105465.79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614733.12</v>
      </c>
      <c r="H648" s="104">
        <f>L209+L227+L245</f>
        <v>614733.12000000011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64880.53</v>
      </c>
      <c r="H649" s="104">
        <f>(J258+J339)-(J256+J337)</f>
        <v>64880.53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614733.12000000011</v>
      </c>
      <c r="H650" s="104">
        <f>H599</f>
        <v>614733.12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10165348.379999999</v>
      </c>
      <c r="G661" s="19">
        <f>(L230+L310+L360)</f>
        <v>0</v>
      </c>
      <c r="H661" s="19">
        <f>(L248+L329+L361)</f>
        <v>0</v>
      </c>
      <c r="I661" s="19">
        <f>SUM(F661:H661)</f>
        <v>10165348.379999999</v>
      </c>
      <c r="J661" s="13"/>
      <c r="K661" s="13"/>
      <c r="L661" s="13"/>
      <c r="M661" s="9"/>
    </row>
    <row r="662" spans="1:13" s="3" customFormat="1" ht="12.2" customHeight="1" x14ac:dyDescent="0.2">
      <c r="A662" s="1" t="s">
        <v>127</v>
      </c>
      <c r="F662" s="19">
        <f>(L359/IF(SUM(L359:L361)=0,1,SUM(L359:L361))*(SUM(G97:G110)))</f>
        <v>5215.4599999999991</v>
      </c>
      <c r="G662" s="19">
        <f>(L360/IF(SUM(L359:L361)=0,1,SUM(L359:L361))*(SUM(G97:G110)))</f>
        <v>0</v>
      </c>
      <c r="H662" s="19">
        <f>(L361/IF(SUM(L359:L361)=0,1,SUM(L359:L361))*(SUM(G97:G110)))</f>
        <v>0</v>
      </c>
      <c r="I662" s="19">
        <f>SUM(F662:H662)</f>
        <v>5215.4599999999991</v>
      </c>
      <c r="J662"/>
      <c r="K662" s="13"/>
      <c r="L662" s="13"/>
      <c r="M662" s="8"/>
    </row>
    <row r="663" spans="1:13" s="3" customFormat="1" ht="12.2" customHeight="1" x14ac:dyDescent="0.2">
      <c r="A663" s="1" t="s">
        <v>128</v>
      </c>
      <c r="F663" s="19">
        <f>(L209+L288)-(J209+J288)</f>
        <v>642343.20000000007</v>
      </c>
      <c r="G663" s="19">
        <f>(L227+L307)-(J227+J307)</f>
        <v>0</v>
      </c>
      <c r="H663" s="19">
        <f>(L245+L326)-(J245+J326)</f>
        <v>0</v>
      </c>
      <c r="I663" s="19">
        <f>SUM(F663:H663)</f>
        <v>642343.20000000007</v>
      </c>
      <c r="J663"/>
      <c r="K663" s="13"/>
      <c r="L663" s="13"/>
      <c r="M663" s="9"/>
    </row>
    <row r="664" spans="1:13" s="3" customFormat="1" ht="12.2" customHeight="1" x14ac:dyDescent="0.15">
      <c r="A664" s="197" t="s">
        <v>129</v>
      </c>
      <c r="B664" s="169"/>
      <c r="C664" s="169"/>
      <c r="D664" s="169"/>
      <c r="E664" s="169"/>
      <c r="F664" s="198">
        <f>SUM(F576:F588)+SUM(H603:H605)+SUM(L612)</f>
        <v>270431.35999999999</v>
      </c>
      <c r="G664" s="198">
        <f>SUM(G576:G588)+SUM(I603:I605)+L613</f>
        <v>0</v>
      </c>
      <c r="H664" s="198">
        <f>SUM(H576:H588)+SUM(J603:J605)+L614</f>
        <v>0</v>
      </c>
      <c r="I664" s="19">
        <f>SUM(F664:H664)</f>
        <v>270431.35999999999</v>
      </c>
      <c r="J664" s="13"/>
      <c r="K664" s="13"/>
      <c r="L664" s="13"/>
      <c r="M664" s="9"/>
    </row>
    <row r="665" spans="1:13" s="3" customFormat="1" ht="12.2" customHeight="1" x14ac:dyDescent="0.15">
      <c r="A665" s="1" t="s">
        <v>130</v>
      </c>
      <c r="F665" s="19">
        <f>F661-SUM(F662:F664)</f>
        <v>9247358.3599999994</v>
      </c>
      <c r="G665" s="19">
        <f>G661-SUM(G662:G664)</f>
        <v>0</v>
      </c>
      <c r="H665" s="19">
        <f>H661-SUM(H662:H664)</f>
        <v>0</v>
      </c>
      <c r="I665" s="19">
        <f>I661-SUM(I662:I664)</f>
        <v>9247358.3599999994</v>
      </c>
      <c r="J665" s="13"/>
      <c r="K665" s="13"/>
      <c r="L665" s="13"/>
      <c r="M665" s="8"/>
    </row>
    <row r="666" spans="1:13" s="3" customFormat="1" ht="12.2" customHeight="1" x14ac:dyDescent="0.2">
      <c r="A666" s="1" t="s">
        <v>131</v>
      </c>
      <c r="F666" s="245">
        <v>578.66</v>
      </c>
      <c r="G666" s="246"/>
      <c r="H666" s="246"/>
      <c r="I666" s="19">
        <f>SUM(F666:H666)</f>
        <v>578.66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15980.64</v>
      </c>
      <c r="G668" s="19" t="e">
        <f>ROUND(G665/G666,2)</f>
        <v>#DIV/0!</v>
      </c>
      <c r="H668" s="19" t="e">
        <f>ROUND(H665/H666,2)</f>
        <v>#DIV/0!</v>
      </c>
      <c r="I668" s="19">
        <f>ROUND(I665/I666,2)</f>
        <v>15980.64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15980.64</v>
      </c>
      <c r="G673" s="19" t="e">
        <f>ROUND((G665+G670)/(G666+G671),2)</f>
        <v>#DIV/0!</v>
      </c>
      <c r="H673" s="19" t="e">
        <f>ROUND((H665+H670)/(H666+H671),2)</f>
        <v>#DIV/0!</v>
      </c>
      <c r="I673" s="19">
        <f>ROUND((I665+I670)/(I666+I671),2)</f>
        <v>15980.64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election activeCell="E10" sqref="E10"/>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21268.76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12816.26</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8452.5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68348.23</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Brookline</v>
      </c>
      <c r="C5" s="375"/>
      <c r="D5" s="375"/>
      <c r="E5" s="375"/>
      <c r="F5" s="375"/>
    </row>
    <row r="8" spans="1:9" ht="18" x14ac:dyDescent="0.25">
      <c r="A8" s="312" t="s">
        <v>1568</v>
      </c>
      <c r="F8" s="319" t="s">
        <v>1586</v>
      </c>
    </row>
    <row r="9" spans="1:9" ht="15" x14ac:dyDescent="0.2">
      <c r="A9" s="310" t="s">
        <v>1569</v>
      </c>
      <c r="B9" s="313">
        <f>'DOE25'!G97</f>
        <v>5215.4599999999991</v>
      </c>
      <c r="F9" s="310" t="s">
        <v>1582</v>
      </c>
    </row>
    <row r="10" spans="1:9" ht="15" x14ac:dyDescent="0.2">
      <c r="A10" s="310" t="s">
        <v>1570</v>
      </c>
      <c r="B10" s="313">
        <f>'DOE25'!G112-'DOE25'!G97</f>
        <v>0</v>
      </c>
      <c r="F10" s="310" t="s">
        <v>1583</v>
      </c>
    </row>
    <row r="11" spans="1:9" ht="15" x14ac:dyDescent="0.2">
      <c r="A11" s="310" t="s">
        <v>1571</v>
      </c>
      <c r="B11" s="313">
        <f>'DOE25'!G140</f>
        <v>7363.72</v>
      </c>
      <c r="F11" s="310" t="s">
        <v>1584</v>
      </c>
    </row>
    <row r="12" spans="1:9" ht="15" x14ac:dyDescent="0.2">
      <c r="A12" s="310" t="s">
        <v>1572</v>
      </c>
      <c r="B12" s="313">
        <f>'DOE25'!G170</f>
        <v>411581.05</v>
      </c>
      <c r="F12" s="310" t="s">
        <v>1585</v>
      </c>
    </row>
    <row r="13" spans="1:9" ht="15" x14ac:dyDescent="0.2">
      <c r="A13" s="310" t="s">
        <v>1573</v>
      </c>
      <c r="B13" s="313">
        <f>'DOE25'!G193-'DOE25'!G180</f>
        <v>0</v>
      </c>
      <c r="F13" s="310" t="s">
        <v>1595</v>
      </c>
    </row>
    <row r="14" spans="1:9" ht="18" x14ac:dyDescent="0.25">
      <c r="A14" s="312" t="s">
        <v>732</v>
      </c>
      <c r="B14" s="314">
        <f>SUM(B9:B13)</f>
        <v>424160.23</v>
      </c>
    </row>
    <row r="16" spans="1:9" ht="18" x14ac:dyDescent="0.25">
      <c r="A16" s="312" t="s">
        <v>786</v>
      </c>
      <c r="F16" s="319" t="s">
        <v>1587</v>
      </c>
    </row>
    <row r="17" spans="1:6" ht="15" x14ac:dyDescent="0.2">
      <c r="A17" s="310" t="s">
        <v>1574</v>
      </c>
      <c r="B17" s="313">
        <f>'DOE25'!L363-'DOE25'!L362</f>
        <v>274636.07999999996</v>
      </c>
      <c r="F17" s="310" t="s">
        <v>1588</v>
      </c>
    </row>
    <row r="18" spans="1:6" ht="15" x14ac:dyDescent="0.2">
      <c r="A18" s="310" t="s">
        <v>1575</v>
      </c>
      <c r="B18" s="323"/>
      <c r="F18" s="319" t="s">
        <v>1612</v>
      </c>
    </row>
    <row r="19" spans="1:6" ht="18" x14ac:dyDescent="0.25">
      <c r="A19" s="312" t="s">
        <v>725</v>
      </c>
      <c r="B19" s="314">
        <f>SUM(B17:B18)</f>
        <v>274636.07999999996</v>
      </c>
    </row>
    <row r="21" spans="1:6" ht="18.75" thickBot="1" x14ac:dyDescent="0.3">
      <c r="A21" s="312" t="s">
        <v>1576</v>
      </c>
    </row>
    <row r="22" spans="1:6" ht="18.75" thickTop="1" x14ac:dyDescent="0.25">
      <c r="A22" s="312" t="s">
        <v>1577</v>
      </c>
      <c r="B22" s="318">
        <f>B14-B19</f>
        <v>149524.15000000002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66476.81</v>
      </c>
      <c r="F31" s="310" t="s">
        <v>1592</v>
      </c>
    </row>
    <row r="33" spans="1:6" ht="15" x14ac:dyDescent="0.2">
      <c r="A33" s="310" t="s">
        <v>1635</v>
      </c>
      <c r="B33" s="313">
        <f>'DOE25'!G477</f>
        <v>216000.95999999996</v>
      </c>
      <c r="F33" s="310" t="s">
        <v>1593</v>
      </c>
    </row>
    <row r="36" spans="1:6" ht="15" x14ac:dyDescent="0.2">
      <c r="A36" s="310" t="s">
        <v>1579</v>
      </c>
      <c r="B36" s="324">
        <v>12484.23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election activeCell="B40" sqref="B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Brookline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2548109.0300000003</v>
      </c>
      <c r="C9" s="228">
        <f>'DOE25'!G198+'DOE25'!G216+'DOE25'!G234+'DOE25'!G277+'DOE25'!G296+'DOE25'!G315</f>
        <v>1291934.6599999999</v>
      </c>
    </row>
    <row r="10" spans="1:3" x14ac:dyDescent="0.2">
      <c r="A10" t="s">
        <v>775</v>
      </c>
      <c r="B10" s="239">
        <v>2434552.52</v>
      </c>
      <c r="C10" s="239">
        <v>1234359.58</v>
      </c>
    </row>
    <row r="11" spans="1:3" x14ac:dyDescent="0.2">
      <c r="A11" t="s">
        <v>776</v>
      </c>
      <c r="B11" s="239">
        <v>21206.58</v>
      </c>
      <c r="C11" s="239">
        <v>10752.1</v>
      </c>
    </row>
    <row r="12" spans="1:3" x14ac:dyDescent="0.2">
      <c r="A12" t="s">
        <v>777</v>
      </c>
      <c r="B12" s="239">
        <v>92349.93</v>
      </c>
      <c r="C12" s="239">
        <v>46822.98</v>
      </c>
    </row>
    <row r="13" spans="1:3" x14ac:dyDescent="0.2">
      <c r="A13" t="str">
        <f>IF(B9=B13,IF(C9=C13,"Check Total OK","Check Total Error"),"Check Total Error")</f>
        <v>Check Total OK</v>
      </c>
      <c r="B13" s="230">
        <f>SUM(B10:B12)</f>
        <v>2548109.0300000003</v>
      </c>
      <c r="C13" s="230">
        <f>SUM(C10:C12)</f>
        <v>1291934.6600000001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1110661.49</v>
      </c>
      <c r="C18" s="228">
        <f>'DOE25'!G199+'DOE25'!G217+'DOE25'!G235+'DOE25'!G278+'DOE25'!G297+'DOE25'!G316</f>
        <v>520390.05</v>
      </c>
    </row>
    <row r="19" spans="1:3" x14ac:dyDescent="0.2">
      <c r="A19" t="s">
        <v>775</v>
      </c>
      <c r="B19" s="239">
        <v>781133.7</v>
      </c>
      <c r="C19" s="239">
        <v>365992.89</v>
      </c>
    </row>
    <row r="20" spans="1:3" x14ac:dyDescent="0.2">
      <c r="A20" t="s">
        <v>776</v>
      </c>
      <c r="B20" s="239">
        <v>218535.77</v>
      </c>
      <c r="C20" s="239">
        <v>102392.89</v>
      </c>
    </row>
    <row r="21" spans="1:3" x14ac:dyDescent="0.2">
      <c r="A21" t="s">
        <v>777</v>
      </c>
      <c r="B21" s="239">
        <v>110992.02</v>
      </c>
      <c r="C21" s="239">
        <v>52004.27</v>
      </c>
    </row>
    <row r="22" spans="1:3" x14ac:dyDescent="0.2">
      <c r="A22" t="str">
        <f>IF(B18=B22,IF(C18=C22,"Check Total OK","Check Total Error"),"Check Total Error")</f>
        <v>Check Total OK</v>
      </c>
      <c r="B22" s="230">
        <f>SUM(B19:B21)</f>
        <v>1110661.49</v>
      </c>
      <c r="C22" s="230">
        <f>SUM(C19:C21)</f>
        <v>520390.05000000005</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10866.99</v>
      </c>
      <c r="C36" s="234">
        <f>'DOE25'!G201+'DOE25'!G219+'DOE25'!G237+'DOE25'!G280+'DOE25'!G299+'DOE25'!G318</f>
        <v>0</v>
      </c>
    </row>
    <row r="37" spans="1:3" x14ac:dyDescent="0.2">
      <c r="A37" t="s">
        <v>775</v>
      </c>
      <c r="B37" s="239">
        <v>8246.2800000000007</v>
      </c>
      <c r="C37" s="239"/>
    </row>
    <row r="38" spans="1:3" x14ac:dyDescent="0.2">
      <c r="A38" t="s">
        <v>776</v>
      </c>
      <c r="B38" s="239"/>
      <c r="C38" s="239"/>
    </row>
    <row r="39" spans="1:3" x14ac:dyDescent="0.2">
      <c r="A39" t="s">
        <v>777</v>
      </c>
      <c r="B39" s="239">
        <v>2620.71</v>
      </c>
      <c r="C39" s="239"/>
    </row>
    <row r="40" spans="1:3" x14ac:dyDescent="0.2">
      <c r="A40" t="str">
        <f>IF(B36=B40,IF(C36=C40,"Check Total OK","Check Total Error"),"Check Total Error")</f>
        <v>Check Total OK</v>
      </c>
      <c r="B40" s="230">
        <f>SUM(B37:B39)</f>
        <v>10866.990000000002</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workbookViewId="0">
      <selection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Brookline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6117568.2100000009</v>
      </c>
      <c r="D5" s="20">
        <f>SUM('DOE25'!L198:L201)+SUM('DOE25'!L216:L219)+SUM('DOE25'!L234:L237)-F5-G5-H5</f>
        <v>5517542.4000000013</v>
      </c>
      <c r="E5" s="242"/>
      <c r="F5" s="243">
        <f>186295+174992.65+137556+88472.11+65696.5+35282.87+28437.5-91000-30000</f>
        <v>595732.63</v>
      </c>
      <c r="G5" s="53">
        <f>SUM('DOE25'!J198:J201)+SUM('DOE25'!J216:J219)+SUM('DOE25'!J234:J237)</f>
        <v>3307.68</v>
      </c>
      <c r="H5" s="53">
        <f>SUM('DOE25'!K198:K201)+SUM('DOE25'!K216:K219)+SUM('DOE25'!K234:K237)</f>
        <v>985.5</v>
      </c>
      <c r="I5" s="255"/>
    </row>
    <row r="6" spans="1:9" x14ac:dyDescent="0.2">
      <c r="A6" s="32">
        <v>2100</v>
      </c>
      <c r="B6" t="s">
        <v>796</v>
      </c>
      <c r="C6" s="274">
        <f t="shared" si="0"/>
        <v>798063.1</v>
      </c>
      <c r="D6" s="20">
        <f>'DOE25'!L203+'DOE25'!L221+'DOE25'!L239-F6-G6-H6</f>
        <v>795748.1</v>
      </c>
      <c r="E6" s="242"/>
      <c r="F6" s="243"/>
      <c r="G6" s="53">
        <f>'DOE25'!J203+'DOE25'!J221+'DOE25'!J239</f>
        <v>2315</v>
      </c>
      <c r="H6" s="53">
        <f>'DOE25'!K203+'DOE25'!K221+'DOE25'!K239</f>
        <v>0</v>
      </c>
      <c r="I6" s="255"/>
    </row>
    <row r="7" spans="1:9" x14ac:dyDescent="0.2">
      <c r="A7" s="32">
        <v>2200</v>
      </c>
      <c r="B7" t="s">
        <v>821</v>
      </c>
      <c r="C7" s="274">
        <f t="shared" si="0"/>
        <v>202814.67999999996</v>
      </c>
      <c r="D7" s="20">
        <f>'DOE25'!L204+'DOE25'!L222+'DOE25'!L240-F7-G7-H7</f>
        <v>189810.80999999997</v>
      </c>
      <c r="E7" s="242"/>
      <c r="F7" s="243"/>
      <c r="G7" s="53">
        <f>'DOE25'!J204+'DOE25'!J222+'DOE25'!J240</f>
        <v>13003.869999999999</v>
      </c>
      <c r="H7" s="53">
        <f>'DOE25'!K204+'DOE25'!K222+'DOE25'!K240</f>
        <v>0</v>
      </c>
      <c r="I7" s="255"/>
    </row>
    <row r="8" spans="1:9" x14ac:dyDescent="0.2">
      <c r="A8" s="32">
        <v>2300</v>
      </c>
      <c r="B8" t="s">
        <v>797</v>
      </c>
      <c r="C8" s="274">
        <f t="shared" si="0"/>
        <v>294095.98</v>
      </c>
      <c r="D8" s="242"/>
      <c r="E8" s="20">
        <f>'DOE25'!L205+'DOE25'!L223+'DOE25'!L241-F8-G8-H8-D9-D11</f>
        <v>286348.74</v>
      </c>
      <c r="F8" s="243"/>
      <c r="G8" s="53">
        <f>'DOE25'!J205+'DOE25'!J223+'DOE25'!J241</f>
        <v>4112.33</v>
      </c>
      <c r="H8" s="53">
        <f>'DOE25'!K205+'DOE25'!K223+'DOE25'!K241</f>
        <v>3634.91</v>
      </c>
      <c r="I8" s="255"/>
    </row>
    <row r="9" spans="1:9" ht="14.25" x14ac:dyDescent="0.2">
      <c r="A9" s="32">
        <v>2310</v>
      </c>
      <c r="B9" s="184" t="s">
        <v>888</v>
      </c>
      <c r="C9" s="274">
        <f t="shared" si="0"/>
        <v>31661.1</v>
      </c>
      <c r="D9" s="243">
        <v>31661.1</v>
      </c>
      <c r="E9" s="242"/>
      <c r="F9" s="252"/>
      <c r="G9" s="252"/>
      <c r="H9" s="252"/>
      <c r="I9" s="255"/>
    </row>
    <row r="10" spans="1:9" ht="14.25" x14ac:dyDescent="0.2">
      <c r="A10" s="32">
        <v>2317</v>
      </c>
      <c r="B10" s="184" t="s">
        <v>889</v>
      </c>
      <c r="C10" s="274">
        <f t="shared" si="0"/>
        <v>9500</v>
      </c>
      <c r="D10" s="242"/>
      <c r="E10" s="243">
        <v>9500</v>
      </c>
      <c r="F10" s="252"/>
      <c r="G10" s="252"/>
      <c r="H10" s="252"/>
      <c r="I10" s="255"/>
    </row>
    <row r="11" spans="1:9" ht="14.25" x14ac:dyDescent="0.2">
      <c r="A11" s="32">
        <v>2321</v>
      </c>
      <c r="B11" s="184" t="s">
        <v>890</v>
      </c>
      <c r="C11" s="274">
        <f t="shared" si="0"/>
        <v>78639.59</v>
      </c>
      <c r="D11" s="243">
        <v>78639.59</v>
      </c>
      <c r="E11" s="242"/>
      <c r="F11" s="252"/>
      <c r="G11" s="252"/>
      <c r="H11" s="252"/>
      <c r="I11" s="255"/>
    </row>
    <row r="12" spans="1:9" x14ac:dyDescent="0.2">
      <c r="A12" s="32">
        <v>2400</v>
      </c>
      <c r="B12" t="s">
        <v>711</v>
      </c>
      <c r="C12" s="274">
        <f t="shared" si="0"/>
        <v>677630.1399999999</v>
      </c>
      <c r="D12" s="20">
        <f>'DOE25'!L206+'DOE25'!L224+'DOE25'!L242-F12-G12-H12</f>
        <v>674284.23</v>
      </c>
      <c r="E12" s="242"/>
      <c r="F12" s="243"/>
      <c r="G12" s="53">
        <f>'DOE25'!J206+'DOE25'!J224+'DOE25'!J242</f>
        <v>2112.58</v>
      </c>
      <c r="H12" s="53">
        <f>'DOE25'!K206+'DOE25'!K224+'DOE25'!K242</f>
        <v>1233.33</v>
      </c>
      <c r="I12" s="255"/>
    </row>
    <row r="13" spans="1:9" x14ac:dyDescent="0.2">
      <c r="A13" s="32">
        <v>2500</v>
      </c>
      <c r="B13" t="s">
        <v>798</v>
      </c>
      <c r="C13" s="274">
        <f t="shared" si="0"/>
        <v>307.83</v>
      </c>
      <c r="D13" s="242"/>
      <c r="E13" s="20">
        <f>'DOE25'!L207+'DOE25'!L225+'DOE25'!L243-F13-G13-H13</f>
        <v>0</v>
      </c>
      <c r="F13" s="243"/>
      <c r="G13" s="53">
        <f>'DOE25'!J207+'DOE25'!J225+'DOE25'!J243</f>
        <v>0</v>
      </c>
      <c r="H13" s="53">
        <f>'DOE25'!K207+'DOE25'!K225+'DOE25'!K243</f>
        <v>307.83</v>
      </c>
      <c r="I13" s="255"/>
    </row>
    <row r="14" spans="1:9" x14ac:dyDescent="0.2">
      <c r="A14" s="32">
        <v>2600</v>
      </c>
      <c r="B14" t="s">
        <v>819</v>
      </c>
      <c r="C14" s="274">
        <f t="shared" si="0"/>
        <v>746756.52</v>
      </c>
      <c r="D14" s="20">
        <f>'DOE25'!L208+'DOE25'!L226+'DOE25'!L244-F14-G14-H14</f>
        <v>737433.47000000009</v>
      </c>
      <c r="E14" s="242"/>
      <c r="F14" s="243"/>
      <c r="G14" s="53">
        <f>'DOE25'!J208+'DOE25'!J226+'DOE25'!J244</f>
        <v>1306.58</v>
      </c>
      <c r="H14" s="53">
        <f>'DOE25'!K208+'DOE25'!K226+'DOE25'!K244</f>
        <v>8016.47</v>
      </c>
      <c r="I14" s="255"/>
    </row>
    <row r="15" spans="1:9" x14ac:dyDescent="0.2">
      <c r="A15" s="32">
        <v>2700</v>
      </c>
      <c r="B15" t="s">
        <v>799</v>
      </c>
      <c r="C15" s="274">
        <f t="shared" si="0"/>
        <v>614733.12000000011</v>
      </c>
      <c r="D15" s="20">
        <f>'DOE25'!L209+'DOE25'!L227+'DOE25'!L245-F15-G15-H15</f>
        <v>57372.300000000163</v>
      </c>
      <c r="E15" s="242"/>
      <c r="F15" s="243">
        <v>557360.81999999995</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6850</v>
      </c>
      <c r="D22" s="242"/>
      <c r="E22" s="242"/>
      <c r="F22" s="242"/>
      <c r="G22" s="53">
        <f>'DOE25'!L256+'DOE25'!L337</f>
        <v>6850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37100</v>
      </c>
      <c r="D25" s="242"/>
      <c r="E25" s="242"/>
      <c r="F25" s="254"/>
      <c r="G25" s="252"/>
      <c r="H25" s="252"/>
      <c r="I25" s="253">
        <f>'DOE25'!L261+'DOE25'!L262+'DOE25'!L342+'DOE25'!L343</f>
        <v>37100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138971.44999999995</v>
      </c>
      <c r="D29" s="282">
        <f>'DOE25'!L359+'DOE25'!L360+'DOE25'!L361-'DOE25'!I368-F29-G29-H29</f>
        <v>118713.11999999995</v>
      </c>
      <c r="E29" s="242"/>
      <c r="F29" s="243"/>
      <c r="G29" s="53">
        <f>'DOE25'!J359+'DOE25'!J360+'DOE25'!J361</f>
        <v>20083.330000000002</v>
      </c>
      <c r="H29" s="53">
        <f>'DOE25'!K359+'DOE25'!K360+'DOE25'!K361</f>
        <v>175</v>
      </c>
      <c r="I29" s="255"/>
    </row>
    <row r="30" spans="1:9" x14ac:dyDescent="0.2">
      <c r="A30" s="32"/>
      <c r="C30" s="275"/>
      <c r="D30" s="20"/>
      <c r="E30" s="279"/>
      <c r="F30" s="269"/>
      <c r="G30" s="53"/>
      <c r="H30" s="53"/>
      <c r="I30" s="255"/>
    </row>
    <row r="31" spans="1:9" x14ac:dyDescent="0.2">
      <c r="A31" s="32" t="s">
        <v>818</v>
      </c>
      <c r="B31" t="s">
        <v>817</v>
      </c>
      <c r="C31" s="274">
        <f>SUM(D31:I31)</f>
        <v>328442.02999999997</v>
      </c>
      <c r="D31" s="20">
        <f>'DOE25'!L291+'DOE25'!L310+'DOE25'!L329+'DOE25'!L334+'DOE25'!L335+'DOE25'!L336-F31-G31-H31</f>
        <v>289719.53999999998</v>
      </c>
      <c r="E31" s="242"/>
      <c r="F31" s="243"/>
      <c r="G31" s="53">
        <f>'DOE25'!J291+'DOE25'!J310+'DOE25'!J329+'DOE25'!J334+'DOE25'!J335+'DOE25'!J336</f>
        <v>38722.49</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8490924.6600000001</v>
      </c>
      <c r="E33" s="244">
        <f t="shared" si="1"/>
        <v>295848.74</v>
      </c>
      <c r="F33" s="244">
        <f t="shared" si="1"/>
        <v>1153093.45</v>
      </c>
      <c r="G33" s="244">
        <f t="shared" si="1"/>
        <v>91813.86</v>
      </c>
      <c r="H33" s="244">
        <f t="shared" si="1"/>
        <v>14353.04</v>
      </c>
      <c r="I33" s="244">
        <f t="shared" si="1"/>
        <v>37100</v>
      </c>
    </row>
    <row r="35" spans="1:9" ht="12" thickBot="1" x14ac:dyDescent="0.25">
      <c r="B35" s="250" t="s">
        <v>831</v>
      </c>
      <c r="D35" s="251">
        <f>E33</f>
        <v>295848.74</v>
      </c>
      <c r="E35" s="247"/>
      <c r="F35" s="328" t="s">
        <v>1617</v>
      </c>
      <c r="G35" s="329"/>
      <c r="H35" s="329"/>
      <c r="I35" s="329"/>
    </row>
    <row r="36" spans="1:9" ht="12" thickTop="1" x14ac:dyDescent="0.2">
      <c r="B36" t="s">
        <v>810</v>
      </c>
      <c r="D36" s="20">
        <f>D33</f>
        <v>8490924.6600000001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Brookline</v>
      </c>
      <c r="B2" s="126">
        <f>'DOE25'!B2</f>
        <v>71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9890712.3000000007</v>
      </c>
      <c r="G4" s="299">
        <f>'DOE25'!L212+'DOE25'!L291</f>
        <v>9890712.2999999989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Captain Samuel Douglass Academy</v>
      </c>
      <c r="B6" s="300">
        <f>IFERROR(VLOOKUP(A6,'School Tables'!$C$3:$D$365,2,FALSE),"")</f>
        <v>27765</v>
      </c>
      <c r="C6" s="293" t="str">
        <f>IFERROR(INDEX('School Tables'!$B$3:$B$365,MATCH('School Level Expenditures'!B6,'School Tables'!$D$3:$D$365,0)),"")</f>
        <v>Brookline</v>
      </c>
      <c r="D6" s="290">
        <f>4116706.54+7.79</f>
        <v>4116714.33</v>
      </c>
      <c r="E6" s="290">
        <f>248874.14+4596.22</f>
        <v>253470.36000000002</v>
      </c>
      <c r="F6" s="303">
        <f t="shared" ref="F6:F20" si="0">D6+E6</f>
        <v>4370184.6900000004</v>
      </c>
      <c r="G6" s="293"/>
      <c r="H6" s="293"/>
      <c r="I6" s="384"/>
      <c r="N6"/>
    </row>
    <row r="7" spans="1:18" x14ac:dyDescent="0.2">
      <c r="A7" s="126" t="str" cm="1">
        <f t="array" ref="A7">IFERROR(INDEX('School Tables'!$A$4:$G$325,'School Tables'!$J5,3),"")</f>
        <v>Richard Maghakian Memorial School</v>
      </c>
      <c r="B7" s="300">
        <f>IFERROR(VLOOKUP(A7,'School Tables'!$C$3:$D$365,2,FALSE),"")</f>
        <v>21800</v>
      </c>
      <c r="C7" s="293" t="str">
        <f>IFERROR(INDEX('School Tables'!$B$3:$B$365,MATCH('School Level Expenditures'!B7,'School Tables'!$D$3:$D$365,0)),"")</f>
        <v>Brookline</v>
      </c>
      <c r="D7" s="290">
        <f>5456109.67+7.79</f>
        <v>5456117.46</v>
      </c>
      <c r="E7" s="290">
        <f>63242.19+1167.96</f>
        <v>64410.15</v>
      </c>
      <c r="F7" s="303">
        <f t="shared" si="0"/>
        <v>5520527.6100000003</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9572831.7899999991</v>
      </c>
      <c r="E21" s="338">
        <f>SUM(E5:E20)</f>
        <v>317880.51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Brookline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821956</v>
      </c>
      <c r="D8" s="95">
        <f>'DOE25'!G9</f>
        <v>3436.58</v>
      </c>
      <c r="E8" s="95">
        <f>'DOE25'!H9</f>
        <v>0</v>
      </c>
      <c r="F8" s="95">
        <f>'DOE25'!I9</f>
        <v>0</v>
      </c>
      <c r="G8" s="95">
        <f>'DOE25'!J9</f>
        <v>0</v>
      </c>
      <c r="H8" s="124">
        <f>SUM(C8:G8)</f>
        <v>825392.58</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-107288.13</v>
      </c>
      <c r="D11" s="95">
        <f>'DOE25'!G12</f>
        <v>138987.89000000001</v>
      </c>
      <c r="E11" s="95">
        <f>'DOE25'!H12</f>
        <v>48960.47</v>
      </c>
      <c r="F11" s="95">
        <f>'DOE25'!I12</f>
        <v>0</v>
      </c>
      <c r="G11" s="95">
        <f>'DOE25'!J12</f>
        <v>0</v>
      </c>
      <c r="H11" s="124">
        <f t="shared" si="0"/>
        <v>80660.23000000001</v>
      </c>
      <c r="I11" s="124"/>
    </row>
    <row r="12" spans="1:9" x14ac:dyDescent="0.2">
      <c r="A12" s="1" t="s">
        <v>143</v>
      </c>
      <c r="B12" s="6">
        <v>140</v>
      </c>
      <c r="C12" s="95">
        <f>'DOE25'!F13</f>
        <v>354723.17000000004</v>
      </c>
      <c r="D12" s="95">
        <f>'DOE25'!G13</f>
        <v>122680.3</v>
      </c>
      <c r="E12" s="95">
        <f>'DOE25'!H13</f>
        <v>94402.9</v>
      </c>
      <c r="F12" s="95">
        <f>'DOE25'!I13</f>
        <v>0</v>
      </c>
      <c r="G12" s="95">
        <f>'DOE25'!J13</f>
        <v>316515.02</v>
      </c>
      <c r="H12" s="124">
        <f t="shared" si="0"/>
        <v>888321.39</v>
      </c>
      <c r="I12" s="124"/>
    </row>
    <row r="13" spans="1:9" x14ac:dyDescent="0.2">
      <c r="A13" s="1" t="s">
        <v>144</v>
      </c>
      <c r="B13" s="6">
        <v>150</v>
      </c>
      <c r="C13" s="95">
        <f>'DOE25'!F14</f>
        <v>143.85</v>
      </c>
      <c r="D13" s="95">
        <f>'DOE25'!G14</f>
        <v>0</v>
      </c>
      <c r="E13" s="95">
        <f>'DOE25'!H14</f>
        <v>0</v>
      </c>
      <c r="F13" s="95">
        <f>'DOE25'!I14</f>
        <v>0</v>
      </c>
      <c r="G13" s="95">
        <f>'DOE25'!J14</f>
        <v>0</v>
      </c>
      <c r="H13" s="124">
        <f t="shared" si="0"/>
        <v>143.85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10858.99</v>
      </c>
      <c r="E15" s="95">
        <f>'DOE25'!H16</f>
        <v>0</v>
      </c>
      <c r="F15" s="95">
        <f>'DOE25'!I16</f>
        <v>0</v>
      </c>
      <c r="G15" s="24" t="s">
        <v>288</v>
      </c>
      <c r="H15" s="124">
        <f t="shared" si="0"/>
        <v>10858.99</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1069534.8900000001</v>
      </c>
      <c r="D18" s="41">
        <f>SUM(D8:D17)</f>
        <v>275963.76</v>
      </c>
      <c r="E18" s="41">
        <f>SUM(E8:E17)</f>
        <v>143363.37</v>
      </c>
      <c r="F18" s="41">
        <f>SUM(F8:F17)</f>
        <v>0</v>
      </c>
      <c r="G18" s="41">
        <f>SUM(G8:G17)</f>
        <v>316515.02</v>
      </c>
      <c r="H18" s="41">
        <f t="shared" si="0"/>
        <v>1805377.04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89615.81</v>
      </c>
      <c r="F21" s="95">
        <f>'DOE25'!I22</f>
        <v>0</v>
      </c>
      <c r="G21" s="95">
        <f>'DOE25'!J22</f>
        <v>-8947.7900000000009</v>
      </c>
      <c r="H21" s="124">
        <f t="shared" ref="H21:H31" si="1">SUM(C21:G21)</f>
        <v>80668.01999999999</v>
      </c>
      <c r="I21" s="124"/>
    </row>
    <row r="22" spans="1:9" x14ac:dyDescent="0.2">
      <c r="A22" s="1" t="s">
        <v>151</v>
      </c>
      <c r="B22" s="6">
        <v>410</v>
      </c>
      <c r="C22" s="95">
        <f>'DOE25'!F23</f>
        <v>230409.06</v>
      </c>
      <c r="D22" s="95">
        <f>'DOE25'!G23</f>
        <v>20570.490000000002</v>
      </c>
      <c r="E22" s="95">
        <f>'DOE25'!H23</f>
        <v>1007.79</v>
      </c>
      <c r="F22" s="95">
        <f>'DOE25'!I23</f>
        <v>0</v>
      </c>
      <c r="G22" s="95">
        <f>'DOE25'!J23</f>
        <v>0</v>
      </c>
      <c r="H22" s="124">
        <f t="shared" si="1"/>
        <v>251987.34</v>
      </c>
      <c r="I22" s="124"/>
    </row>
    <row r="23" spans="1:9" x14ac:dyDescent="0.2">
      <c r="A23" s="1" t="s">
        <v>152</v>
      </c>
      <c r="B23" s="6">
        <v>420</v>
      </c>
      <c r="C23" s="95">
        <f>'DOE25'!F24</f>
        <v>28107.560000000005</v>
      </c>
      <c r="D23" s="95">
        <f>'DOE25'!G24</f>
        <v>20000</v>
      </c>
      <c r="E23" s="95">
        <f>'DOE25'!H24</f>
        <v>3766.3</v>
      </c>
      <c r="F23" s="95">
        <f>'DOE25'!I24</f>
        <v>0</v>
      </c>
      <c r="G23" s="95">
        <f>'DOE25'!J24</f>
        <v>0</v>
      </c>
      <c r="H23" s="124">
        <f t="shared" si="1"/>
        <v>51873.860000000008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25974.28</v>
      </c>
      <c r="D27" s="95">
        <f>'DOE25'!G28</f>
        <v>1147.19</v>
      </c>
      <c r="E27" s="95">
        <f>'DOE25'!H28</f>
        <v>0</v>
      </c>
      <c r="F27" s="95">
        <f>'DOE25'!I28</f>
        <v>0</v>
      </c>
      <c r="G27" s="24" t="s">
        <v>288</v>
      </c>
      <c r="H27" s="124">
        <f t="shared" si="1"/>
        <v>27121.469999999998</v>
      </c>
      <c r="I27" s="124"/>
    </row>
    <row r="28" spans="1:9" x14ac:dyDescent="0.2">
      <c r="A28" s="1" t="s">
        <v>157</v>
      </c>
      <c r="B28" s="6">
        <v>470</v>
      </c>
      <c r="C28" s="95">
        <f>'DOE25'!F29</f>
        <v>4879.6000000000004</v>
      </c>
      <c r="D28" s="95">
        <f>'DOE25'!G29</f>
        <v>0</v>
      </c>
      <c r="E28" s="95">
        <f>'DOE25'!H29</f>
        <v>0</v>
      </c>
      <c r="F28" s="95">
        <f>'DOE25'!I29</f>
        <v>0</v>
      </c>
      <c r="G28" s="24" t="s">
        <v>288</v>
      </c>
      <c r="H28" s="124">
        <f t="shared" si="1"/>
        <v>4879.6000000000004</v>
      </c>
      <c r="I28" s="124"/>
    </row>
    <row r="29" spans="1:9" x14ac:dyDescent="0.2">
      <c r="A29" s="1" t="s">
        <v>158</v>
      </c>
      <c r="B29" s="6">
        <v>480</v>
      </c>
      <c r="C29" s="95">
        <f>'DOE25'!F30</f>
        <v>0</v>
      </c>
      <c r="D29" s="95">
        <f>'DOE25'!G30</f>
        <v>18245.12</v>
      </c>
      <c r="E29" s="95">
        <f>'DOE25'!H30</f>
        <v>0</v>
      </c>
      <c r="F29" s="95">
        <f>'DOE25'!I30</f>
        <v>0</v>
      </c>
      <c r="G29" s="24" t="s">
        <v>288</v>
      </c>
      <c r="H29" s="124">
        <f t="shared" si="1"/>
        <v>18245.12</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289370.5</v>
      </c>
      <c r="D31" s="41">
        <f>SUM(D21:D30)</f>
        <v>59962.8</v>
      </c>
      <c r="E31" s="41">
        <f>SUM(E21:E30)</f>
        <v>94389.9</v>
      </c>
      <c r="F31" s="41">
        <f>SUM(F21:F30)</f>
        <v>0</v>
      </c>
      <c r="G31" s="41">
        <f>SUM(G21:G30)</f>
        <v>-8947.7900000000009</v>
      </c>
      <c r="H31" s="41">
        <f t="shared" si="1"/>
        <v>434775.41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10859</v>
      </c>
      <c r="E34" s="95">
        <f>'DOE25'!H35</f>
        <v>0</v>
      </c>
      <c r="F34" s="95">
        <f>'DOE25'!I35</f>
        <v>0</v>
      </c>
      <c r="G34" s="24" t="s">
        <v>288</v>
      </c>
      <c r="H34" s="124">
        <f t="shared" ref="H34:H51" si="2">SUM(C34:G34)</f>
        <v>10859</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35429.94</v>
      </c>
      <c r="E42" s="95">
        <f>'DOE25'!H43</f>
        <v>0</v>
      </c>
      <c r="F42" s="95">
        <f>'DOE25'!I43</f>
        <v>0</v>
      </c>
      <c r="G42" s="95">
        <f>'DOE25'!J43</f>
        <v>0</v>
      </c>
      <c r="H42" s="124">
        <f t="shared" si="2"/>
        <v>35429.94</v>
      </c>
      <c r="I42" s="124"/>
    </row>
    <row r="43" spans="1:9" x14ac:dyDescent="0.2">
      <c r="A43" s="1" t="s">
        <v>863</v>
      </c>
      <c r="B43" s="6">
        <v>755</v>
      </c>
      <c r="C43" s="95">
        <f>'DOE25'!F44</f>
        <v>100000</v>
      </c>
      <c r="D43" s="95">
        <f>'DOE25'!G44</f>
        <v>20187.87</v>
      </c>
      <c r="E43" s="95">
        <f>'DOE25'!H44</f>
        <v>0</v>
      </c>
      <c r="F43" s="95">
        <f>'DOE25'!I44</f>
        <v>0</v>
      </c>
      <c r="G43" s="24" t="s">
        <v>288</v>
      </c>
      <c r="H43" s="124">
        <f t="shared" si="2"/>
        <v>120187.87</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140161</v>
      </c>
      <c r="D45" s="24" t="s">
        <v>288</v>
      </c>
      <c r="E45" s="24" t="s">
        <v>288</v>
      </c>
      <c r="F45" s="24" t="s">
        <v>288</v>
      </c>
      <c r="G45" s="24" t="s">
        <v>288</v>
      </c>
      <c r="H45" s="124">
        <f t="shared" si="2"/>
        <v>140161</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84895</v>
      </c>
      <c r="D47" s="95">
        <f>'DOE25'!G48</f>
        <v>149524.15</v>
      </c>
      <c r="E47" s="95">
        <f>'DOE25'!H48</f>
        <v>24427.45</v>
      </c>
      <c r="F47" s="95">
        <f>'DOE25'!I48</f>
        <v>0</v>
      </c>
      <c r="G47" s="95">
        <f>'DOE25'!J48</f>
        <v>325462.81</v>
      </c>
      <c r="H47" s="124">
        <f t="shared" si="2"/>
        <v>584309.41</v>
      </c>
      <c r="I47" s="124"/>
    </row>
    <row r="48" spans="1:9" x14ac:dyDescent="0.2">
      <c r="A48" s="1" t="s">
        <v>882</v>
      </c>
      <c r="B48" s="6">
        <v>753</v>
      </c>
      <c r="C48" s="95">
        <f>'DOE25'!F49</f>
        <v>0</v>
      </c>
      <c r="D48" s="95">
        <f>'DOE25'!G49</f>
        <v>0</v>
      </c>
      <c r="E48" s="95">
        <f>'DOE25'!H49</f>
        <v>24546.02</v>
      </c>
      <c r="F48" s="95">
        <f>'DOE25'!I49</f>
        <v>0</v>
      </c>
      <c r="G48" s="95">
        <f>'DOE25'!J49</f>
        <v>0</v>
      </c>
      <c r="H48" s="124">
        <f t="shared" si="2"/>
        <v>24546.02</v>
      </c>
      <c r="I48" s="124"/>
    </row>
    <row r="49" spans="1:9" ht="12" thickBot="1" x14ac:dyDescent="0.25">
      <c r="A49" s="29" t="s">
        <v>883</v>
      </c>
      <c r="B49" s="71">
        <v>770</v>
      </c>
      <c r="C49" s="95">
        <f>'DOE25'!F50</f>
        <v>455108.3899999999</v>
      </c>
      <c r="D49" s="24" t="s">
        <v>288</v>
      </c>
      <c r="E49" s="24" t="s">
        <v>288</v>
      </c>
      <c r="F49" s="24" t="s">
        <v>288</v>
      </c>
      <c r="G49" s="24" t="s">
        <v>288</v>
      </c>
      <c r="H49" s="124">
        <f t="shared" si="2"/>
        <v>455108.3899999999</v>
      </c>
      <c r="I49" s="124"/>
    </row>
    <row r="50" spans="1:9" ht="12.75" thickTop="1" thickBot="1" x14ac:dyDescent="0.25">
      <c r="A50" s="38" t="s">
        <v>884</v>
      </c>
      <c r="B50" s="48"/>
      <c r="C50" s="41">
        <f>SUM(C34:C49)</f>
        <v>780164.3899999999</v>
      </c>
      <c r="D50" s="41">
        <f>SUM(D34:D49)</f>
        <v>216000.96</v>
      </c>
      <c r="E50" s="41">
        <f>SUM(E34:E49)</f>
        <v>48973.47</v>
      </c>
      <c r="F50" s="41">
        <f>SUM(F34:F49)</f>
        <v>0</v>
      </c>
      <c r="G50" s="41">
        <f>SUM(G34:G49)</f>
        <v>325462.81</v>
      </c>
      <c r="H50" s="41">
        <f t="shared" si="2"/>
        <v>1370601.63</v>
      </c>
      <c r="I50" s="124"/>
    </row>
    <row r="51" spans="1:9" ht="12" thickTop="1" x14ac:dyDescent="0.2">
      <c r="A51" s="38" t="s">
        <v>885</v>
      </c>
      <c r="B51" s="2"/>
      <c r="C51" s="41">
        <f>C50+C31</f>
        <v>1069534.8899999999</v>
      </c>
      <c r="D51" s="41">
        <f>D50+D31</f>
        <v>275963.76</v>
      </c>
      <c r="E51" s="41">
        <f>E50+E31</f>
        <v>143363.37</v>
      </c>
      <c r="F51" s="41">
        <f>F50+F31</f>
        <v>0</v>
      </c>
      <c r="G51" s="41">
        <f>G50+G31</f>
        <v>316515.02</v>
      </c>
      <c r="H51" s="41">
        <f t="shared" si="2"/>
        <v>1805377.04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6388822.0700000003</v>
      </c>
      <c r="D56" s="95">
        <f>'DOE25'!G60</f>
        <v>0</v>
      </c>
      <c r="E56" s="95">
        <f>'DOE25'!H60</f>
        <v>0</v>
      </c>
      <c r="F56" s="95">
        <f>'DOE25'!I60</f>
        <v>0</v>
      </c>
      <c r="G56" s="95">
        <f>'DOE25'!J60</f>
        <v>0</v>
      </c>
      <c r="H56" s="124">
        <f t="shared" ref="H56:H63" si="3">SUM(C56:G56)</f>
        <v>6388822.0700000003</v>
      </c>
      <c r="I56"/>
    </row>
    <row r="57" spans="1:9" x14ac:dyDescent="0.2">
      <c r="A57" s="1" t="s">
        <v>164</v>
      </c>
      <c r="B57" s="6" t="s">
        <v>165</v>
      </c>
      <c r="C57" s="95">
        <f>'DOE25'!F79</f>
        <v>21303.96</v>
      </c>
      <c r="D57" s="24" t="s">
        <v>288</v>
      </c>
      <c r="E57" s="95">
        <f>'DOE25'!H79</f>
        <v>0</v>
      </c>
      <c r="F57" s="24" t="s">
        <v>288</v>
      </c>
      <c r="G57" s="24" t="s">
        <v>288</v>
      </c>
      <c r="H57" s="124">
        <f t="shared" si="3"/>
        <v>21303.96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1976.75</v>
      </c>
      <c r="D59" s="95">
        <f>'DOE25'!G96</f>
        <v>0</v>
      </c>
      <c r="E59" s="95">
        <f>'DOE25'!H96</f>
        <v>0</v>
      </c>
      <c r="F59" s="95">
        <f>'DOE25'!I96</f>
        <v>0</v>
      </c>
      <c r="G59" s="95">
        <f>'DOE25'!J96</f>
        <v>28.29</v>
      </c>
      <c r="H59" s="124">
        <f t="shared" si="3"/>
        <v>2005.04</v>
      </c>
      <c r="I59"/>
    </row>
    <row r="60" spans="1:9" x14ac:dyDescent="0.2">
      <c r="A60" s="1" t="s">
        <v>170</v>
      </c>
      <c r="B60" s="118" t="s">
        <v>171</v>
      </c>
      <c r="C60" s="24" t="s">
        <v>288</v>
      </c>
      <c r="D60" s="95">
        <f>'DOE25'!G97</f>
        <v>5215.4599999999991</v>
      </c>
      <c r="E60" s="24" t="s">
        <v>288</v>
      </c>
      <c r="F60" s="24" t="s">
        <v>288</v>
      </c>
      <c r="G60" s="24" t="s">
        <v>288</v>
      </c>
      <c r="H60" s="124">
        <f t="shared" si="3"/>
        <v>5215.4599999999991</v>
      </c>
      <c r="I60"/>
    </row>
    <row r="61" spans="1:9" ht="12" thickBot="1" x14ac:dyDescent="0.25">
      <c r="A61" s="1" t="s">
        <v>172</v>
      </c>
      <c r="B61" s="118" t="s">
        <v>173</v>
      </c>
      <c r="C61" s="95">
        <f>SUM('DOE25'!F98:F110)</f>
        <v>106721.60000000001</v>
      </c>
      <c r="D61" s="95">
        <f>SUM('DOE25'!G98:G110)</f>
        <v>0</v>
      </c>
      <c r="E61" s="95">
        <f>SUM('DOE25'!H98:H110)</f>
        <v>6924.55</v>
      </c>
      <c r="F61" s="95">
        <f>SUM('DOE25'!I98:I110)</f>
        <v>0</v>
      </c>
      <c r="G61" s="95">
        <f>SUM('DOE25'!J98:J110)</f>
        <v>5437.5</v>
      </c>
      <c r="H61" s="124">
        <f t="shared" si="3"/>
        <v>119083.65000000001</v>
      </c>
      <c r="I61"/>
    </row>
    <row r="62" spans="1:9" ht="12.75" thickTop="1" thickBot="1" x14ac:dyDescent="0.25">
      <c r="A62" s="29" t="s">
        <v>174</v>
      </c>
      <c r="B62" s="6"/>
      <c r="C62" s="130">
        <f>SUM(C57:C61)</f>
        <v>130002.31</v>
      </c>
      <c r="D62" s="130">
        <f>SUM(D57:D61)</f>
        <v>5215.4599999999991</v>
      </c>
      <c r="E62" s="130">
        <f>SUM(E57:E61)</f>
        <v>6924.55</v>
      </c>
      <c r="F62" s="130">
        <f>SUM(F57:F61)</f>
        <v>0</v>
      </c>
      <c r="G62" s="130">
        <f>SUM(G57:G61)</f>
        <v>5465.79</v>
      </c>
      <c r="H62" s="124">
        <f t="shared" si="3"/>
        <v>147608.10999999999</v>
      </c>
      <c r="I62"/>
    </row>
    <row r="63" spans="1:9" ht="12" thickTop="1" x14ac:dyDescent="0.2">
      <c r="A63" s="29" t="s">
        <v>175</v>
      </c>
      <c r="B63" s="6"/>
      <c r="C63" s="22">
        <f>C56+C62</f>
        <v>6518824.3799999999</v>
      </c>
      <c r="D63" s="22">
        <f>D56+D62</f>
        <v>5215.4599999999991</v>
      </c>
      <c r="E63" s="22">
        <f>E56+E62</f>
        <v>6924.55</v>
      </c>
      <c r="F63" s="22">
        <f>F56+F62</f>
        <v>0</v>
      </c>
      <c r="G63" s="22">
        <f>G56+G62</f>
        <v>5465.79</v>
      </c>
      <c r="H63" s="124">
        <f t="shared" si="3"/>
        <v>6536430.1799999997</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2178665.9300000002</v>
      </c>
      <c r="D66" s="24" t="s">
        <v>288</v>
      </c>
      <c r="E66" s="24" t="s">
        <v>288</v>
      </c>
      <c r="F66" s="24" t="s">
        <v>288</v>
      </c>
      <c r="G66" s="24" t="s">
        <v>288</v>
      </c>
      <c r="H66" s="124">
        <f t="shared" ref="H66:H81" si="4">SUM(C66:G66)</f>
        <v>2178665.9300000002</v>
      </c>
      <c r="I66"/>
    </row>
    <row r="67" spans="1:9" x14ac:dyDescent="0.2">
      <c r="A67" s="1" t="s">
        <v>770</v>
      </c>
      <c r="B67" s="6">
        <v>3112</v>
      </c>
      <c r="C67" s="95">
        <f>'DOE25'!F118</f>
        <v>619233.93000000005</v>
      </c>
      <c r="D67" s="24"/>
      <c r="E67" s="24"/>
      <c r="F67" s="24"/>
      <c r="G67" s="24"/>
      <c r="H67" s="124">
        <f t="shared" si="4"/>
        <v>619233.93000000005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2797899.8600000003</v>
      </c>
      <c r="D70" s="139">
        <f>D69</f>
        <v>0</v>
      </c>
      <c r="E70" s="139">
        <f>E69</f>
        <v>0</v>
      </c>
      <c r="F70" s="139">
        <f>F69</f>
        <v>0</v>
      </c>
      <c r="G70" s="139">
        <f>G69</f>
        <v>0</v>
      </c>
      <c r="H70" s="124">
        <f t="shared" si="4"/>
        <v>2797899.8600000003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131661.69</v>
      </c>
      <c r="D74" s="24"/>
      <c r="E74" s="24"/>
      <c r="F74" s="24"/>
      <c r="G74" s="24"/>
      <c r="H74" s="124">
        <f t="shared" si="4"/>
        <v>131661.69</v>
      </c>
      <c r="I74"/>
    </row>
    <row r="75" spans="1:9" x14ac:dyDescent="0.2">
      <c r="A75" s="1" t="s">
        <v>256</v>
      </c>
      <c r="B75" s="6">
        <v>3230</v>
      </c>
      <c r="C75" s="95">
        <f>'DOE25'!F126</f>
        <v>151104.89000000001</v>
      </c>
      <c r="D75" s="24" t="s">
        <v>288</v>
      </c>
      <c r="E75" s="24" t="s">
        <v>288</v>
      </c>
      <c r="F75" s="24" t="s">
        <v>288</v>
      </c>
      <c r="G75" s="24" t="s">
        <v>288</v>
      </c>
      <c r="H75" s="124">
        <f t="shared" si="4"/>
        <v>151104.89000000001</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7363.72</v>
      </c>
      <c r="E77" s="95">
        <f>SUM('DOE25'!H131:H135)</f>
        <v>5764.18</v>
      </c>
      <c r="F77" s="95">
        <f>SUM('DOE25'!I131:I135)</f>
        <v>0</v>
      </c>
      <c r="G77" s="95">
        <f>SUM('DOE25'!J131:J135)</f>
        <v>0</v>
      </c>
      <c r="H77" s="124">
        <f t="shared" si="4"/>
        <v>13127.900000000001</v>
      </c>
      <c r="I77"/>
    </row>
    <row r="78" spans="1:9" ht="12.75" thickTop="1" thickBot="1" x14ac:dyDescent="0.25">
      <c r="A78" s="29" t="s">
        <v>259</v>
      </c>
      <c r="B78" s="6"/>
      <c r="C78" s="130">
        <f>SUM(C72:C77)</f>
        <v>282766.58</v>
      </c>
      <c r="D78" s="130">
        <f>SUM(D72:D77)</f>
        <v>7363.72</v>
      </c>
      <c r="E78" s="130">
        <f>SUM(E72:E77)</f>
        <v>5764.18</v>
      </c>
      <c r="F78" s="130">
        <f>SUM(F72:F77)</f>
        <v>0</v>
      </c>
      <c r="G78" s="130">
        <f>SUM(G72:G77)</f>
        <v>0</v>
      </c>
      <c r="H78" s="124">
        <f t="shared" si="4"/>
        <v>295894.48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3080666.4400000004</v>
      </c>
      <c r="D81" s="130">
        <f>SUM(D79:D80)+D78+D70</f>
        <v>7363.72</v>
      </c>
      <c r="E81" s="130">
        <f>SUM(E79:E80)+E78+E70</f>
        <v>5764.18</v>
      </c>
      <c r="F81" s="130">
        <f>SUM(F79:F80)+F78+F70</f>
        <v>0</v>
      </c>
      <c r="G81" s="130">
        <f>SUM(G79:G80)+G78+G70</f>
        <v>0</v>
      </c>
      <c r="H81" s="130">
        <f t="shared" si="4"/>
        <v>3093794.3400000008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12484.23</v>
      </c>
      <c r="E85" s="95">
        <f>'DOE25'!H147</f>
        <v>0</v>
      </c>
      <c r="F85" s="95">
        <f>'DOE25'!I147</f>
        <v>0</v>
      </c>
      <c r="G85" s="24" t="s">
        <v>288</v>
      </c>
      <c r="H85" s="124">
        <f t="shared" ref="H85:H104" si="5">SUM(C85:G85)</f>
        <v>12484.23</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68348.23</v>
      </c>
      <c r="F87" s="95">
        <f>SUM('DOE25'!I149:I152)</f>
        <v>0</v>
      </c>
      <c r="G87" s="24" t="s">
        <v>288</v>
      </c>
      <c r="H87" s="124">
        <f t="shared" si="5"/>
        <v>68348.23</v>
      </c>
    </row>
    <row r="88" spans="1:9" x14ac:dyDescent="0.2">
      <c r="A88" s="287" t="s">
        <v>747</v>
      </c>
      <c r="B88" s="325" t="s">
        <v>184</v>
      </c>
      <c r="C88" s="326">
        <f>SUM('DOE25'!F153:F162)</f>
        <v>28523.26</v>
      </c>
      <c r="D88" s="326">
        <f>SUM('DOE25'!G153:G162)</f>
        <v>399096.82</v>
      </c>
      <c r="E88" s="326">
        <f>SUM('DOE25'!H153:H162)</f>
        <v>245980.39</v>
      </c>
      <c r="F88" s="326">
        <f>SUM('DOE25'!I153:I162)</f>
        <v>0</v>
      </c>
      <c r="G88" s="24" t="s">
        <v>288</v>
      </c>
      <c r="H88" s="124">
        <f t="shared" si="5"/>
        <v>673600.47</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28523.26</v>
      </c>
      <c r="D91" s="131">
        <f>SUM(D85:D90)</f>
        <v>411581.05</v>
      </c>
      <c r="E91" s="131">
        <f>SUM(E85:E90)</f>
        <v>314328.62</v>
      </c>
      <c r="F91" s="131">
        <f>SUM(F85:F90)</f>
        <v>0</v>
      </c>
      <c r="G91" s="24" t="s">
        <v>288</v>
      </c>
      <c r="H91" s="124">
        <f t="shared" si="5"/>
        <v>754432.92999999993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100000</v>
      </c>
      <c r="H96" s="124">
        <f t="shared" si="5"/>
        <v>100000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100000</v>
      </c>
      <c r="H103" s="86">
        <f t="shared" si="5"/>
        <v>100000</v>
      </c>
    </row>
    <row r="104" spans="1:8" ht="12.75" thickTop="1" thickBot="1" x14ac:dyDescent="0.25">
      <c r="A104" s="33" t="s">
        <v>761</v>
      </c>
      <c r="C104" s="86">
        <f>C63+C81+C91+C103</f>
        <v>9628014.0800000001</v>
      </c>
      <c r="D104" s="86">
        <f>D63+D81+D91+D103</f>
        <v>424160.23</v>
      </c>
      <c r="E104" s="86">
        <f>E63+E81+E91+E103</f>
        <v>327017.34999999998</v>
      </c>
      <c r="F104" s="86">
        <f>F63+F81+F91+F103</f>
        <v>0</v>
      </c>
      <c r="G104" s="86">
        <f>G63+G81+G103</f>
        <v>105465.79</v>
      </c>
      <c r="H104" s="86">
        <f t="shared" si="5"/>
        <v>10484657.449999999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3825861.3800000004</v>
      </c>
      <c r="D109" s="24" t="s">
        <v>288</v>
      </c>
      <c r="E109" s="95">
        <f>('DOE25'!L277)+('DOE25'!L296)+('DOE25'!L315)</f>
        <v>102201.08</v>
      </c>
      <c r="F109" s="24" t="s">
        <v>288</v>
      </c>
      <c r="G109" s="24" t="s">
        <v>288</v>
      </c>
      <c r="H109" s="124">
        <f t="shared" ref="H109:H115" si="6">SUM(C109:G109)</f>
        <v>3928062.4600000004</v>
      </c>
    </row>
    <row r="110" spans="1:8" x14ac:dyDescent="0.2">
      <c r="A110" t="s">
        <v>198</v>
      </c>
      <c r="B110" s="32" t="s">
        <v>199</v>
      </c>
      <c r="C110" s="95">
        <f>('DOE25'!L199)+('DOE25'!L217)+('DOE25'!L235)</f>
        <v>2291706.83</v>
      </c>
      <c r="D110" s="24" t="s">
        <v>288</v>
      </c>
      <c r="E110" s="95">
        <f>('DOE25'!L278)+('DOE25'!L297)+('DOE25'!L316)</f>
        <v>122558.47</v>
      </c>
      <c r="F110" s="24" t="s">
        <v>288</v>
      </c>
      <c r="G110" s="24" t="s">
        <v>288</v>
      </c>
      <c r="H110" s="124">
        <f t="shared" si="6"/>
        <v>2414265.3000000003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16438.59</v>
      </c>
      <c r="F112" s="24" t="s">
        <v>288</v>
      </c>
      <c r="G112" s="24" t="s">
        <v>288</v>
      </c>
      <c r="H112" s="124">
        <f t="shared" si="6"/>
        <v>16438.59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6117568.2100000009</v>
      </c>
      <c r="D115" s="86">
        <f>SUM(D109:D114)</f>
        <v>0</v>
      </c>
      <c r="E115" s="86">
        <f>SUM(E109:E114)</f>
        <v>241198.13999999998</v>
      </c>
      <c r="F115" s="86">
        <f>SUM(F109:F114)</f>
        <v>0</v>
      </c>
      <c r="G115" s="86">
        <f>SUM(G109:G114)</f>
        <v>0</v>
      </c>
      <c r="H115" s="86">
        <f t="shared" si="6"/>
        <v>6358766.3500000006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798063.1</v>
      </c>
      <c r="D118" s="24" t="s">
        <v>288</v>
      </c>
      <c r="E118" s="95">
        <f>+('DOE25'!L282)+('DOE25'!L301)+('DOE25'!L320)</f>
        <v>0</v>
      </c>
      <c r="F118" s="24" t="s">
        <v>288</v>
      </c>
      <c r="G118" s="24" t="s">
        <v>288</v>
      </c>
      <c r="H118" s="124">
        <f t="shared" ref="H118:H145" si="7">SUM(C118:G118)</f>
        <v>798063.1</v>
      </c>
    </row>
    <row r="119" spans="1:8" x14ac:dyDescent="0.2">
      <c r="A119" t="s">
        <v>208</v>
      </c>
      <c r="B119" s="32" t="s">
        <v>209</v>
      </c>
      <c r="C119" s="95">
        <f>('DOE25'!L204)+('DOE25'!L222)+('DOE25'!L240)</f>
        <v>202814.67999999996</v>
      </c>
      <c r="D119" s="24" t="s">
        <v>288</v>
      </c>
      <c r="E119" s="95">
        <f>+('DOE25'!L283)+('DOE25'!L302)+('DOE25'!L321)</f>
        <v>59633.81</v>
      </c>
      <c r="F119" s="24" t="s">
        <v>288</v>
      </c>
      <c r="G119" s="24" t="s">
        <v>288</v>
      </c>
      <c r="H119" s="124">
        <f t="shared" si="7"/>
        <v>262448.49</v>
      </c>
    </row>
    <row r="120" spans="1:8" x14ac:dyDescent="0.2">
      <c r="A120" t="s">
        <v>210</v>
      </c>
      <c r="B120" s="32" t="s">
        <v>211</v>
      </c>
      <c r="C120" s="95">
        <f>('DOE25'!L205)+('DOE25'!L223)+('DOE25'!L241)</f>
        <v>404396.67</v>
      </c>
      <c r="D120" s="24" t="s">
        <v>288</v>
      </c>
      <c r="E120" s="95">
        <f>+('DOE25'!L284)+('DOE25'!L303)+('DOE25'!L322)</f>
        <v>0</v>
      </c>
      <c r="F120" s="24" t="s">
        <v>288</v>
      </c>
      <c r="G120" s="24" t="s">
        <v>288</v>
      </c>
      <c r="H120" s="124">
        <f t="shared" si="7"/>
        <v>404396.67</v>
      </c>
    </row>
    <row r="121" spans="1:8" x14ac:dyDescent="0.2">
      <c r="A121" t="s">
        <v>212</v>
      </c>
      <c r="B121" s="32" t="s">
        <v>213</v>
      </c>
      <c r="C121" s="95">
        <f>('DOE25'!L206)+('DOE25'!L224)+('DOE25'!L242)</f>
        <v>677630.1399999999</v>
      </c>
      <c r="D121" s="24" t="s">
        <v>288</v>
      </c>
      <c r="E121" s="95">
        <f>+('DOE25'!L285)+('DOE25'!L304)+('DOE25'!L323)</f>
        <v>0</v>
      </c>
      <c r="F121" s="24" t="s">
        <v>288</v>
      </c>
      <c r="G121" s="24" t="s">
        <v>288</v>
      </c>
      <c r="H121" s="124">
        <f t="shared" si="7"/>
        <v>677630.1399999999</v>
      </c>
    </row>
    <row r="122" spans="1:8" x14ac:dyDescent="0.2">
      <c r="A122" t="s">
        <v>214</v>
      </c>
      <c r="B122" s="32" t="s">
        <v>215</v>
      </c>
      <c r="C122" s="95">
        <f>('DOE25'!L207)+('DOE25'!L225)+('DOE25'!L243)</f>
        <v>307.83</v>
      </c>
      <c r="D122" s="24" t="s">
        <v>288</v>
      </c>
      <c r="E122" s="95">
        <f>+('DOE25'!L286)+('DOE25'!L305)+('DOE25'!L324)</f>
        <v>0</v>
      </c>
      <c r="F122" s="24" t="s">
        <v>288</v>
      </c>
      <c r="G122" s="24" t="s">
        <v>288</v>
      </c>
      <c r="H122" s="124">
        <f t="shared" si="7"/>
        <v>307.83</v>
      </c>
    </row>
    <row r="123" spans="1:8" x14ac:dyDescent="0.2">
      <c r="A123" t="s">
        <v>216</v>
      </c>
      <c r="B123" s="32" t="s">
        <v>217</v>
      </c>
      <c r="C123" s="95">
        <f>('DOE25'!L208)+('DOE25'!L226)+('DOE25'!L244)</f>
        <v>746756.52</v>
      </c>
      <c r="D123" s="24" t="s">
        <v>288</v>
      </c>
      <c r="E123" s="95">
        <f>+('DOE25'!L287)+('DOE25'!L306)+('DOE25'!L325)</f>
        <v>0</v>
      </c>
      <c r="F123" s="24" t="s">
        <v>288</v>
      </c>
      <c r="G123" s="24" t="s">
        <v>288</v>
      </c>
      <c r="H123" s="124">
        <f t="shared" si="7"/>
        <v>746756.52</v>
      </c>
    </row>
    <row r="124" spans="1:8" x14ac:dyDescent="0.2">
      <c r="A124" t="s">
        <v>218</v>
      </c>
      <c r="B124" s="32" t="s">
        <v>219</v>
      </c>
      <c r="C124" s="95">
        <f>('DOE25'!L209)+('DOE25'!L227)+('DOE25'!L245+'DOE25'!L255)</f>
        <v>614733.12000000011</v>
      </c>
      <c r="D124" s="24" t="s">
        <v>288</v>
      </c>
      <c r="E124" s="95">
        <f>+('DOE25'!L288)+('DOE25'!L307)+('DOE25'!L326)</f>
        <v>27610.080000000002</v>
      </c>
      <c r="F124" s="24" t="s">
        <v>288</v>
      </c>
      <c r="G124" s="24" t="s">
        <v>288</v>
      </c>
      <c r="H124" s="124">
        <f t="shared" si="7"/>
        <v>642343.20000000007</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274636.07999999996</v>
      </c>
      <c r="E127" s="24" t="s">
        <v>288</v>
      </c>
      <c r="F127" s="24" t="s">
        <v>288</v>
      </c>
      <c r="G127" s="24" t="s">
        <v>288</v>
      </c>
      <c r="H127" s="124">
        <f t="shared" si="7"/>
        <v>274636.07999999996</v>
      </c>
    </row>
    <row r="128" spans="1:8" ht="12.75" thickTop="1" thickBot="1" x14ac:dyDescent="0.25">
      <c r="A128" s="33" t="s">
        <v>226</v>
      </c>
      <c r="C128" s="86">
        <f>SUM(C118:C127)</f>
        <v>3444702.06</v>
      </c>
      <c r="D128" s="86">
        <f>SUM(D118:D127)</f>
        <v>274636.07999999996</v>
      </c>
      <c r="E128" s="86">
        <f>SUM(E118:E127)</f>
        <v>87243.89</v>
      </c>
      <c r="F128" s="86">
        <f>SUM(F118:F127)</f>
        <v>0</v>
      </c>
      <c r="G128" s="86">
        <f>SUM(G118:G127)</f>
        <v>0</v>
      </c>
      <c r="H128" s="86">
        <f t="shared" si="7"/>
        <v>3806582.0300000003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6850</v>
      </c>
      <c r="D130" s="24" t="s">
        <v>288</v>
      </c>
      <c r="E130" s="129">
        <f>'DOE25'!L337</f>
        <v>0</v>
      </c>
      <c r="F130" s="129">
        <f>SUM('DOE25'!L375:'DOE25'!L381)</f>
        <v>0</v>
      </c>
      <c r="G130" s="24" t="s">
        <v>288</v>
      </c>
      <c r="H130" s="124">
        <f t="shared" si="7"/>
        <v>6850</v>
      </c>
    </row>
    <row r="131" spans="1:8" x14ac:dyDescent="0.2">
      <c r="A131" t="s">
        <v>229</v>
      </c>
      <c r="B131" s="32">
        <v>5110</v>
      </c>
      <c r="C131" s="95">
        <f>'DOE25'!L261</f>
        <v>35000</v>
      </c>
      <c r="D131" s="24" t="s">
        <v>288</v>
      </c>
      <c r="E131" s="129">
        <f>'DOE25'!L342</f>
        <v>0</v>
      </c>
      <c r="F131" s="24" t="s">
        <v>288</v>
      </c>
      <c r="G131" s="24" t="s">
        <v>288</v>
      </c>
      <c r="H131" s="124">
        <f t="shared" si="7"/>
        <v>35000</v>
      </c>
    </row>
    <row r="132" spans="1:8" x14ac:dyDescent="0.2">
      <c r="A132" t="s">
        <v>230</v>
      </c>
      <c r="B132" s="32">
        <v>5120</v>
      </c>
      <c r="C132" s="95">
        <f>'DOE25'!L262</f>
        <v>2100</v>
      </c>
      <c r="D132" s="24" t="s">
        <v>288</v>
      </c>
      <c r="E132" s="129">
        <f>'DOE25'!L343</f>
        <v>0</v>
      </c>
      <c r="F132" s="24" t="s">
        <v>288</v>
      </c>
      <c r="G132" s="24" t="s">
        <v>288</v>
      </c>
      <c r="H132" s="124">
        <f t="shared" si="7"/>
        <v>2100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2212.29</v>
      </c>
      <c r="F134" s="95">
        <f>'DOE25'!K382</f>
        <v>0</v>
      </c>
      <c r="G134" s="95">
        <f>'DOE25'!K435</f>
        <v>0</v>
      </c>
      <c r="H134" s="124">
        <f t="shared" si="7"/>
        <v>2212.29</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105465.79</v>
      </c>
      <c r="D139" s="24" t="s">
        <v>288</v>
      </c>
      <c r="E139" s="24" t="s">
        <v>288</v>
      </c>
      <c r="F139" s="24" t="s">
        <v>288</v>
      </c>
      <c r="G139" s="24" t="s">
        <v>288</v>
      </c>
      <c r="H139" s="124">
        <f t="shared" si="7"/>
        <v>105465.79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-5465.7899999999936</v>
      </c>
      <c r="D141" s="24" t="s">
        <v>288</v>
      </c>
      <c r="E141" s="24" t="s">
        <v>288</v>
      </c>
      <c r="F141" s="24" t="s">
        <v>288</v>
      </c>
      <c r="G141" s="24" t="s">
        <v>288</v>
      </c>
      <c r="H141" s="124">
        <f t="shared" si="7"/>
        <v>-5465.7899999999936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143950</v>
      </c>
      <c r="D144" s="141">
        <f>SUM(D130:D143)</f>
        <v>0</v>
      </c>
      <c r="E144" s="141">
        <f>SUM(E130:E143)</f>
        <v>2212.29</v>
      </c>
      <c r="F144" s="141">
        <f>SUM(F130:F143)</f>
        <v>0</v>
      </c>
      <c r="G144" s="141">
        <f>SUM(G130:G143)</f>
        <v>0</v>
      </c>
      <c r="H144" s="141">
        <f t="shared" si="7"/>
        <v>146162.29</v>
      </c>
    </row>
    <row r="145" spans="1:9" ht="12.75" thickTop="1" thickBot="1" x14ac:dyDescent="0.25">
      <c r="A145" s="33" t="s">
        <v>244</v>
      </c>
      <c r="C145" s="86">
        <f>(C115+C128+C144)</f>
        <v>9706220.2700000014</v>
      </c>
      <c r="D145" s="86">
        <f>(D115+D128+D144)</f>
        <v>274636.07999999996</v>
      </c>
      <c r="E145" s="86">
        <f>(E115+E128+E144)</f>
        <v>330654.31999999995</v>
      </c>
      <c r="F145" s="86">
        <f>(F115+F128+F144)</f>
        <v>0</v>
      </c>
      <c r="G145" s="86">
        <f>(G115+G128+G144)</f>
        <v>0</v>
      </c>
      <c r="H145" s="86">
        <f t="shared" si="7"/>
        <v>10311510.670000002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8/2012</v>
      </c>
      <c r="C152" s="152">
        <f>'DOE25'!G492</f>
        <v>0</v>
      </c>
      <c r="D152" s="152">
        <f>'DOE25'!H492</f>
        <v>0</v>
      </c>
      <c r="E152" s="152">
        <f>'DOE25'!I492</f>
        <v>0</v>
      </c>
      <c r="F152" s="152">
        <f>'DOE25'!J492</f>
        <v>0</v>
      </c>
      <c r="G152" s="24" t="s">
        <v>288</v>
      </c>
    </row>
    <row r="153" spans="1:9" x14ac:dyDescent="0.2">
      <c r="A153" s="136" t="s">
        <v>29</v>
      </c>
      <c r="B153" s="152" t="str">
        <f>'DOE25'!F493</f>
        <v>8/2022</v>
      </c>
      <c r="C153" s="152">
        <f>'DOE25'!G493</f>
        <v>0</v>
      </c>
      <c r="D153" s="152">
        <f>'DOE25'!H493</f>
        <v>0</v>
      </c>
      <c r="E153" s="152">
        <f>'DOE25'!I493</f>
        <v>0</v>
      </c>
      <c r="F153" s="152">
        <f>'DOE25'!J493</f>
        <v>0</v>
      </c>
      <c r="G153" s="24" t="s">
        <v>288</v>
      </c>
    </row>
    <row r="154" spans="1:9" x14ac:dyDescent="0.2">
      <c r="A154" s="136" t="s">
        <v>30</v>
      </c>
      <c r="B154" s="137">
        <f>'DOE25'!F494</f>
        <v>386400</v>
      </c>
      <c r="C154" s="137">
        <f>'DOE25'!G494</f>
        <v>0</v>
      </c>
      <c r="D154" s="137">
        <f>'DOE25'!H494</f>
        <v>0</v>
      </c>
      <c r="E154" s="137">
        <f>'DOE25'!I494</f>
        <v>0</v>
      </c>
      <c r="F154" s="137">
        <f>'DOE25'!J494</f>
        <v>0</v>
      </c>
      <c r="G154" s="24" t="s">
        <v>288</v>
      </c>
    </row>
    <row r="155" spans="1:9" x14ac:dyDescent="0.2">
      <c r="A155" s="136" t="s">
        <v>31</v>
      </c>
      <c r="B155" s="137">
        <f>'DOE25'!F495</f>
        <v>2.3199999999999998</v>
      </c>
      <c r="C155" s="137">
        <f>'DOE25'!G495</f>
        <v>0</v>
      </c>
      <c r="D155" s="137">
        <f>'DOE25'!H495</f>
        <v>0</v>
      </c>
      <c r="E155" s="137">
        <f>'DOE25'!I495</f>
        <v>0</v>
      </c>
      <c r="F155" s="137">
        <f>'DOE25'!J495</f>
        <v>0</v>
      </c>
      <c r="G155" s="24" t="s">
        <v>288</v>
      </c>
    </row>
    <row r="156" spans="1:9" x14ac:dyDescent="0.2">
      <c r="A156" s="22" t="s">
        <v>32</v>
      </c>
      <c r="B156" s="137">
        <f>'DOE25'!F496</f>
        <v>70000</v>
      </c>
      <c r="C156" s="137">
        <f>'DOE25'!G496</f>
        <v>0</v>
      </c>
      <c r="D156" s="137">
        <f>'DOE25'!H496</f>
        <v>0</v>
      </c>
      <c r="E156" s="137">
        <f>'DOE25'!I496</f>
        <v>0</v>
      </c>
      <c r="F156" s="137">
        <f>'DOE25'!J496</f>
        <v>0</v>
      </c>
      <c r="G156" s="138">
        <f>SUM(B156:F156)</f>
        <v>70000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35000</v>
      </c>
      <c r="C158" s="137">
        <f>'DOE25'!G498</f>
        <v>0</v>
      </c>
      <c r="D158" s="137">
        <f>'DOE25'!H498</f>
        <v>0</v>
      </c>
      <c r="E158" s="137">
        <f>'DOE25'!I498</f>
        <v>0</v>
      </c>
      <c r="F158" s="137">
        <f>'DOE25'!J498</f>
        <v>0</v>
      </c>
      <c r="G158" s="138">
        <f t="shared" si="8"/>
        <v>35000</v>
      </c>
    </row>
    <row r="159" spans="1:9" x14ac:dyDescent="0.2">
      <c r="A159" s="22" t="s">
        <v>35</v>
      </c>
      <c r="B159" s="137">
        <f>'DOE25'!F499</f>
        <v>35000</v>
      </c>
      <c r="C159" s="137">
        <f>'DOE25'!G499</f>
        <v>0</v>
      </c>
      <c r="D159" s="137">
        <f>'DOE25'!H499</f>
        <v>0</v>
      </c>
      <c r="E159" s="137">
        <f>'DOE25'!I499</f>
        <v>0</v>
      </c>
      <c r="F159" s="137">
        <f>'DOE25'!J499</f>
        <v>0</v>
      </c>
      <c r="G159" s="138">
        <f t="shared" si="8"/>
        <v>35000</v>
      </c>
    </row>
    <row r="160" spans="1:9" x14ac:dyDescent="0.2">
      <c r="A160" s="22" t="s">
        <v>36</v>
      </c>
      <c r="B160" s="137">
        <f>'DOE25'!F500</f>
        <v>700</v>
      </c>
      <c r="C160" s="137">
        <f>'DOE25'!G500</f>
        <v>0</v>
      </c>
      <c r="D160" s="137">
        <f>'DOE25'!H500</f>
        <v>0</v>
      </c>
      <c r="E160" s="137">
        <f>'DOE25'!I500</f>
        <v>0</v>
      </c>
      <c r="F160" s="137">
        <f>'DOE25'!J500</f>
        <v>0</v>
      </c>
      <c r="G160" s="138">
        <f t="shared" si="8"/>
        <v>700</v>
      </c>
    </row>
    <row r="161" spans="1:7" x14ac:dyDescent="0.2">
      <c r="A161" s="22" t="s">
        <v>37</v>
      </c>
      <c r="B161" s="137">
        <f>'DOE25'!F501</f>
        <v>35700</v>
      </c>
      <c r="C161" s="137">
        <f>'DOE25'!G501</f>
        <v>0</v>
      </c>
      <c r="D161" s="137">
        <f>'DOE25'!H501</f>
        <v>0</v>
      </c>
      <c r="E161" s="137">
        <f>'DOE25'!I501</f>
        <v>0</v>
      </c>
      <c r="F161" s="137">
        <f>'DOE25'!J501</f>
        <v>0</v>
      </c>
      <c r="G161" s="138">
        <f t="shared" si="8"/>
        <v>35700</v>
      </c>
    </row>
    <row r="162" spans="1:7" x14ac:dyDescent="0.2">
      <c r="A162" s="22" t="s">
        <v>38</v>
      </c>
      <c r="B162" s="137">
        <f>'DOE25'!F502</f>
        <v>35000</v>
      </c>
      <c r="C162" s="137">
        <f>'DOE25'!G502</f>
        <v>0</v>
      </c>
      <c r="D162" s="137">
        <f>'DOE25'!H502</f>
        <v>0</v>
      </c>
      <c r="E162" s="137">
        <f>'DOE25'!I502</f>
        <v>0</v>
      </c>
      <c r="F162" s="137">
        <f>'DOE25'!J502</f>
        <v>0</v>
      </c>
      <c r="G162" s="138">
        <f t="shared" si="8"/>
        <v>35000</v>
      </c>
    </row>
    <row r="163" spans="1:7" x14ac:dyDescent="0.2">
      <c r="A163" s="22" t="s">
        <v>39</v>
      </c>
      <c r="B163" s="137">
        <f>'DOE25'!F503</f>
        <v>700</v>
      </c>
      <c r="C163" s="137">
        <f>'DOE25'!G503</f>
        <v>0</v>
      </c>
      <c r="D163" s="137">
        <f>'DOE25'!H503</f>
        <v>0</v>
      </c>
      <c r="E163" s="137">
        <f>'DOE25'!I503</f>
        <v>0</v>
      </c>
      <c r="F163" s="137">
        <f>'DOE25'!J503</f>
        <v>0</v>
      </c>
      <c r="G163" s="138">
        <f t="shared" si="8"/>
        <v>700</v>
      </c>
    </row>
    <row r="164" spans="1:7" x14ac:dyDescent="0.2">
      <c r="A164" s="22" t="s">
        <v>246</v>
      </c>
      <c r="B164" s="137">
        <f>'DOE25'!F504</f>
        <v>35700</v>
      </c>
      <c r="C164" s="137">
        <f>'DOE25'!G504</f>
        <v>0</v>
      </c>
      <c r="D164" s="137">
        <f>'DOE25'!H504</f>
        <v>0</v>
      </c>
      <c r="E164" s="137">
        <f>'DOE25'!I504</f>
        <v>0</v>
      </c>
      <c r="F164" s="137">
        <f>'DOE25'!J504</f>
        <v>0</v>
      </c>
      <c r="G164" s="138">
        <f t="shared" si="8"/>
        <v>35700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horizontalDpi="4294967295" verticalDpi="4294967295"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Brookline</v>
      </c>
    </row>
    <row r="3" spans="1:4" x14ac:dyDescent="0.2">
      <c r="B3" s="187" t="s">
        <v>1799</v>
      </c>
    </row>
    <row r="4" spans="1:4" x14ac:dyDescent="0.2">
      <c r="B4" t="s">
        <v>61</v>
      </c>
      <c r="C4" s="178">
        <f>IF('DOE25'!F666+'DOE25'!F671=0,0,ROUND('DOE25'!F673,0))</f>
        <v>15981</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15981</v>
      </c>
    </row>
    <row r="9" spans="1:4" x14ac:dyDescent="0.2">
      <c r="A9" s="186" t="s">
        <v>94</v>
      </c>
      <c r="B9" s="187" t="s">
        <v>1800</v>
      </c>
      <c r="C9" s="180" t="s">
        <v>720</v>
      </c>
      <c r="D9" s="180" t="s">
        <v>721</v>
      </c>
    </row>
    <row r="10" spans="1:4" x14ac:dyDescent="0.2">
      <c r="A10">
        <v>1100</v>
      </c>
      <c r="B10" t="s">
        <v>702</v>
      </c>
      <c r="C10" s="178">
        <f>ROUND('DOE25'!L198+'DOE25'!L216+'DOE25'!L234+'DOE25'!L277+'DOE25'!L296+'DOE25'!L315,0)</f>
        <v>3928062</v>
      </c>
      <c r="D10" s="181">
        <f>ROUND((C10/$C$28)*100,1)</f>
        <v>38.700000000000003</v>
      </c>
    </row>
    <row r="11" spans="1:4" x14ac:dyDescent="0.2">
      <c r="A11">
        <v>1200</v>
      </c>
      <c r="B11" t="s">
        <v>703</v>
      </c>
      <c r="C11" s="178">
        <f>ROUND('DOE25'!L199+'DOE25'!L217+'DOE25'!L235+'DOE25'!L278+'DOE25'!L297+'DOE25'!L316,0)</f>
        <v>2414265</v>
      </c>
      <c r="D11" s="181">
        <f>ROUND((C11/$C$28)*100,1)</f>
        <v>23.8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16439</v>
      </c>
      <c r="D13" s="181">
        <f>ROUND((C13/$C$28)*100,1)</f>
        <v>0.2</v>
      </c>
    </row>
    <row r="14" spans="1:4" x14ac:dyDescent="0.2">
      <c r="D14" s="181"/>
    </row>
    <row r="15" spans="1:4" x14ac:dyDescent="0.2">
      <c r="A15">
        <v>2100</v>
      </c>
      <c r="B15" t="s">
        <v>706</v>
      </c>
      <c r="C15" s="178">
        <f>ROUND('DOE25'!L203+'DOE25'!L221+'DOE25'!L239+'DOE25'!L282+'DOE25'!L301+'DOE25'!L320,0)</f>
        <v>798063</v>
      </c>
      <c r="D15" s="181">
        <f t="shared" ref="D15:D27" si="0">ROUND((C15/$C$28)*100,1)</f>
        <v>7.9</v>
      </c>
    </row>
    <row r="16" spans="1:4" x14ac:dyDescent="0.2">
      <c r="A16">
        <v>2200</v>
      </c>
      <c r="B16" t="s">
        <v>707</v>
      </c>
      <c r="C16" s="178">
        <f>ROUND('DOE25'!L204+'DOE25'!L222+'DOE25'!L240+'DOE25'!L283+'DOE25'!L302+'DOE25'!L321,0)</f>
        <v>262448</v>
      </c>
      <c r="D16" s="181">
        <f t="shared" si="0"/>
        <v>2.6</v>
      </c>
    </row>
    <row r="17" spans="1:4" x14ac:dyDescent="0.2">
      <c r="A17" s="182" t="s">
        <v>723</v>
      </c>
      <c r="B17" t="s">
        <v>738</v>
      </c>
      <c r="C17" s="178">
        <f>ROUND('DOE25'!L205+'DOE25'!L210+'DOE25'!L223+'DOE25'!L228+'DOE25'!L241+'DOE25'!L246+'DOE25'!L284+'DOE25'!L289+'DOE25'!L303+'DOE25'!L308+'DOE25'!L322+'DOE25'!L327,0)</f>
        <v>404397</v>
      </c>
      <c r="D17" s="181">
        <f t="shared" si="0"/>
        <v>4</v>
      </c>
    </row>
    <row r="18" spans="1:4" x14ac:dyDescent="0.2">
      <c r="A18">
        <v>2400</v>
      </c>
      <c r="B18" t="s">
        <v>711</v>
      </c>
      <c r="C18" s="178">
        <f>ROUND('DOE25'!L206+'DOE25'!L224+'DOE25'!L242+'DOE25'!L285+'DOE25'!L304+'DOE25'!L323,0)</f>
        <v>677630</v>
      </c>
      <c r="D18" s="181">
        <f t="shared" si="0"/>
        <v>6.7</v>
      </c>
    </row>
    <row r="19" spans="1:4" x14ac:dyDescent="0.2">
      <c r="A19">
        <v>2500</v>
      </c>
      <c r="B19" t="s">
        <v>708</v>
      </c>
      <c r="C19" s="178">
        <f>ROUND('DOE25'!L207+'DOE25'!L225+'DOE25'!L243+'DOE25'!L286+'DOE25'!L305+'DOE25'!L324,0)</f>
        <v>308</v>
      </c>
      <c r="D19" s="181">
        <f t="shared" si="0"/>
        <v>0</v>
      </c>
    </row>
    <row r="20" spans="1:4" x14ac:dyDescent="0.2">
      <c r="A20">
        <v>2600</v>
      </c>
      <c r="B20" t="s">
        <v>709</v>
      </c>
      <c r="C20" s="178">
        <f>ROUND('DOE25'!L208+'DOE25'!L226+'DOE25'!L244+'DOE25'!L287+'DOE25'!L306+'DOE25'!L325,0)</f>
        <v>746757</v>
      </c>
      <c r="D20" s="181">
        <f t="shared" si="0"/>
        <v>7.3</v>
      </c>
    </row>
    <row r="21" spans="1:4" x14ac:dyDescent="0.2">
      <c r="A21">
        <v>2700</v>
      </c>
      <c r="B21" t="s">
        <v>710</v>
      </c>
      <c r="C21" s="178">
        <f>ROUND('DOE25'!L209+'DOE25'!L227+'DOE25'!L245+'DOE25'!L288+'DOE25'!L307+'DOE25'!L326,0)</f>
        <v>642343</v>
      </c>
      <c r="D21" s="181">
        <f t="shared" si="0"/>
        <v>6.3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2100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269420.53999999998</v>
      </c>
      <c r="D27" s="181">
        <f t="shared" si="0"/>
        <v>2.7</v>
      </c>
    </row>
    <row r="28" spans="1:4" x14ac:dyDescent="0.2">
      <c r="B28" s="186" t="s">
        <v>719</v>
      </c>
      <c r="C28" s="179">
        <f>SUM(C10:C27)</f>
        <v>10162232.539999999</v>
      </c>
      <c r="D28" s="183">
        <f>ROUND(SUM(D10:D27),0)</f>
        <v>100</v>
      </c>
    </row>
    <row r="29" spans="1:4" x14ac:dyDescent="0.2">
      <c r="A29">
        <v>4000</v>
      </c>
      <c r="B29" t="s">
        <v>724</v>
      </c>
      <c r="C29" s="178">
        <f>ROUND('DOE25'!L256+'DOE25'!L337+'DOE25'!L375+'DOE25'!L376+'DOE25'!L377+'DOE25'!L378+'DOE25'!L379+'DOE25'!L380+'DOE25'!L381,0)</f>
        <v>6850</v>
      </c>
    </row>
    <row r="30" spans="1:4" x14ac:dyDescent="0.2">
      <c r="B30" s="186" t="s">
        <v>725</v>
      </c>
      <c r="C30" s="179">
        <f>SUM(C28:C29)</f>
        <v>10169082.539999999</v>
      </c>
    </row>
    <row r="31" spans="1:4" x14ac:dyDescent="0.2">
      <c r="B31" s="33"/>
      <c r="C31" s="179"/>
    </row>
    <row r="32" spans="1:4" x14ac:dyDescent="0.2">
      <c r="A32">
        <v>5100</v>
      </c>
      <c r="B32" s="33" t="s">
        <v>726</v>
      </c>
      <c r="C32" s="179">
        <f>ROUND('DOE25'!L261+'DOE25'!L342,0)</f>
        <v>35000</v>
      </c>
    </row>
    <row r="34" spans="1:4" x14ac:dyDescent="0.2">
      <c r="A34" s="186" t="s">
        <v>94</v>
      </c>
      <c r="B34" s="187" t="s">
        <v>1801</v>
      </c>
      <c r="C34" s="180" t="s">
        <v>720</v>
      </c>
      <c r="D34" s="180" t="s">
        <v>721</v>
      </c>
    </row>
    <row r="35" spans="1:4" x14ac:dyDescent="0.2">
      <c r="A35">
        <v>1100</v>
      </c>
      <c r="B35" s="184" t="s">
        <v>727</v>
      </c>
      <c r="C35" s="178">
        <f>ROUND('DOE25'!F60+'DOE25'!G60+'DOE25'!H60+'DOE25'!I60+'DOE25'!J60,0)</f>
        <v>6388822</v>
      </c>
      <c r="D35" s="181">
        <f t="shared" ref="D35:D40" si="1">ROUND((C35/$C$41)*100,1)</f>
        <v>61.6</v>
      </c>
    </row>
    <row r="36" spans="1:4" x14ac:dyDescent="0.2">
      <c r="B36" s="184" t="s">
        <v>739</v>
      </c>
      <c r="C36" s="178">
        <f>SUM('DOE25'!F112:J112)-SUM('DOE25'!G97:G110)+('DOE25'!F175+'DOE25'!F176+'DOE25'!I175+'DOE25'!I176)-C35</f>
        <v>142392.71999999974</v>
      </c>
      <c r="D36" s="181">
        <f t="shared" si="1"/>
        <v>1.4</v>
      </c>
    </row>
    <row r="37" spans="1:4" x14ac:dyDescent="0.2">
      <c r="A37" s="182" t="s">
        <v>835</v>
      </c>
      <c r="B37" s="184" t="s">
        <v>728</v>
      </c>
      <c r="C37" s="178">
        <f>ROUND('DOE25'!F117+'DOE25'!F118,0)</f>
        <v>2797900</v>
      </c>
      <c r="D37" s="181">
        <f t="shared" si="1"/>
        <v>27</v>
      </c>
    </row>
    <row r="38" spans="1:4" x14ac:dyDescent="0.2">
      <c r="A38" s="182" t="s">
        <v>734</v>
      </c>
      <c r="B38" s="184" t="s">
        <v>729</v>
      </c>
      <c r="C38" s="178">
        <f>ROUND(SUM('DOE25'!F140:J140)-SUM('DOE25'!F117:F119),0)</f>
        <v>295894</v>
      </c>
      <c r="D38" s="181">
        <f t="shared" si="1"/>
        <v>2.9</v>
      </c>
    </row>
    <row r="39" spans="1:4" x14ac:dyDescent="0.2">
      <c r="A39">
        <v>4000</v>
      </c>
      <c r="B39" s="184" t="s">
        <v>730</v>
      </c>
      <c r="C39" s="178">
        <f>ROUND('DOE25'!F170+'DOE25'!G170+'DOE25'!H170+'DOE25'!I170,0)</f>
        <v>754433</v>
      </c>
      <c r="D39" s="181">
        <f t="shared" si="1"/>
        <v>7.3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10379441.719999999</v>
      </c>
      <c r="D41" s="183">
        <f>SUM(D35:D40)</f>
        <v>100.2</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activeCell="C18" sqref="C18:M18"/>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Brookline</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v>19</v>
      </c>
      <c r="B5" s="218" t="s">
        <v>1805</v>
      </c>
      <c r="C5" s="387" t="s">
        <v>1806</v>
      </c>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t="s">
        <v>1807</v>
      </c>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249</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25.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f>IF('School Level Expenditures'!$B$2=A40,'School Tables'!H40,"")</f>
        <v>37</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38.25"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f>IF('School Level Expenditures'!$B$2=A252,'School Tables'!H252,"")</f>
        <v>249</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2022-09-28T10:56:43Z</cp:lastPrinted>
  <dcterms:created xsi:type="dcterms:W3CDTF">1997-12-04T19:04:30Z</dcterms:created>
  <dcterms:modified xsi:type="dcterms:W3CDTF">2022-10-06T15:06:06Z</dcterms:modified>
</cp:coreProperties>
</file>