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0B67B3CF-A112-424E-8EE1-36711DBAD7C9}"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6">'MS-25'!$A$1:$H$164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H15" i="2" s="1"/>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E111" i="2"/>
  <c r="C112" i="2"/>
  <c r="H112" i="2" s="1"/>
  <c r="E112" i="2"/>
  <c r="D115" i="2"/>
  <c r="F115" i="2"/>
  <c r="G115" i="2"/>
  <c r="C119"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G651" i="1"/>
  <c r="G652" i="1"/>
  <c r="J652" i="1" s="1"/>
  <c r="H653" i="1"/>
  <c r="G654" i="1"/>
  <c r="H654" i="1"/>
  <c r="H655" i="1"/>
  <c r="H656" i="1"/>
  <c r="I170" i="1"/>
  <c r="I409" i="1" l="1"/>
  <c r="H23" i="2"/>
  <c r="H11" i="2"/>
  <c r="C12" i="10"/>
  <c r="C120" i="2"/>
  <c r="H120" i="2" s="1"/>
  <c r="G477" i="1"/>
  <c r="D144" i="2"/>
  <c r="H97" i="2"/>
  <c r="H93" i="2"/>
  <c r="H87" i="2"/>
  <c r="H80" i="2"/>
  <c r="H77" i="2"/>
  <c r="H61" i="2"/>
  <c r="H26" i="2"/>
  <c r="H22" i="2"/>
  <c r="H113" i="2"/>
  <c r="H132" i="2"/>
  <c r="H36" i="2"/>
  <c r="H44" i="2"/>
  <c r="H48" i="2"/>
  <c r="H96" i="2"/>
  <c r="H89" i="2"/>
  <c r="H59" i="2"/>
  <c r="H35" i="2"/>
  <c r="H34" i="2"/>
  <c r="H13" i="2"/>
  <c r="H9" i="2"/>
  <c r="E121" i="2"/>
  <c r="H121" i="2" s="1"/>
  <c r="H477" i="1"/>
  <c r="H625" i="1" s="1"/>
  <c r="H94" i="2"/>
  <c r="H69" i="2"/>
  <c r="H30" i="2"/>
  <c r="H29" i="2"/>
  <c r="H28" i="2"/>
  <c r="H27" i="2"/>
  <c r="H25" i="2"/>
  <c r="H24" i="2"/>
  <c r="H17" i="2"/>
  <c r="H12" i="2"/>
  <c r="H8" i="2"/>
  <c r="G409" i="1"/>
  <c r="H646" i="1" s="1"/>
  <c r="D15" i="13"/>
  <c r="C15" i="13"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H114" i="2" s="1"/>
  <c r="G112" i="1"/>
  <c r="B10" i="16" s="1"/>
  <c r="E118" i="2"/>
  <c r="E128" i="2" s="1"/>
  <c r="L248" i="1"/>
  <c r="L212" i="1"/>
  <c r="F661" i="1" s="1"/>
  <c r="H648" i="1"/>
  <c r="J645"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H118" i="2" s="1"/>
  <c r="C19" i="10"/>
  <c r="C16" i="10"/>
  <c r="D17" i="13"/>
  <c r="C17" i="13" s="1"/>
  <c r="D7" i="13"/>
  <c r="C7" i="13" s="1"/>
  <c r="E16" i="13"/>
  <c r="C16" i="13" s="1"/>
  <c r="C10" i="10"/>
  <c r="C109" i="2"/>
  <c r="H109" i="2" s="1"/>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85" i="2" l="1"/>
  <c r="H57" i="2"/>
  <c r="H21" i="2"/>
  <c r="H42" i="2"/>
  <c r="H16" i="2"/>
  <c r="H103" i="2"/>
  <c r="D128" i="2"/>
  <c r="D145" i="2" s="1"/>
  <c r="H127" i="2"/>
  <c r="H78" i="2"/>
  <c r="H134" i="2"/>
  <c r="H31" i="2"/>
  <c r="H62" i="2"/>
  <c r="H18" i="2"/>
  <c r="H91" i="2"/>
  <c r="H50" i="2"/>
  <c r="C81" i="2"/>
  <c r="H81" i="2" s="1"/>
  <c r="F144" i="2"/>
  <c r="H130" i="2"/>
  <c r="H661" i="1"/>
  <c r="H665" i="1" s="1"/>
  <c r="H668" i="1" s="1"/>
  <c r="H194" i="1"/>
  <c r="G630" i="1" s="1"/>
  <c r="J630" i="1" s="1"/>
  <c r="H649" i="1"/>
  <c r="C14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H115" i="2" s="1"/>
  <c r="C63" i="2"/>
  <c r="C39" i="10"/>
  <c r="G33" i="13"/>
  <c r="C128" i="2"/>
  <c r="H128" i="2" s="1"/>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51" i="2" l="1"/>
  <c r="C144" i="2"/>
  <c r="H144"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<sst xmlns="http://schemas.openxmlformats.org/spreadsheetml/2006/main" count="6529" uniqueCount="1802">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</sst>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selection activeCell="A398" sqref="A39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1774</v>
      </c>
      <c r="B2" s="126">
        <f>INDEX('School Tables'!$AH$3:$AH$208,MATCH('DOE25'!A2,'School Tables'!$AJ$3:$AJ$208,0))</f>
        <v>91</v>
      </c>
      <c r="C2" s="126">
        <f>INDEX('School Tables'!$AI$3:$AI$208,MATCH('DOE25'!A2,'School Tables'!$AJ$3:$AJ$208,0))</f>
        <v>91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145447.01</v>
      </c>
      <c r="G9" s="18"/>
      <c r="H9" s="18"/>
      <c r="I9" s="18"/>
      <c r="J9" s="67">
        <f>SUM(I440)</f>
        <v>171433.31</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145447.01</v>
      </c>
      <c r="G19" s="41">
        <f>SUM(G9:G18)</f>
        <v>0</v>
      </c>
      <c r="H19" s="41">
        <f>SUM(H9:H18)</f>
        <v>0</v>
      </c>
      <c r="I19" s="41">
        <f>SUM(I9:I18)</f>
        <v>0</v>
      </c>
      <c r="J19" s="41">
        <f>SUM(J9:J18)</f>
        <v>171433.31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45158.42</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13887.58</v>
      </c>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59046</v>
      </c>
      <c r="G32" s="41">
        <f>SUM(G22:G31)</f>
        <v>0</v>
      </c>
      <c r="H32" s="41">
        <f>SUM(H22:H31)</f>
        <v>0</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14806</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171433.31</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71595.009999999995</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86401.01</v>
      </c>
      <c r="G51" s="41">
        <f>SUM(G35:G50)</f>
        <v>0</v>
      </c>
      <c r="H51" s="41">
        <f>SUM(H35:H50)</f>
        <v>0</v>
      </c>
      <c r="I51" s="41">
        <f>SUM(I35:I50)</f>
        <v>0</v>
      </c>
      <c r="J51" s="41">
        <f>SUM(J35:J50)</f>
        <v>171433.31</v>
      </c>
      <c r="K51" s="45" t="s">
        <v>288</v>
      </c>
      <c r="L51" s="45" t="s">
        <v>288</v>
      </c>
      <c r="N51" s="263"/>
    </row>
    <row r="52" spans="1:14" s="3" customFormat="1" ht="12.2" customHeight="1" thickTop="1" x14ac:dyDescent="0.15">
      <c r="A52" s="38" t="s">
        <v>455</v>
      </c>
      <c r="B52" s="39" t="s">
        <v>289</v>
      </c>
      <c r="C52" s="6">
        <v>37</v>
      </c>
      <c r="D52" s="39" t="s">
        <v>653</v>
      </c>
      <c r="E52" s="39"/>
      <c r="F52" s="41">
        <f>F51+F32</f>
        <v>145447.01</v>
      </c>
      <c r="G52" s="41">
        <f>G51+G32</f>
        <v>0</v>
      </c>
      <c r="H52" s="41">
        <f>H51+H32</f>
        <v>0</v>
      </c>
      <c r="I52" s="41">
        <f>I51+I32</f>
        <v>0</v>
      </c>
      <c r="J52" s="41">
        <f>J51+J32</f>
        <v>171433.31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483319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483319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20.59</v>
      </c>
      <c r="G96" s="18"/>
      <c r="H96" s="18"/>
      <c r="I96" s="18"/>
      <c r="J96" s="18">
        <v>24.75</v>
      </c>
      <c r="K96" s="24" t="s">
        <v>288</v>
      </c>
      <c r="L96" s="24" t="s">
        <v>288</v>
      </c>
      <c r="M96" s="8"/>
      <c r="N96" s="265"/>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20.59</v>
      </c>
      <c r="G111" s="41">
        <f>SUM(G96:G110)</f>
        <v>0</v>
      </c>
      <c r="H111" s="41">
        <f>SUM(H96:H110)</f>
        <v>0</v>
      </c>
      <c r="I111" s="41">
        <f>SUM(I96:I110)</f>
        <v>0</v>
      </c>
      <c r="J111" s="41">
        <f>SUM(J96:J110)</f>
        <v>24.75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483339.59</v>
      </c>
      <c r="G112" s="41">
        <f>G60+G111</f>
        <v>0</v>
      </c>
      <c r="H112" s="41">
        <f>H60+H79+H94+H111</f>
        <v>0</v>
      </c>
      <c r="I112" s="41">
        <f>I60+I111</f>
        <v>0</v>
      </c>
      <c r="J112" s="41">
        <f>J60+J111</f>
        <v>24.75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120842.66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108921</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229763.66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229763.66</v>
      </c>
      <c r="G140" s="41">
        <f>G121+SUM(G136:G137)</f>
        <v>0</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0</v>
      </c>
      <c r="H163" s="41">
        <f>SUM(H150:H162)</f>
        <v>0</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12369.19</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12369.19</v>
      </c>
      <c r="G170" s="41">
        <f>G147+G163+SUM(G164:G169)</f>
        <v>0</v>
      </c>
      <c r="H170" s="41">
        <f>H147+H163+SUM(H164:H169)</f>
        <v>0</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20000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725472.44</v>
      </c>
      <c r="G194" s="47">
        <f>G112+G140+G170+G193</f>
        <v>0</v>
      </c>
      <c r="H194" s="47">
        <f>H112+H140+H170+H193</f>
        <v>0</v>
      </c>
      <c r="I194" s="47">
        <f>I112+I140+I170+I193</f>
        <v>0</v>
      </c>
      <c r="J194" s="47">
        <f>J112+J140+J193</f>
        <v>20024.75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c r="G198" s="18"/>
      <c r="H198" s="18">
        <v>327858.56</v>
      </c>
      <c r="I198" s="18"/>
      <c r="J198" s="18"/>
      <c r="K198" s="18"/>
      <c r="L198" s="19">
        <f>SUM(F198:K198)</f>
        <v>327858.56</v>
      </c>
      <c r="M198" s="8"/>
      <c r="N198" s="265"/>
    </row>
    <row r="199" spans="1:14" s="3" customFormat="1" ht="12.2" customHeight="1" x14ac:dyDescent="0.15">
      <c r="A199" s="1" t="s">
        <v>439</v>
      </c>
      <c r="B199" s="2" t="s">
        <v>341</v>
      </c>
      <c r="C199" s="2" t="s">
        <v>291</v>
      </c>
      <c r="D199" s="2" t="s">
        <v>431</v>
      </c>
      <c r="E199" s="6">
        <v>1200</v>
      </c>
      <c r="F199" s="18"/>
      <c r="G199" s="18"/>
      <c r="H199" s="18">
        <v>139318.87</v>
      </c>
      <c r="I199" s="18"/>
      <c r="J199" s="18"/>
      <c r="K199" s="18"/>
      <c r="L199" s="19">
        <f>SUM(F199:K199)</f>
        <v>139318.87</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c r="G203" s="18"/>
      <c r="H203" s="18">
        <v>17866</v>
      </c>
      <c r="I203" s="18"/>
      <c r="J203" s="18"/>
      <c r="K203" s="18"/>
      <c r="L203" s="19">
        <f t="shared" ref="L203:L209" si="0">SUM(F203:K203)</f>
        <v>17866</v>
      </c>
      <c r="M203" s="8"/>
      <c r="N203" s="265"/>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2" customHeight="1" x14ac:dyDescent="0.15">
      <c r="A205" s="1" t="s">
        <v>444</v>
      </c>
      <c r="B205" s="2" t="s">
        <v>341</v>
      </c>
      <c r="C205" s="2" t="s">
        <v>296</v>
      </c>
      <c r="D205" s="2" t="s">
        <v>431</v>
      </c>
      <c r="E205" s="6">
        <v>2300</v>
      </c>
      <c r="F205" s="18">
        <v>572.85</v>
      </c>
      <c r="G205" s="18">
        <v>181.59</v>
      </c>
      <c r="H205" s="18">
        <v>9533.7900000000009</v>
      </c>
      <c r="I205" s="18"/>
      <c r="J205" s="18"/>
      <c r="K205" s="18"/>
      <c r="L205" s="19">
        <f t="shared" si="0"/>
        <v>10288.230000000001</v>
      </c>
      <c r="M205" s="8"/>
      <c r="N205" s="265"/>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2" customHeight="1" x14ac:dyDescent="0.15">
      <c r="A209" s="1" t="s">
        <v>448</v>
      </c>
      <c r="B209" s="2" t="s">
        <v>341</v>
      </c>
      <c r="C209" s="2" t="s">
        <v>300</v>
      </c>
      <c r="D209" s="2" t="s">
        <v>431</v>
      </c>
      <c r="E209" s="6">
        <v>2700</v>
      </c>
      <c r="F209" s="18"/>
      <c r="G209" s="18"/>
      <c r="H209" s="18">
        <v>38779.19</v>
      </c>
      <c r="I209" s="18"/>
      <c r="J209" s="18"/>
      <c r="K209" s="18"/>
      <c r="L209" s="19">
        <f t="shared" si="0"/>
        <v>38779.19</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572.85</v>
      </c>
      <c r="G212" s="41">
        <f t="shared" si="1"/>
        <v>181.59</v>
      </c>
      <c r="H212" s="41">
        <f t="shared" si="1"/>
        <v>533356.40999999992</v>
      </c>
      <c r="I212" s="41">
        <f t="shared" si="1"/>
        <v>0</v>
      </c>
      <c r="J212" s="41">
        <f t="shared" si="1"/>
        <v>0</v>
      </c>
      <c r="K212" s="41">
        <f t="shared" si="1"/>
        <v>0</v>
      </c>
      <c r="L212" s="41">
        <f t="shared" si="1"/>
        <v>534110.85</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236814.74</v>
      </c>
      <c r="I234" s="18"/>
      <c r="J234" s="18"/>
      <c r="K234" s="18"/>
      <c r="L234" s="19">
        <f>SUM(F234:K234)</f>
        <v>236814.74</v>
      </c>
      <c r="M234" s="8"/>
      <c r="N234" s="265"/>
    </row>
    <row r="235" spans="1:14" s="3" customFormat="1" ht="12.2" customHeight="1" x14ac:dyDescent="0.15">
      <c r="A235" s="1" t="s">
        <v>439</v>
      </c>
      <c r="B235" s="2" t="s">
        <v>350</v>
      </c>
      <c r="C235" s="2" t="s">
        <v>291</v>
      </c>
      <c r="D235" s="2" t="s">
        <v>431</v>
      </c>
      <c r="E235" s="6">
        <v>1200</v>
      </c>
      <c r="F235" s="18"/>
      <c r="G235" s="18"/>
      <c r="H235" s="18">
        <v>62132.12</v>
      </c>
      <c r="I235" s="18"/>
      <c r="J235" s="18"/>
      <c r="K235" s="18"/>
      <c r="L235" s="19">
        <f>SUM(F235:K235)</f>
        <v>62132.12</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282.14999999999998</v>
      </c>
      <c r="G241" s="18">
        <v>89.44</v>
      </c>
      <c r="H241" s="18">
        <v>4695.75</v>
      </c>
      <c r="I241" s="18"/>
      <c r="J241" s="18"/>
      <c r="K241" s="18"/>
      <c r="L241" s="19">
        <f t="shared" si="4"/>
        <v>5067.34</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16817.38</v>
      </c>
      <c r="I245" s="18"/>
      <c r="J245" s="18"/>
      <c r="K245" s="18"/>
      <c r="L245" s="19">
        <f t="shared" si="4"/>
        <v>16817.38</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282.14999999999998</v>
      </c>
      <c r="G248" s="41">
        <f t="shared" si="5"/>
        <v>89.44</v>
      </c>
      <c r="H248" s="41">
        <f t="shared" si="5"/>
        <v>320459.99</v>
      </c>
      <c r="I248" s="41">
        <f t="shared" si="5"/>
        <v>0</v>
      </c>
      <c r="J248" s="41">
        <f t="shared" si="5"/>
        <v>0</v>
      </c>
      <c r="K248" s="41">
        <f t="shared" si="5"/>
        <v>0</v>
      </c>
      <c r="L248" s="41">
        <f t="shared" si="5"/>
        <v>320831.58</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855</v>
      </c>
      <c r="G258" s="41">
        <f t="shared" si="8"/>
        <v>271.02999999999997</v>
      </c>
      <c r="H258" s="41">
        <f t="shared" si="8"/>
        <v>853816.39999999991</v>
      </c>
      <c r="I258" s="41">
        <f t="shared" si="8"/>
        <v>0</v>
      </c>
      <c r="J258" s="41">
        <f t="shared" si="8"/>
        <v>0</v>
      </c>
      <c r="K258" s="41">
        <f t="shared" si="8"/>
        <v>0</v>
      </c>
      <c r="L258" s="41">
        <f t="shared" si="8"/>
        <v>854942.42999999993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20000</v>
      </c>
      <c r="L271" s="41">
        <f t="shared" si="9"/>
        <v>20000</v>
      </c>
      <c r="M271" s="8"/>
      <c r="N271" s="265"/>
    </row>
    <row r="272" spans="1:14" s="34" customFormat="1" ht="12.2" customHeight="1" thickTop="1" x14ac:dyDescent="0.2">
      <c r="A272" s="43" t="s">
        <v>464</v>
      </c>
      <c r="B272" s="40">
        <v>10</v>
      </c>
      <c r="C272" s="40">
        <v>18</v>
      </c>
      <c r="D272" s="39" t="s">
        <v>431</v>
      </c>
      <c r="E272" s="40"/>
      <c r="F272" s="42">
        <f t="shared" ref="F272:L272" si="11">F258+F271</f>
        <v>855</v>
      </c>
      <c r="G272" s="42">
        <f t="shared" si="11"/>
        <v>271.02999999999997</v>
      </c>
      <c r="H272" s="42">
        <f t="shared" si="11"/>
        <v>853816.39999999991</v>
      </c>
      <c r="I272" s="42">
        <f t="shared" si="11"/>
        <v>0</v>
      </c>
      <c r="J272" s="42">
        <f t="shared" si="11"/>
        <v>0</v>
      </c>
      <c r="K272" s="42">
        <f t="shared" si="11"/>
        <v>20000</v>
      </c>
      <c r="L272" s="42">
        <f t="shared" si="11"/>
        <v>874942.42999999993</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0</v>
      </c>
      <c r="J339" s="41">
        <f t="shared" si="20"/>
        <v>0</v>
      </c>
      <c r="K339" s="41">
        <f t="shared" si="20"/>
        <v>0</v>
      </c>
      <c r="L339" s="41">
        <f t="shared" si="20"/>
        <v>0</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0</v>
      </c>
      <c r="J353" s="41">
        <f>J339</f>
        <v>0</v>
      </c>
      <c r="K353" s="47">
        <f>K339+K352</f>
        <v>0</v>
      </c>
      <c r="L353" s="41">
        <f>L339+L352</f>
        <v>0</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20000</v>
      </c>
      <c r="H398" s="18">
        <v>18.829999999999998</v>
      </c>
      <c r="I398" s="18"/>
      <c r="J398" s="24" t="s">
        <v>288</v>
      </c>
      <c r="K398" s="24" t="s">
        <v>288</v>
      </c>
      <c r="L398" s="56">
        <f t="shared" si="26"/>
        <v>20018.830000000002</v>
      </c>
      <c r="M398" s="8"/>
      <c r="N398" s="265"/>
    </row>
    <row r="399" spans="1:14" s="3" customFormat="1" ht="12.2" customHeight="1" x14ac:dyDescent="0.15">
      <c r="A399" s="79" t="s">
        <v>558</v>
      </c>
      <c r="B399" s="2" t="s">
        <v>381</v>
      </c>
      <c r="C399" s="6">
        <v>11</v>
      </c>
      <c r="D399" s="2" t="s">
        <v>432</v>
      </c>
      <c r="E399" s="6"/>
      <c r="F399" s="18"/>
      <c r="G399" s="18"/>
      <c r="H399" s="18">
        <v>5.92</v>
      </c>
      <c r="I399" s="18"/>
      <c r="J399" s="24" t="s">
        <v>288</v>
      </c>
      <c r="K399" s="24" t="s">
        <v>288</v>
      </c>
      <c r="L399" s="56">
        <f t="shared" si="26"/>
        <v>5.92</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24.75</v>
      </c>
      <c r="I402" s="47">
        <f>SUM(I396:I401)</f>
        <v>0</v>
      </c>
      <c r="J402" s="45" t="s">
        <v>288</v>
      </c>
      <c r="K402" s="45" t="s">
        <v>288</v>
      </c>
      <c r="L402" s="47">
        <f>SUM(L396:L401)</f>
        <v>20024.75</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20000</v>
      </c>
      <c r="H409" s="47">
        <f>H394+H402+H408</f>
        <v>24.75</v>
      </c>
      <c r="I409" s="47">
        <f>I394+I402+I408</f>
        <v>0</v>
      </c>
      <c r="J409" s="24" t="s">
        <v>288</v>
      </c>
      <c r="K409" s="24" t="s">
        <v>288</v>
      </c>
      <c r="L409" s="47">
        <f>L394+L402+L408</f>
        <v>20024.75</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171433.31</v>
      </c>
      <c r="H440" s="18"/>
      <c r="I440" s="56">
        <f t="shared" ref="I440:I446" si="33">SUM(F440:H440)</f>
        <v>171433.31</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171433.31</v>
      </c>
      <c r="H447" s="13">
        <f>SUM(H440:H446)</f>
        <v>0</v>
      </c>
      <c r="I447" s="13">
        <f>SUM(I440:I446)</f>
        <v>171433.31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171433.31</v>
      </c>
      <c r="H460" s="18"/>
      <c r="I460" s="56">
        <f t="shared" si="34"/>
        <v>171433.31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171433.31</v>
      </c>
      <c r="H461" s="83">
        <f>SUM(H455:H460)</f>
        <v>0</v>
      </c>
      <c r="I461" s="83">
        <f>SUM(I455:I460)</f>
        <v>171433.31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171433.31</v>
      </c>
      <c r="H462" s="42">
        <f>H453+H461</f>
        <v>0</v>
      </c>
      <c r="I462" s="42">
        <f>I453+I461</f>
        <v>171433.31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235871</v>
      </c>
      <c r="G466" s="18"/>
      <c r="H466" s="18"/>
      <c r="I466" s="18"/>
      <c r="J466" s="18">
        <v>151408.56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725472.44</v>
      </c>
      <c r="G469" s="18"/>
      <c r="H469" s="18"/>
      <c r="I469" s="18"/>
      <c r="J469" s="18">
        <v>20024.75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725472.44</v>
      </c>
      <c r="G471" s="53">
        <f>SUM(G469:G470)</f>
        <v>0</v>
      </c>
      <c r="H471" s="53">
        <f>SUM(H469:H470)</f>
        <v>0</v>
      </c>
      <c r="I471" s="53">
        <f>SUM(I469:I470)</f>
        <v>0</v>
      </c>
      <c r="J471" s="53">
        <f>SUM(J469:J470)</f>
        <v>20024.75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874942.43</v>
      </c>
      <c r="G473" s="18"/>
      <c r="H473" s="18"/>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874942.43</v>
      </c>
      <c r="G475" s="53">
        <f>SUM(G473:G474)</f>
        <v>0</v>
      </c>
      <c r="H475" s="53">
        <f>SUM(H473:H474)</f>
        <v>0</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86401.009999999893</v>
      </c>
      <c r="G477" s="53">
        <f>(G466+G471)- G475</f>
        <v>0</v>
      </c>
      <c r="H477" s="53">
        <f>(H466+H471)- H475</f>
        <v>0</v>
      </c>
      <c r="I477" s="53">
        <f>(I466+I471)- I475</f>
        <v>0</v>
      </c>
      <c r="J477" s="53">
        <f>(J466+J471)- J475</f>
        <v>171433.31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v>139318.87</v>
      </c>
      <c r="I522" s="18"/>
      <c r="J522" s="18"/>
      <c r="K522" s="18"/>
      <c r="L522" s="88">
        <f>SUM(F522:K522)</f>
        <v>139318.87</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62132.12</v>
      </c>
      <c r="I524" s="18"/>
      <c r="J524" s="18"/>
      <c r="K524" s="18"/>
      <c r="L524" s="88">
        <f>SUM(F524:K524)</f>
        <v>62132.12</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201450.99</v>
      </c>
      <c r="I525" s="108">
        <f t="shared" si="36"/>
        <v>0</v>
      </c>
      <c r="J525" s="108">
        <f t="shared" si="36"/>
        <v>0</v>
      </c>
      <c r="K525" s="108">
        <f t="shared" si="36"/>
        <v>0</v>
      </c>
      <c r="L525" s="89">
        <f t="shared" si="36"/>
        <v>201450.99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17866</v>
      </c>
      <c r="I527" s="18"/>
      <c r="J527" s="18"/>
      <c r="K527" s="18"/>
      <c r="L527" s="88">
        <f>SUM(F527:K527)</f>
        <v>17866</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17866</v>
      </c>
      <c r="I530" s="89">
        <f t="shared" si="37"/>
        <v>0</v>
      </c>
      <c r="J530" s="89">
        <f t="shared" si="37"/>
        <v>0</v>
      </c>
      <c r="K530" s="89">
        <f t="shared" si="37"/>
        <v>0</v>
      </c>
      <c r="L530" s="89">
        <f t="shared" si="37"/>
        <v>17866</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1680.38</v>
      </c>
      <c r="I532" s="18"/>
      <c r="J532" s="18"/>
      <c r="K532" s="18"/>
      <c r="L532" s="88">
        <f>SUM(F532:K532)</f>
        <v>1680.38</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827.65</v>
      </c>
      <c r="I534" s="18"/>
      <c r="J534" s="18"/>
      <c r="K534" s="18"/>
      <c r="L534" s="88">
        <f>SUM(F534:K534)</f>
        <v>827.65</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2508.0300000000002</v>
      </c>
      <c r="I535" s="89">
        <f t="shared" si="38"/>
        <v>0</v>
      </c>
      <c r="J535" s="89">
        <f t="shared" si="38"/>
        <v>0</v>
      </c>
      <c r="K535" s="89">
        <f t="shared" si="38"/>
        <v>0</v>
      </c>
      <c r="L535" s="89">
        <f t="shared" si="38"/>
        <v>2508.0300000000002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4634.8100000000004</v>
      </c>
      <c r="I542" s="18"/>
      <c r="J542" s="18"/>
      <c r="K542" s="18"/>
      <c r="L542" s="88">
        <f>SUM(F542:K542)</f>
        <v>4634.8100000000004</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4634.8100000000004</v>
      </c>
      <c r="I545" s="192">
        <f t="shared" si="40"/>
        <v>0</v>
      </c>
      <c r="J545" s="192">
        <f t="shared" si="40"/>
        <v>0</v>
      </c>
      <c r="K545" s="192">
        <f t="shared" si="40"/>
        <v>0</v>
      </c>
      <c r="L545" s="192">
        <f t="shared" si="40"/>
        <v>4634.8100000000004</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226459.83</v>
      </c>
      <c r="I546" s="89">
        <f t="shared" si="41"/>
        <v>0</v>
      </c>
      <c r="J546" s="89">
        <f t="shared" si="41"/>
        <v>0</v>
      </c>
      <c r="K546" s="89">
        <f t="shared" si="41"/>
        <v>0</v>
      </c>
      <c r="L546" s="89">
        <f t="shared" si="41"/>
        <v>226459.83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139318.87</v>
      </c>
      <c r="G550" s="87">
        <f>L527</f>
        <v>17866</v>
      </c>
      <c r="H550" s="87">
        <f>L532</f>
        <v>1680.38</v>
      </c>
      <c r="I550" s="87">
        <f>L537</f>
        <v>0</v>
      </c>
      <c r="J550" s="87">
        <f>L542</f>
        <v>4634.8100000000004</v>
      </c>
      <c r="K550" s="87">
        <f>SUM(F550:J550)</f>
        <v>163500.06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62132.12</v>
      </c>
      <c r="G552" s="87">
        <f>L529</f>
        <v>0</v>
      </c>
      <c r="H552" s="87">
        <f>L534</f>
        <v>827.65</v>
      </c>
      <c r="I552" s="87">
        <f>L539</f>
        <v>0</v>
      </c>
      <c r="J552" s="87">
        <f>L544</f>
        <v>0</v>
      </c>
      <c r="K552" s="87">
        <f>SUM(F552:J552)</f>
        <v>62959.770000000004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201450.99</v>
      </c>
      <c r="G553" s="89">
        <f t="shared" si="42"/>
        <v>17866</v>
      </c>
      <c r="H553" s="89">
        <f t="shared" si="42"/>
        <v>2508.0300000000002</v>
      </c>
      <c r="I553" s="89">
        <f t="shared" si="42"/>
        <v>0</v>
      </c>
      <c r="J553" s="89">
        <f t="shared" si="42"/>
        <v>4634.8100000000004</v>
      </c>
      <c r="K553" s="89">
        <f t="shared" si="42"/>
        <v>226459.83000000002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v>327858.56</v>
      </c>
      <c r="G577" s="18"/>
      <c r="H577" s="18">
        <v>236814.74</v>
      </c>
      <c r="I577" s="87">
        <f t="shared" ref="I577:I588" si="47">SUM(F577:H577)</f>
        <v>564673.30000000005</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v>133741.14000000001</v>
      </c>
      <c r="G581" s="18"/>
      <c r="H581" s="18">
        <v>5079.5200000000004</v>
      </c>
      <c r="I581" s="87">
        <f t="shared" si="47"/>
        <v>138820.66</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2495</v>
      </c>
      <c r="G583" s="18"/>
      <c r="H583" s="18">
        <v>57052.6</v>
      </c>
      <c r="I583" s="87">
        <f t="shared" si="47"/>
        <v>59547.6</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34144.379999999997</v>
      </c>
      <c r="I592" s="18"/>
      <c r="J592" s="18">
        <v>16817.38</v>
      </c>
      <c r="K592" s="104">
        <f t="shared" ref="K592:K598" si="48">SUM(H592:J592)</f>
        <v>50961.759999999995</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4634.8100000000004</v>
      </c>
      <c r="I593" s="18"/>
      <c r="J593" s="18"/>
      <c r="K593" s="104">
        <f t="shared" si="48"/>
        <v>4634.8100000000004</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38779.189999999995</v>
      </c>
      <c r="I599" s="108">
        <f>SUM(I592:I598)</f>
        <v>0</v>
      </c>
      <c r="J599" s="108">
        <f>SUM(J592:J598)</f>
        <v>16817.38</v>
      </c>
      <c r="K599" s="108">
        <f>SUM(K592:K598)</f>
        <v>55596.569999999992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c r="I605" s="18"/>
      <c r="J605" s="18"/>
      <c r="K605" s="104">
        <f>SUM(H605:J605)</f>
        <v>0</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0</v>
      </c>
      <c r="J606" s="108">
        <f>SUM(J603:J605)</f>
        <v>0</v>
      </c>
      <c r="K606" s="108">
        <f>SUM(K603:K605)</f>
        <v>0</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145447.01</v>
      </c>
      <c r="H618" s="109">
        <f>SUM(F52)</f>
        <v>145447.01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171433.31</v>
      </c>
      <c r="H622" s="109">
        <f>SUM(J52)</f>
        <v>171433.31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86401.01</v>
      </c>
      <c r="H623" s="109">
        <f>F477</f>
        <v>86401.009999999893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171433.31</v>
      </c>
      <c r="H627" s="109">
        <f>J477</f>
        <v>171433.31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725472.44</v>
      </c>
      <c r="H628" s="104">
        <f>SUM(F469)</f>
        <v>725472.44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0</v>
      </c>
      <c r="H630" s="104">
        <f>SUM(H469)</f>
        <v>0</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20024.75</v>
      </c>
      <c r="H632" s="104">
        <f>SUM(J469)</f>
        <v>20024.75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874942.42999999993</v>
      </c>
      <c r="H633" s="104">
        <f>SUM(F473)</f>
        <v>874942.43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0</v>
      </c>
      <c r="H634" s="104">
        <f>SUM(H473)</f>
        <v>0</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20024.75</v>
      </c>
      <c r="H638" s="164">
        <f>SUM(J469)</f>
        <v>20024.75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171433.31</v>
      </c>
      <c r="H641" s="104">
        <f>SUM(G462)</f>
        <v>171433.31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171433.31</v>
      </c>
      <c r="H643" s="104">
        <f>SUM(I462)</f>
        <v>171433.31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24.75</v>
      </c>
      <c r="H645" s="104">
        <f>H409</f>
        <v>24.75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20024.75</v>
      </c>
      <c r="H647" s="104">
        <f>L409</f>
        <v>20024.75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55596.569999999992</v>
      </c>
      <c r="H648" s="104">
        <f>L209+L227+L245</f>
        <v>55596.570000000007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0</v>
      </c>
      <c r="H649" s="104">
        <f>(J258+J339)-(J256+J337)</f>
        <v>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38779.19</v>
      </c>
      <c r="H650" s="104">
        <f>H599</f>
        <v>38779.189999999995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16817.38</v>
      </c>
      <c r="H652" s="104">
        <f>J599</f>
        <v>16817.38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534110.85</v>
      </c>
      <c r="G661" s="19">
        <f>(L230+L310+L360)</f>
        <v>0</v>
      </c>
      <c r="H661" s="19">
        <f>(L248+L329+L361)</f>
        <v>320831.58</v>
      </c>
      <c r="I661" s="19">
        <f>SUM(F661:H661)</f>
        <v>854942.42999999993</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38779.19</v>
      </c>
      <c r="G663" s="19">
        <f>(L227+L307)-(J227+J307)</f>
        <v>0</v>
      </c>
      <c r="H663" s="19">
        <f>(L245+L326)-(J245+J326)</f>
        <v>16817.38</v>
      </c>
      <c r="I663" s="19">
        <f>SUM(F663:H663)</f>
        <v>55596.570000000007</v>
      </c>
      <c r="J663"/>
      <c r="K663" s="13"/>
      <c r="L663" s="13"/>
      <c r="M663" s="9"/>
    </row>
    <row r="664" spans="1:13" s="3" customFormat="1" ht="12.2" customHeight="1" x14ac:dyDescent="0.15">
      <c r="A664" s="197" t="s">
        <v>129</v>
      </c>
      <c r="B664" s="169"/>
      <c r="C664" s="169"/>
      <c r="D664" s="169"/>
      <c r="E664" s="169"/>
      <c r="F664" s="198">
        <f>SUM(F576:F588)+SUM(H603:H605)+SUM(L612)</f>
        <v>464094.7</v>
      </c>
      <c r="G664" s="198">
        <f>SUM(G576:G588)+SUM(I603:I605)+L613</f>
        <v>0</v>
      </c>
      <c r="H664" s="198">
        <f>SUM(H576:H588)+SUM(J603:J605)+L614</f>
        <v>298946.86</v>
      </c>
      <c r="I664" s="19">
        <f>SUM(F664:H664)</f>
        <v>763041.56</v>
      </c>
      <c r="J664" s="13"/>
      <c r="K664" s="13"/>
      <c r="L664" s="13"/>
      <c r="M664" s="9"/>
    </row>
    <row r="665" spans="1:13" s="3" customFormat="1" ht="12.2" customHeight="1" x14ac:dyDescent="0.15">
      <c r="A665" s="1" t="s">
        <v>130</v>
      </c>
      <c r="F665" s="19">
        <f>F661-SUM(F662:F664)</f>
        <v>31236.959999999963</v>
      </c>
      <c r="G665" s="19">
        <f>G661-SUM(G662:G664)</f>
        <v>0</v>
      </c>
      <c r="H665" s="19">
        <f>H661-SUM(H662:H664)</f>
        <v>5067.3400000000256</v>
      </c>
      <c r="I665" s="19">
        <f>I661-SUM(I662:I664)</f>
        <v>36304.299999999814</v>
      </c>
      <c r="J665" s="13"/>
      <c r="K665" s="13"/>
      <c r="L665" s="13"/>
      <c r="M665" s="8"/>
    </row>
    <row r="666" spans="1:13" s="3" customFormat="1" ht="12.2" customHeight="1" x14ac:dyDescent="0.2">
      <c r="A666" s="1" t="s">
        <v>131</v>
      </c>
      <c r="F666" s="245"/>
      <c r="G666" s="246"/>
      <c r="H666" s="246"/>
      <c r="I666" s="19">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t="e">
        <f>ROUND(G665/G666,2)</f>
        <v>#DIV/0!</v>
      </c>
      <c r="H668" s="19" t="e">
        <f>ROUND(H665/H666,2)</f>
        <v>#DIV/0!</v>
      </c>
      <c r="I668" s="19"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v>-31236.959999999999</v>
      </c>
      <c r="G670" s="18"/>
      <c r="H670" s="18">
        <v>-5067.34</v>
      </c>
      <c r="I670" s="19">
        <f>SUM(F670:H670)</f>
        <v>-36304.300000000003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t="e">
        <f>ROUND((G665+G670)/(G666+G671),2)</f>
        <v>#DIV/0!</v>
      </c>
      <c r="H673" s="19" t="e">
        <f>ROUND((H665+H670)/(H666+H671),2)</f>
        <v>#DIV/0!</v>
      </c>
      <c r="I673" s="19"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26" sqref="C26"/>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0</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c r="C3" s="315"/>
      <c r="D3" s="315"/>
      <c r="E3" s="315"/>
      <c r="F3" s="315"/>
      <c r="G3" s="315"/>
      <c r="H3" s="315"/>
      <c r="I3" t="s">
        <v>1613</v>
      </c>
    </row>
    <row r="4" spans="1:9" x14ac:dyDescent="0.2">
      <c r="I4" t="s">
        <v>1614</v>
      </c>
    </row>
    <row r="5" spans="1:9" ht="15.75" x14ac:dyDescent="0.25">
      <c r="A5" s="311" t="s">
        <v>908</v>
      </c>
      <c r="B5" s="374" t="str">
        <f>'DOE25'!A2</f>
        <v>Chatham</v>
      </c>
      <c r="C5" s="375"/>
      <c r="D5" s="375"/>
      <c r="E5" s="375"/>
      <c r="F5" s="375"/>
    </row>
    <row r="8" spans="1:9" ht="18" x14ac:dyDescent="0.25">
      <c r="A8" s="312" t="s">
        <v>1568</v>
      </c>
      <c r="F8" s="319" t="s">
        <v>1586</v>
      </c>
    </row>
    <row r="9" spans="1:9" ht="15" x14ac:dyDescent="0.2">
      <c r="A9" s="310" t="s">
        <v>1569</v>
      </c>
      <c r="B9" s="313">
        <f>'DOE25'!G97</f>
        <v>0</v>
      </c>
      <c r="F9" s="310" t="s">
        <v>1582</v>
      </c>
    </row>
    <row r="10" spans="1:9" ht="15" x14ac:dyDescent="0.2">
      <c r="A10" s="310" t="s">
        <v>1570</v>
      </c>
      <c r="B10" s="313">
        <f>'DOE25'!G112-'DOE25'!G97</f>
        <v>0</v>
      </c>
      <c r="F10" s="310" t="s">
        <v>1583</v>
      </c>
    </row>
    <row r="11" spans="1:9" ht="15" x14ac:dyDescent="0.2">
      <c r="A11" s="310" t="s">
        <v>1571</v>
      </c>
      <c r="B11" s="313">
        <f>'DOE25'!G140</f>
        <v>0</v>
      </c>
      <c r="F11" s="310" t="s">
        <v>1584</v>
      </c>
    </row>
    <row r="12" spans="1:9" ht="15" x14ac:dyDescent="0.2">
      <c r="A12" s="310" t="s">
        <v>1572</v>
      </c>
      <c r="B12" s="313">
        <f>'DOE25'!G170</f>
        <v>0</v>
      </c>
      <c r="F12" s="310" t="s">
        <v>1585</v>
      </c>
    </row>
    <row r="13" spans="1:9" ht="15" x14ac:dyDescent="0.2">
      <c r="A13" s="310" t="s">
        <v>1573</v>
      </c>
      <c r="B13" s="313">
        <f>'DOE25'!G193-'DOE25'!G180</f>
        <v>0</v>
      </c>
      <c r="F13" s="310" t="s">
        <v>1595</v>
      </c>
    </row>
    <row r="14" spans="1:9" ht="18" x14ac:dyDescent="0.25">
      <c r="A14" s="312" t="s">
        <v>732</v>
      </c>
      <c r="B14" s="314">
        <f>SUM(B9:B13)</f>
        <v>0</v>
      </c>
    </row>
    <row r="16" spans="1:9" ht="18" x14ac:dyDescent="0.25">
      <c r="A16" s="312" t="s">
        <v>786</v>
      </c>
      <c r="F16" s="319" t="s">
        <v>1587</v>
      </c>
    </row>
    <row r="17" spans="1:6" ht="15" x14ac:dyDescent="0.2">
      <c r="A17" s="310" t="s">
        <v>1574</v>
      </c>
      <c r="B17" s="313">
        <f>'DOE25'!L363-'DOE25'!L362</f>
        <v>0</v>
      </c>
      <c r="F17" s="310" t="s">
        <v>1588</v>
      </c>
    </row>
    <row r="18" spans="1:6" ht="15" x14ac:dyDescent="0.2">
      <c r="A18" s="310" t="s">
        <v>1575</v>
      </c>
      <c r="B18" s="323"/>
      <c r="F18" s="319" t="s">
        <v>1612</v>
      </c>
    </row>
    <row r="19" spans="1:6" ht="18" x14ac:dyDescent="0.25">
      <c r="A19" s="312" t="s">
        <v>725</v>
      </c>
      <c r="B19" s="314">
        <f>SUM(B17:B18)</f>
        <v>0</v>
      </c>
    </row>
    <row r="21" spans="1:6" ht="18.75" thickBot="1" x14ac:dyDescent="0.3">
      <c r="A21" s="312" t="s">
        <v>1576</v>
      </c>
    </row>
    <row r="22" spans="1:6" ht="18.75" thickTop="1" x14ac:dyDescent="0.25">
      <c r="A22" s="312" t="s">
        <v>1577</v>
      </c>
      <c r="B22" s="318">
        <f>B14-B19</f>
        <v>0</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7" sqref="B7:C7"/>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Chatham</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0</v>
      </c>
      <c r="C9" s="228">
        <f>'DOE25'!G198+'DOE25'!G216+'DOE25'!G234+'DOE25'!G277+'DOE25'!G296+'DOE25'!G315</f>
        <v>0</v>
      </c>
    </row>
    <row r="10" spans="1:3" x14ac:dyDescent="0.2">
      <c r="A10" t="s">
        <v>775</v>
      </c>
      <c r="B10" s="239"/>
      <c r="C10" s="239"/>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0</v>
      </c>
      <c r="C13" s="230">
        <f>SUM(C10:C12)</f>
        <v>0</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M12" sqref="M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Chatham</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766124.29</v>
      </c>
      <c r="D5" s="20">
        <f>SUM('DOE25'!L198:L201)+SUM('DOE25'!L216:L219)+SUM('DOE25'!L234:L237)-F5-G5-H5</f>
        <v>766124.29</v>
      </c>
      <c r="E5" s="242"/>
      <c r="F5" s="243"/>
      <c r="G5" s="53">
        <f>SUM('DOE25'!J198:J201)+SUM('DOE25'!J216:J219)+SUM('DOE25'!J234:J237)</f>
        <v>0</v>
      </c>
      <c r="H5" s="53">
        <f>SUM('DOE25'!K198:K201)+SUM('DOE25'!K216:K219)+SUM('DOE25'!K234:K237)</f>
        <v>0</v>
      </c>
      <c r="I5" s="255"/>
    </row>
    <row r="6" spans="1:9" x14ac:dyDescent="0.2">
      <c r="A6" s="32">
        <v>2100</v>
      </c>
      <c r="B6" t="s">
        <v>796</v>
      </c>
      <c r="C6" s="274">
        <f t="shared" si="0"/>
        <v>17866</v>
      </c>
      <c r="D6" s="20">
        <f>'DOE25'!L203+'DOE25'!L221+'DOE25'!L239-F6-G6-H6</f>
        <v>17866</v>
      </c>
      <c r="E6" s="242"/>
      <c r="F6" s="243"/>
      <c r="G6" s="53">
        <f>'DOE25'!J203+'DOE25'!J221+'DOE25'!J239</f>
        <v>0</v>
      </c>
      <c r="H6" s="53">
        <f>'DOE25'!K203+'DOE25'!K221+'DOE25'!K239</f>
        <v>0</v>
      </c>
      <c r="I6" s="255"/>
    </row>
    <row r="7" spans="1:9" x14ac:dyDescent="0.2">
      <c r="A7" s="32">
        <v>2200</v>
      </c>
      <c r="B7" t="s">
        <v>821</v>
      </c>
      <c r="C7" s="274">
        <f t="shared" si="0"/>
        <v>0</v>
      </c>
      <c r="D7" s="20">
        <f>'DOE25'!L204+'DOE25'!L222+'DOE25'!L240-F7-G7-H7</f>
        <v>0</v>
      </c>
      <c r="E7" s="242"/>
      <c r="F7" s="243"/>
      <c r="G7" s="53">
        <f>'DOE25'!J204+'DOE25'!J222+'DOE25'!J240</f>
        <v>0</v>
      </c>
      <c r="H7" s="53">
        <f>'DOE25'!K204+'DOE25'!K222+'DOE25'!K240</f>
        <v>0</v>
      </c>
      <c r="I7" s="255"/>
    </row>
    <row r="8" spans="1:9" x14ac:dyDescent="0.2">
      <c r="A8" s="32">
        <v>2300</v>
      </c>
      <c r="B8" t="s">
        <v>797</v>
      </c>
      <c r="C8" s="274">
        <f t="shared" si="0"/>
        <v>9108.1000000000022</v>
      </c>
      <c r="D8" s="242"/>
      <c r="E8" s="20">
        <f>'DOE25'!L205+'DOE25'!L223+'DOE25'!L241-F8-G8-H8-D9-D11</f>
        <v>9108.1000000000022</v>
      </c>
      <c r="F8" s="243"/>
      <c r="G8" s="53">
        <f>'DOE25'!J205+'DOE25'!J223+'DOE25'!J241</f>
        <v>0</v>
      </c>
      <c r="H8" s="53">
        <f>'DOE25'!K205+'DOE25'!K223+'DOE25'!K241</f>
        <v>0</v>
      </c>
      <c r="I8" s="255"/>
    </row>
    <row r="9" spans="1:9" ht="14.25" x14ac:dyDescent="0.2">
      <c r="A9" s="32">
        <v>2310</v>
      </c>
      <c r="B9" s="184" t="s">
        <v>888</v>
      </c>
      <c r="C9" s="274">
        <f t="shared" si="0"/>
        <v>1870.57</v>
      </c>
      <c r="D9" s="243">
        <v>1870.57</v>
      </c>
      <c r="E9" s="242"/>
      <c r="F9" s="252"/>
      <c r="G9" s="252"/>
      <c r="H9" s="252"/>
      <c r="I9" s="255"/>
    </row>
    <row r="10" spans="1:9" ht="14.25" x14ac:dyDescent="0.2">
      <c r="A10" s="32">
        <v>2317</v>
      </c>
      <c r="B10" s="184" t="s">
        <v>889</v>
      </c>
      <c r="C10" s="274">
        <f t="shared" si="0"/>
        <v>100</v>
      </c>
      <c r="D10" s="242"/>
      <c r="E10" s="243">
        <v>100</v>
      </c>
      <c r="F10" s="252"/>
      <c r="G10" s="252"/>
      <c r="H10" s="252"/>
      <c r="I10" s="255"/>
    </row>
    <row r="11" spans="1:9" ht="14.25" x14ac:dyDescent="0.2">
      <c r="A11" s="32">
        <v>2321</v>
      </c>
      <c r="B11" s="184" t="s">
        <v>890</v>
      </c>
      <c r="C11" s="274">
        <f t="shared" si="0"/>
        <v>4376.8999999999996</v>
      </c>
      <c r="D11" s="243">
        <v>4376.8999999999996</v>
      </c>
      <c r="E11" s="242"/>
      <c r="F11" s="252"/>
      <c r="G11" s="252"/>
      <c r="H11" s="252"/>
      <c r="I11" s="255"/>
    </row>
    <row r="12" spans="1:9" x14ac:dyDescent="0.2">
      <c r="A12" s="32">
        <v>2400</v>
      </c>
      <c r="B12" t="s">
        <v>711</v>
      </c>
      <c r="C12" s="274">
        <f t="shared" si="0"/>
        <v>0</v>
      </c>
      <c r="D12" s="20">
        <f>'DOE25'!L206+'DOE25'!L224+'DOE25'!L242-F12-G12-H12</f>
        <v>0</v>
      </c>
      <c r="E12" s="242"/>
      <c r="F12" s="243"/>
      <c r="G12" s="53">
        <f>'DOE25'!J206+'DOE25'!J224+'DOE25'!J242</f>
        <v>0</v>
      </c>
      <c r="H12" s="53">
        <f>'DOE25'!K206+'DOE25'!K224+'DOE25'!K242</f>
        <v>0</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0</v>
      </c>
      <c r="D14" s="20">
        <f>'DOE25'!L208+'DOE25'!L226+'DOE25'!L244-F14-G14-H14</f>
        <v>0</v>
      </c>
      <c r="E14" s="242"/>
      <c r="F14" s="243"/>
      <c r="G14" s="53">
        <f>'DOE25'!J208+'DOE25'!J226+'DOE25'!J244</f>
        <v>0</v>
      </c>
      <c r="H14" s="53">
        <f>'DOE25'!K208+'DOE25'!K226+'DOE25'!K244</f>
        <v>0</v>
      </c>
      <c r="I14" s="255"/>
    </row>
    <row r="15" spans="1:9" x14ac:dyDescent="0.2">
      <c r="A15" s="32">
        <v>2700</v>
      </c>
      <c r="B15" t="s">
        <v>799</v>
      </c>
      <c r="C15" s="274">
        <f t="shared" si="0"/>
        <v>55596.570000000007</v>
      </c>
      <c r="D15" s="20">
        <f>'DOE25'!L209+'DOE25'!L227+'DOE25'!L245-F15-G15-H15</f>
        <v>29634.810000000009</v>
      </c>
      <c r="E15" s="242"/>
      <c r="F15" s="243">
        <v>25961.759999999998</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0</v>
      </c>
      <c r="D29" s="282">
        <f>'DOE25'!L359+'DOE25'!L360+'DOE25'!L361-'DOE25'!I368-F29-G29-H29</f>
        <v>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0</v>
      </c>
      <c r="D31" s="20">
        <f>'DOE25'!L291+'DOE25'!L310+'DOE25'!L329+'DOE25'!L334+'DOE25'!L335+'DOE25'!L336-F31-G31-H31</f>
        <v>0</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819872.57000000007</v>
      </c>
      <c r="E33" s="244">
        <f t="shared" si="1"/>
        <v>9208.1000000000022</v>
      </c>
      <c r="F33" s="244">
        <f t="shared" si="1"/>
        <v>25961.759999999998</v>
      </c>
      <c r="G33" s="244">
        <f t="shared" si="1"/>
        <v>0</v>
      </c>
      <c r="H33" s="244">
        <f t="shared" si="1"/>
        <v>0</v>
      </c>
      <c r="I33" s="244">
        <f t="shared" si="1"/>
        <v>0</v>
      </c>
    </row>
    <row r="35" spans="1:9" ht="12" thickBot="1" x14ac:dyDescent="0.25">
      <c r="B35" s="250" t="s">
        <v>831</v>
      </c>
      <c r="D35" s="251">
        <f>E33</f>
        <v>9208.1000000000022</v>
      </c>
      <c r="E35" s="247"/>
      <c r="F35" s="328" t="s">
        <v>1617</v>
      </c>
      <c r="G35" s="329"/>
      <c r="H35" s="329"/>
      <c r="I35" s="329"/>
    </row>
    <row r="36" spans="1:9" ht="12" thickTop="1" x14ac:dyDescent="0.2">
      <c r="B36" t="s">
        <v>810</v>
      </c>
      <c r="D36" s="20">
        <f>D33</f>
        <v>819872.57000000007</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Chatham</v>
      </c>
      <c r="B2" s="126">
        <f>'DOE25'!B2</f>
        <v>91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534110.85</v>
      </c>
      <c r="G4" s="299">
        <f>'DOE25'!L212+'DOE25'!L291</f>
        <v>534110.85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534110.85</v>
      </c>
      <c r="E5" s="290"/>
      <c r="F5" s="303">
        <f>D5+E5</f>
        <v>534110.85</v>
      </c>
      <c r="G5" s="293"/>
      <c r="H5" s="293"/>
      <c r="I5" s="384"/>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534110.85</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320831.58</v>
      </c>
      <c r="G36" s="299">
        <f>'DOE25'!L248+'DOE25'!L329</f>
        <v>320831.58</v>
      </c>
      <c r="H36" s="340">
        <f>F36-G36</f>
        <v>0</v>
      </c>
      <c r="I36" s="383" t="str">
        <f>IF(H36=0,"","ISSUES!! Please review page 9 and 13 totals in comparison with total on this page")</f>
        <v/>
      </c>
      <c r="N36"/>
    </row>
    <row r="37" spans="1:14" x14ac:dyDescent="0.2">
      <c r="A37" s="126" t="s">
        <v>1548</v>
      </c>
      <c r="B37" s="300">
        <v>99999</v>
      </c>
      <c r="C37" s="293" t="s">
        <v>1548</v>
      </c>
      <c r="D37" s="290">
        <v>320831.58</v>
      </c>
      <c r="E37" s="290"/>
      <c r="F37" s="303">
        <f t="shared" ref="F37:F42" si="2">D37+E37</f>
        <v>320831.58</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320831.58</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E61" sqref="E6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Chatham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145447.01</v>
      </c>
      <c r="D8" s="95">
        <f>'DOE25'!G9</f>
        <v>0</v>
      </c>
      <c r="E8" s="95">
        <f>'DOE25'!H9</f>
        <v>0</v>
      </c>
      <c r="F8" s="95">
        <f>'DOE25'!I9</f>
        <v>0</v>
      </c>
      <c r="G8" s="95">
        <f>'DOE25'!J9</f>
        <v>171433.31</v>
      </c>
      <c r="H8" s="124">
        <f>SUM(C8:G8)</f>
        <v>316880.32</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0</v>
      </c>
      <c r="E12" s="95">
        <f>'DOE25'!H13</f>
        <v>0</v>
      </c>
      <c r="F12" s="95">
        <f>'DOE25'!I13</f>
        <v>0</v>
      </c>
      <c r="G12" s="95">
        <f>'DOE25'!J13</f>
        <v>0</v>
      </c>
      <c r="H12" s="124">
        <f t="shared" si="0"/>
        <v>0</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145447.01</v>
      </c>
      <c r="D18" s="41">
        <f>SUM(D8:D17)</f>
        <v>0</v>
      </c>
      <c r="E18" s="41">
        <f>SUM(E8:E17)</f>
        <v>0</v>
      </c>
      <c r="F18" s="41">
        <f>SUM(F8:F17)</f>
        <v>0</v>
      </c>
      <c r="G18" s="41">
        <f>SUM(G8:G17)</f>
        <v>171433.31</v>
      </c>
      <c r="H18" s="41">
        <f t="shared" si="0"/>
        <v>316880.32</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0</v>
      </c>
      <c r="F21" s="95">
        <f>'DOE25'!I22</f>
        <v>0</v>
      </c>
      <c r="G21" s="95">
        <f>'DOE25'!J22</f>
        <v>0</v>
      </c>
      <c r="H21" s="124">
        <f t="shared" ref="H21:H31" si="1">SUM(C21:G21)</f>
        <v>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45158.42</v>
      </c>
      <c r="D23" s="95">
        <f>'DOE25'!G24</f>
        <v>0</v>
      </c>
      <c r="E23" s="95">
        <f>'DOE25'!H24</f>
        <v>0</v>
      </c>
      <c r="F23" s="95">
        <f>'DOE25'!I24</f>
        <v>0</v>
      </c>
      <c r="G23" s="95">
        <f>'DOE25'!J24</f>
        <v>0</v>
      </c>
      <c r="H23" s="124">
        <f t="shared" si="1"/>
        <v>45158.42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13887.58</v>
      </c>
      <c r="D29" s="95">
        <f>'DOE25'!G30</f>
        <v>0</v>
      </c>
      <c r="E29" s="95">
        <f>'DOE25'!H30</f>
        <v>0</v>
      </c>
      <c r="F29" s="95">
        <f>'DOE25'!I30</f>
        <v>0</v>
      </c>
      <c r="G29" s="24" t="s">
        <v>288</v>
      </c>
      <c r="H29" s="124">
        <f t="shared" si="1"/>
        <v>13887.58</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59046</v>
      </c>
      <c r="D31" s="41">
        <f>SUM(D21:D30)</f>
        <v>0</v>
      </c>
      <c r="E31" s="41">
        <f>SUM(E21:E30)</f>
        <v>0</v>
      </c>
      <c r="F31" s="41">
        <f>SUM(F21:F30)</f>
        <v>0</v>
      </c>
      <c r="G31" s="41">
        <f>SUM(G21:G30)</f>
        <v>0</v>
      </c>
      <c r="H31" s="41">
        <f t="shared" si="1"/>
        <v>59046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14806</v>
      </c>
      <c r="D45" s="24" t="s">
        <v>288</v>
      </c>
      <c r="E45" s="24" t="s">
        <v>288</v>
      </c>
      <c r="F45" s="24" t="s">
        <v>288</v>
      </c>
      <c r="G45" s="24" t="s">
        <v>288</v>
      </c>
      <c r="H45" s="124">
        <f t="shared" si="2"/>
        <v>14806</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171433.31</v>
      </c>
      <c r="H47" s="124">
        <f t="shared" si="2"/>
        <v>171433.31</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71595.009999999995</v>
      </c>
      <c r="D49" s="24" t="s">
        <v>288</v>
      </c>
      <c r="E49" s="24" t="s">
        <v>288</v>
      </c>
      <c r="F49" s="24" t="s">
        <v>288</v>
      </c>
      <c r="G49" s="24" t="s">
        <v>288</v>
      </c>
      <c r="H49" s="124">
        <f t="shared" si="2"/>
        <v>71595.009999999995</v>
      </c>
      <c r="I49" s="124"/>
    </row>
    <row r="50" spans="1:9" ht="12.75" thickTop="1" thickBot="1" x14ac:dyDescent="0.25">
      <c r="A50" s="38" t="s">
        <v>884</v>
      </c>
      <c r="B50" s="48"/>
      <c r="C50" s="41">
        <f>SUM(C34:C49)</f>
        <v>86401.01</v>
      </c>
      <c r="D50" s="41">
        <f>SUM(D34:D49)</f>
        <v>0</v>
      </c>
      <c r="E50" s="41">
        <f>SUM(E34:E49)</f>
        <v>0</v>
      </c>
      <c r="F50" s="41">
        <f>SUM(F34:F49)</f>
        <v>0</v>
      </c>
      <c r="G50" s="41">
        <f>SUM(G34:G49)</f>
        <v>171433.31</v>
      </c>
      <c r="H50" s="41">
        <f t="shared" si="2"/>
        <v>257834.32</v>
      </c>
      <c r="I50" s="124"/>
    </row>
    <row r="51" spans="1:9" ht="12" thickTop="1" x14ac:dyDescent="0.2">
      <c r="A51" s="38" t="s">
        <v>885</v>
      </c>
      <c r="B51" s="2"/>
      <c r="C51" s="41">
        <f>C50+C31</f>
        <v>145447.01</v>
      </c>
      <c r="D51" s="41">
        <f>D50+D31</f>
        <v>0</v>
      </c>
      <c r="E51" s="41">
        <f>E50+E31</f>
        <v>0</v>
      </c>
      <c r="F51" s="41">
        <f>F50+F31</f>
        <v>0</v>
      </c>
      <c r="G51" s="41">
        <f>G50+G31</f>
        <v>171433.31</v>
      </c>
      <c r="H51" s="41">
        <f t="shared" si="2"/>
        <v>316880.32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483319</v>
      </c>
      <c r="D56" s="95">
        <f>'DOE25'!G60</f>
        <v>0</v>
      </c>
      <c r="E56" s="95">
        <f>'DOE25'!H60</f>
        <v>0</v>
      </c>
      <c r="F56" s="95">
        <f>'DOE25'!I60</f>
        <v>0</v>
      </c>
      <c r="G56" s="95">
        <f>'DOE25'!J60</f>
        <v>0</v>
      </c>
      <c r="H56" s="124">
        <f t="shared" ref="H56:H63" si="3">SUM(C56:G56)</f>
        <v>483319</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20.59</v>
      </c>
      <c r="D59" s="95">
        <f>'DOE25'!G96</f>
        <v>0</v>
      </c>
      <c r="E59" s="95">
        <f>'DOE25'!H96</f>
        <v>0</v>
      </c>
      <c r="F59" s="95">
        <f>'DOE25'!I96</f>
        <v>0</v>
      </c>
      <c r="G59" s="95">
        <f>'DOE25'!J96</f>
        <v>24.75</v>
      </c>
      <c r="H59" s="124">
        <f t="shared" si="3"/>
        <v>45.34</v>
      </c>
      <c r="I59"/>
    </row>
    <row r="60" spans="1:9" x14ac:dyDescent="0.2">
      <c r="A60" s="1" t="s">
        <v>170</v>
      </c>
      <c r="B60" s="118" t="s">
        <v>171</v>
      </c>
      <c r="C60" s="24" t="s">
        <v>288</v>
      </c>
      <c r="D60" s="95">
        <f>'DOE25'!G97</f>
        <v>0</v>
      </c>
      <c r="E60" s="24" t="s">
        <v>288</v>
      </c>
      <c r="F60" s="24" t="s">
        <v>288</v>
      </c>
      <c r="G60" s="24" t="s">
        <v>288</v>
      </c>
      <c r="H60" s="124">
        <f t="shared" si="3"/>
        <v>0</v>
      </c>
      <c r="I60"/>
    </row>
    <row r="61" spans="1:9" ht="12" thickBot="1" x14ac:dyDescent="0.25">
      <c r="A61" s="1" t="s">
        <v>172</v>
      </c>
      <c r="B61" s="118" t="s">
        <v>173</v>
      </c>
      <c r="C61" s="95">
        <f>SUM('DOE25'!F98:F110)</f>
        <v>0</v>
      </c>
      <c r="D61" s="95">
        <f>SUM('DOE25'!G98:G110)</f>
        <v>0</v>
      </c>
      <c r="E61" s="95">
        <f>SUM('DOE25'!H98:H110)</f>
        <v>0</v>
      </c>
      <c r="F61" s="95">
        <f>SUM('DOE25'!I98:I110)</f>
        <v>0</v>
      </c>
      <c r="G61" s="95">
        <f>SUM('DOE25'!J98:J110)</f>
        <v>0</v>
      </c>
      <c r="H61" s="124">
        <f t="shared" si="3"/>
        <v>0</v>
      </c>
      <c r="I61"/>
    </row>
    <row r="62" spans="1:9" ht="12.75" thickTop="1" thickBot="1" x14ac:dyDescent="0.25">
      <c r="A62" s="29" t="s">
        <v>174</v>
      </c>
      <c r="B62" s="6"/>
      <c r="C62" s="130">
        <f>SUM(C57:C61)</f>
        <v>20.59</v>
      </c>
      <c r="D62" s="130">
        <f>SUM(D57:D61)</f>
        <v>0</v>
      </c>
      <c r="E62" s="130">
        <f>SUM(E57:E61)</f>
        <v>0</v>
      </c>
      <c r="F62" s="130">
        <f>SUM(F57:F61)</f>
        <v>0</v>
      </c>
      <c r="G62" s="130">
        <f>SUM(G57:G61)</f>
        <v>24.75</v>
      </c>
      <c r="H62" s="124">
        <f t="shared" si="3"/>
        <v>45.34</v>
      </c>
      <c r="I62"/>
    </row>
    <row r="63" spans="1:9" ht="12" thickTop="1" x14ac:dyDescent="0.2">
      <c r="A63" s="29" t="s">
        <v>175</v>
      </c>
      <c r="B63" s="6"/>
      <c r="C63" s="22">
        <f>C56+C62</f>
        <v>483339.59</v>
      </c>
      <c r="D63" s="22">
        <f>D56+D62</f>
        <v>0</v>
      </c>
      <c r="E63" s="22">
        <f>E56+E62</f>
        <v>0</v>
      </c>
      <c r="F63" s="22">
        <f>F56+F62</f>
        <v>0</v>
      </c>
      <c r="G63" s="22">
        <f>G56+G62</f>
        <v>24.75</v>
      </c>
      <c r="H63" s="124">
        <f t="shared" si="3"/>
        <v>483364.34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120842.66</v>
      </c>
      <c r="D66" s="24" t="s">
        <v>288</v>
      </c>
      <c r="E66" s="24" t="s">
        <v>288</v>
      </c>
      <c r="F66" s="24" t="s">
        <v>288</v>
      </c>
      <c r="G66" s="24" t="s">
        <v>288</v>
      </c>
      <c r="H66" s="124">
        <f t="shared" ref="H66:H81" si="4">SUM(C66:G66)</f>
        <v>120842.66</v>
      </c>
      <c r="I66"/>
    </row>
    <row r="67" spans="1:9" x14ac:dyDescent="0.2">
      <c r="A67" s="1" t="s">
        <v>770</v>
      </c>
      <c r="B67" s="6">
        <v>3112</v>
      </c>
      <c r="C67" s="95">
        <f>'DOE25'!F118</f>
        <v>108921</v>
      </c>
      <c r="D67" s="24"/>
      <c r="E67" s="24"/>
      <c r="F67" s="24"/>
      <c r="G67" s="24"/>
      <c r="H67" s="124">
        <f t="shared" si="4"/>
        <v>108921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229763.66</v>
      </c>
      <c r="D70" s="139">
        <f>D69</f>
        <v>0</v>
      </c>
      <c r="E70" s="139">
        <f>E69</f>
        <v>0</v>
      </c>
      <c r="F70" s="139">
        <f>F69</f>
        <v>0</v>
      </c>
      <c r="G70" s="139">
        <f>G69</f>
        <v>0</v>
      </c>
      <c r="H70" s="124">
        <f t="shared" si="4"/>
        <v>229763.66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s="124">
        <f t="shared" si="4"/>
        <v>0</v>
      </c>
      <c r="I77"/>
    </row>
    <row r="78" spans="1:9" ht="12.75" thickTop="1" thickBot="1" x14ac:dyDescent="0.25">
      <c r="A78" s="29" t="s">
        <v>259</v>
      </c>
      <c r="B78" s="6"/>
      <c r="C78" s="130">
        <f>SUM(C72:C77)</f>
        <v>0</v>
      </c>
      <c r="D78" s="130">
        <f>SUM(D72:D77)</f>
        <v>0</v>
      </c>
      <c r="E78" s="130">
        <f>SUM(E72:E77)</f>
        <v>0</v>
      </c>
      <c r="F78" s="130">
        <f>SUM(F72:F77)</f>
        <v>0</v>
      </c>
      <c r="G78" s="130">
        <f>SUM(G72:G77)</f>
        <v>0</v>
      </c>
      <c r="H78" s="124">
        <f t="shared" si="4"/>
        <v>0</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229763.66</v>
      </c>
      <c r="D81" s="130">
        <f>SUM(D79:D80)+D78+D70</f>
        <v>0</v>
      </c>
      <c r="E81" s="130">
        <f>SUM(E79:E80)+E78+E70</f>
        <v>0</v>
      </c>
      <c r="F81" s="130">
        <f>SUM(F79:F80)+F78+F70</f>
        <v>0</v>
      </c>
      <c r="G81" s="130">
        <f>SUM(G79:G80)+G78+G70</f>
        <v>0</v>
      </c>
      <c r="H81" s="130">
        <f t="shared" si="4"/>
        <v>229763.66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0</v>
      </c>
      <c r="D88" s="326">
        <f>SUM('DOE25'!G153:G162)</f>
        <v>0</v>
      </c>
      <c r="E88" s="326">
        <f>SUM('DOE25'!H153:H162)</f>
        <v>0</v>
      </c>
      <c r="F88" s="326">
        <f>SUM('DOE25'!I153:I162)</f>
        <v>0</v>
      </c>
      <c r="G88" s="24" t="s">
        <v>288</v>
      </c>
      <c r="H88" s="124">
        <f t="shared" si="5"/>
        <v>0</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12369.19</v>
      </c>
      <c r="D90" s="24" t="s">
        <v>288</v>
      </c>
      <c r="E90" s="24" t="s">
        <v>288</v>
      </c>
      <c r="F90" s="24" t="s">
        <v>288</v>
      </c>
      <c r="G90" s="24" t="s">
        <v>288</v>
      </c>
      <c r="H90" s="124">
        <f t="shared" si="5"/>
        <v>12369.19</v>
      </c>
    </row>
    <row r="91" spans="1:9" ht="12.75" thickTop="1" thickBot="1" x14ac:dyDescent="0.25">
      <c r="A91" s="33" t="s">
        <v>750</v>
      </c>
      <c r="C91" s="131">
        <f>SUM(C85:C90)</f>
        <v>12369.19</v>
      </c>
      <c r="D91" s="131">
        <f>SUM(D85:D90)</f>
        <v>0</v>
      </c>
      <c r="E91" s="131">
        <f>SUM(E85:E90)</f>
        <v>0</v>
      </c>
      <c r="F91" s="131">
        <f>SUM(F85:F90)</f>
        <v>0</v>
      </c>
      <c r="G91" s="24" t="s">
        <v>288</v>
      </c>
      <c r="H91" s="124">
        <f t="shared" si="5"/>
        <v>12369.19</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20000</v>
      </c>
      <c r="H96" s="124">
        <f t="shared" si="5"/>
        <v>20000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20000</v>
      </c>
      <c r="H103" s="86">
        <f t="shared" si="5"/>
        <v>20000</v>
      </c>
    </row>
    <row r="104" spans="1:8" ht="12.75" thickTop="1" thickBot="1" x14ac:dyDescent="0.25">
      <c r="A104" s="33" t="s">
        <v>761</v>
      </c>
      <c r="C104" s="86">
        <f>C63+C81+C91+C103</f>
        <v>725472.44</v>
      </c>
      <c r="D104" s="86">
        <f>D63+D81+D91+D103</f>
        <v>0</v>
      </c>
      <c r="E104" s="86">
        <f>E63+E81+E91+E103</f>
        <v>0</v>
      </c>
      <c r="F104" s="86">
        <f>F63+F81+F91+F103</f>
        <v>0</v>
      </c>
      <c r="G104" s="86">
        <f>G63+G81+G103</f>
        <v>20024.75</v>
      </c>
      <c r="H104" s="86">
        <f t="shared" si="5"/>
        <v>745497.19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564673.30000000005</v>
      </c>
      <c r="D109" s="24" t="s">
        <v>288</v>
      </c>
      <c r="E109" s="95">
        <f>('DOE25'!L277)+('DOE25'!L296)+('DOE25'!L315)</f>
        <v>0</v>
      </c>
      <c r="F109" s="24" t="s">
        <v>288</v>
      </c>
      <c r="G109" s="24" t="s">
        <v>288</v>
      </c>
      <c r="H109" s="124">
        <f t="shared" ref="H109:H115" si="6">SUM(C109:G109)</f>
        <v>564673.30000000005</v>
      </c>
    </row>
    <row r="110" spans="1:8" x14ac:dyDescent="0.2">
      <c r="A110" t="s">
        <v>198</v>
      </c>
      <c r="B110" s="32" t="s">
        <v>199</v>
      </c>
      <c r="C110" s="95">
        <f>('DOE25'!L199)+('DOE25'!L217)+('DOE25'!L235)</f>
        <v>201450.99</v>
      </c>
      <c r="D110" s="24" t="s">
        <v>288</v>
      </c>
      <c r="E110" s="95">
        <f>('DOE25'!L278)+('DOE25'!L297)+('DOE25'!L316)</f>
        <v>0</v>
      </c>
      <c r="F110" s="24" t="s">
        <v>288</v>
      </c>
      <c r="G110" s="24" t="s">
        <v>288</v>
      </c>
      <c r="H110" s="124">
        <f t="shared" si="6"/>
        <v>201450.99</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766124.29</v>
      </c>
      <c r="D115" s="86">
        <f>SUM(D109:D114)</f>
        <v>0</v>
      </c>
      <c r="E115" s="86">
        <f>SUM(E109:E114)</f>
        <v>0</v>
      </c>
      <c r="F115" s="86">
        <f>SUM(F109:F114)</f>
        <v>0</v>
      </c>
      <c r="G115" s="86">
        <f>SUM(G109:G114)</f>
        <v>0</v>
      </c>
      <c r="H115" s="86">
        <f t="shared" si="6"/>
        <v>766124.29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17866</v>
      </c>
      <c r="D118" s="24" t="s">
        <v>288</v>
      </c>
      <c r="E118" s="95">
        <f>+('DOE25'!L282)+('DOE25'!L301)+('DOE25'!L320)</f>
        <v>0</v>
      </c>
      <c r="F118" s="24" t="s">
        <v>288</v>
      </c>
      <c r="G118" s="24" t="s">
        <v>288</v>
      </c>
      <c r="H118" s="124">
        <f t="shared" ref="H118:H145" si="7">SUM(C118:G118)</f>
        <v>17866</v>
      </c>
    </row>
    <row r="119" spans="1:8" x14ac:dyDescent="0.2">
      <c r="A119" t="s">
        <v>208</v>
      </c>
      <c r="B119" s="32" t="s">
        <v>209</v>
      </c>
      <c r="C119" s="95">
        <f>('DOE25'!L204)+('DOE25'!L222)+('DOE25'!L240)</f>
        <v>0</v>
      </c>
      <c r="D119" s="24" t="s">
        <v>288</v>
      </c>
      <c r="E119" s="95">
        <f>+('DOE25'!L283)+('DOE25'!L302)+('DOE25'!L321)</f>
        <v>0</v>
      </c>
      <c r="F119" s="24" t="s">
        <v>288</v>
      </c>
      <c r="G119" s="24" t="s">
        <v>288</v>
      </c>
      <c r="H119" s="124">
        <f t="shared" si="7"/>
        <v>0</v>
      </c>
    </row>
    <row r="120" spans="1:8" x14ac:dyDescent="0.2">
      <c r="A120" t="s">
        <v>210</v>
      </c>
      <c r="B120" s="32" t="s">
        <v>211</v>
      </c>
      <c r="C120" s="95">
        <f>('DOE25'!L205)+('DOE25'!L223)+('DOE25'!L241)</f>
        <v>15355.570000000002</v>
      </c>
      <c r="D120" s="24" t="s">
        <v>288</v>
      </c>
      <c r="E120" s="95">
        <f>+('DOE25'!L284)+('DOE25'!L303)+('DOE25'!L322)</f>
        <v>0</v>
      </c>
      <c r="F120" s="24" t="s">
        <v>288</v>
      </c>
      <c r="G120" s="24" t="s">
        <v>288</v>
      </c>
      <c r="H120" s="124">
        <f t="shared" si="7"/>
        <v>15355.570000000002</v>
      </c>
    </row>
    <row r="121" spans="1:8" x14ac:dyDescent="0.2">
      <c r="A121" t="s">
        <v>212</v>
      </c>
      <c r="B121" s="32" t="s">
        <v>213</v>
      </c>
      <c r="C121" s="95">
        <f>('DOE25'!L206)+('DOE25'!L224)+('DOE25'!L242)</f>
        <v>0</v>
      </c>
      <c r="D121" s="24" t="s">
        <v>288</v>
      </c>
      <c r="E121" s="95">
        <f>+('DOE25'!L285)+('DOE25'!L304)+('DOE25'!L323)</f>
        <v>0</v>
      </c>
      <c r="F121" s="24" t="s">
        <v>288</v>
      </c>
      <c r="G121" s="24" t="s">
        <v>288</v>
      </c>
      <c r="H121" s="124">
        <f t="shared" si="7"/>
        <v>0</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0</v>
      </c>
      <c r="D123" s="24" t="s">
        <v>288</v>
      </c>
      <c r="E123" s="95">
        <f>+('DOE25'!L287)+('DOE25'!L306)+('DOE25'!L325)</f>
        <v>0</v>
      </c>
      <c r="F123" s="24" t="s">
        <v>288</v>
      </c>
      <c r="G123" s="24" t="s">
        <v>288</v>
      </c>
      <c r="H123" s="124">
        <f t="shared" si="7"/>
        <v>0</v>
      </c>
    </row>
    <row r="124" spans="1:8" x14ac:dyDescent="0.2">
      <c r="A124" t="s">
        <v>218</v>
      </c>
      <c r="B124" s="32" t="s">
        <v>219</v>
      </c>
      <c r="C124" s="95">
        <f>('DOE25'!L209)+('DOE25'!L227)+('DOE25'!L245+'DOE25'!L255)</f>
        <v>55596.570000000007</v>
      </c>
      <c r="D124" s="24" t="s">
        <v>288</v>
      </c>
      <c r="E124" s="95">
        <f>+('DOE25'!L288)+('DOE25'!L307)+('DOE25'!L326)</f>
        <v>0</v>
      </c>
      <c r="F124" s="24" t="s">
        <v>288</v>
      </c>
      <c r="G124" s="24" t="s">
        <v>288</v>
      </c>
      <c r="H124" s="124">
        <f t="shared" si="7"/>
        <v>55596.570000000007</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0</v>
      </c>
      <c r="E127" s="24" t="s">
        <v>288</v>
      </c>
      <c r="F127" s="24" t="s">
        <v>288</v>
      </c>
      <c r="G127" s="24" t="s">
        <v>288</v>
      </c>
      <c r="H127" s="124">
        <f t="shared" si="7"/>
        <v>0</v>
      </c>
    </row>
    <row r="128" spans="1:8" ht="12.75" thickTop="1" thickBot="1" x14ac:dyDescent="0.25">
      <c r="A128" s="33" t="s">
        <v>226</v>
      </c>
      <c r="C128" s="86">
        <f>SUM(C118:C127)</f>
        <v>88818.140000000014</v>
      </c>
      <c r="D128" s="86">
        <f>SUM(D118:D127)</f>
        <v>0</v>
      </c>
      <c r="E128" s="86">
        <f>SUM(E118:E127)</f>
        <v>0</v>
      </c>
      <c r="F128" s="86">
        <f>SUM(F118:F127)</f>
        <v>0</v>
      </c>
      <c r="G128" s="86">
        <f>SUM(G118:G127)</f>
        <v>0</v>
      </c>
      <c r="H128" s="86">
        <f t="shared" si="7"/>
        <v>88818.140000000014</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20024.75</v>
      </c>
      <c r="D139" s="24" t="s">
        <v>288</v>
      </c>
      <c r="E139" s="24" t="s">
        <v>288</v>
      </c>
      <c r="F139" s="24" t="s">
        <v>288</v>
      </c>
      <c r="G139" s="24" t="s">
        <v>288</v>
      </c>
      <c r="H139" s="124">
        <f t="shared" si="7"/>
        <v>20024.75</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-24.75</v>
      </c>
      <c r="D141" s="24" t="s">
        <v>288</v>
      </c>
      <c r="E141" s="24" t="s">
        <v>288</v>
      </c>
      <c r="F141" s="24" t="s">
        <v>288</v>
      </c>
      <c r="G141" s="24" t="s">
        <v>288</v>
      </c>
      <c r="H141" s="124">
        <f t="shared" si="7"/>
        <v>-24.75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20000</v>
      </c>
      <c r="D144" s="141">
        <f>SUM(D130:D143)</f>
        <v>0</v>
      </c>
      <c r="E144" s="141">
        <f>SUM(E130:E143)</f>
        <v>0</v>
      </c>
      <c r="F144" s="141">
        <f>SUM(F130:F143)</f>
        <v>0</v>
      </c>
      <c r="G144" s="141">
        <f>SUM(G130:G143)</f>
        <v>0</v>
      </c>
      <c r="H144" s="141">
        <f t="shared" si="7"/>
        <v>20000</v>
      </c>
    </row>
    <row r="145" spans="1:9" ht="12.75" thickTop="1" thickBot="1" x14ac:dyDescent="0.25">
      <c r="A145" s="33" t="s">
        <v>244</v>
      </c>
      <c r="C145" s="86">
        <f>(C115+C128+C144)</f>
        <v>874942.43</v>
      </c>
      <c r="D145" s="86">
        <f>(D115+D128+D144)</f>
        <v>0</v>
      </c>
      <c r="E145" s="86">
        <f>(E115+E128+E144)</f>
        <v>0</v>
      </c>
      <c r="F145" s="86">
        <f>(F115+F128+F144)</f>
        <v>0</v>
      </c>
      <c r="G145" s="86">
        <f>(G115+G128+G144)</f>
        <v>0</v>
      </c>
      <c r="H145" s="86">
        <f t="shared" si="7"/>
        <v>874942.43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Chatham</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0</v>
      </c>
    </row>
    <row r="9" spans="1:4" x14ac:dyDescent="0.2">
      <c r="A9" s="186" t="s">
        <v>94</v>
      </c>
      <c r="B9" s="187" t="s">
        <v>1800</v>
      </c>
      <c r="C9" s="180" t="s">
        <v>720</v>
      </c>
      <c r="D9" s="180" t="s">
        <v>721</v>
      </c>
    </row>
    <row r="10" spans="1:4" x14ac:dyDescent="0.2">
      <c r="A10">
        <v>1100</v>
      </c>
      <c r="B10" t="s">
        <v>702</v>
      </c>
      <c r="C10" s="178">
        <f>ROUND('DOE25'!L198+'DOE25'!L216+'DOE25'!L234+'DOE25'!L277+'DOE25'!L296+'DOE25'!L315,0)</f>
        <v>564673</v>
      </c>
      <c r="D10" s="181">
        <f>ROUND((C10/$C$28)*100,1)</f>
        <v>66</v>
      </c>
    </row>
    <row r="11" spans="1:4" x14ac:dyDescent="0.2">
      <c r="A11">
        <v>1200</v>
      </c>
      <c r="B11" t="s">
        <v>703</v>
      </c>
      <c r="C11" s="178">
        <f>ROUND('DOE25'!L199+'DOE25'!L217+'DOE25'!L235+'DOE25'!L278+'DOE25'!L297+'DOE25'!L316,0)</f>
        <v>201451</v>
      </c>
      <c r="D11" s="181">
        <f>ROUND((C11/$C$28)*100,1)</f>
        <v>23.6</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17866</v>
      </c>
      <c r="D15" s="181">
        <f t="shared" ref="D15:D27" si="0">ROUND((C15/$C$28)*100,1)</f>
        <v>2.1</v>
      </c>
    </row>
    <row r="16" spans="1:4" x14ac:dyDescent="0.2">
      <c r="A16">
        <v>2200</v>
      </c>
      <c r="B16" t="s">
        <v>707</v>
      </c>
      <c r="C16" s="178">
        <f>ROUND('DOE25'!L204+'DOE25'!L222+'DOE25'!L240+'DOE25'!L283+'DOE25'!L302+'DOE25'!L321,0)</f>
        <v>0</v>
      </c>
      <c r="D16" s="181">
        <f t="shared" si="0"/>
        <v>0</v>
      </c>
    </row>
    <row r="17" spans="1:4" x14ac:dyDescent="0.2">
      <c r="A17" s="182" t="s">
        <v>723</v>
      </c>
      <c r="B17" t="s">
        <v>738</v>
      </c>
      <c r="C17" s="178">
        <f>ROUND('DOE25'!L205+'DOE25'!L210+'DOE25'!L223+'DOE25'!L228+'DOE25'!L241+'DOE25'!L246+'DOE25'!L284+'DOE25'!L289+'DOE25'!L303+'DOE25'!L308+'DOE25'!L322+'DOE25'!L327,0)</f>
        <v>15356</v>
      </c>
      <c r="D17" s="181">
        <f t="shared" si="0"/>
        <v>1.8</v>
      </c>
    </row>
    <row r="18" spans="1:4" x14ac:dyDescent="0.2">
      <c r="A18">
        <v>2400</v>
      </c>
      <c r="B18" t="s">
        <v>711</v>
      </c>
      <c r="C18" s="178">
        <f>ROUND('DOE25'!L206+'DOE25'!L224+'DOE25'!L242+'DOE25'!L285+'DOE25'!L304+'DOE25'!L323,0)</f>
        <v>0</v>
      </c>
      <c r="D18" s="181">
        <f t="shared" si="0"/>
        <v>0</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0</v>
      </c>
      <c r="D20" s="181">
        <f t="shared" si="0"/>
        <v>0</v>
      </c>
    </row>
    <row r="21" spans="1:4" x14ac:dyDescent="0.2">
      <c r="A21">
        <v>2700</v>
      </c>
      <c r="B21" t="s">
        <v>710</v>
      </c>
      <c r="C21" s="178">
        <f>ROUND('DOE25'!L209+'DOE25'!L227+'DOE25'!L245+'DOE25'!L288+'DOE25'!L307+'DOE25'!L326,0)</f>
        <v>55597</v>
      </c>
      <c r="D21" s="181">
        <f t="shared" si="0"/>
        <v>6.5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0</v>
      </c>
      <c r="D27" s="181">
        <f t="shared" si="0"/>
        <v>0</v>
      </c>
    </row>
    <row r="28" spans="1:4" x14ac:dyDescent="0.2">
      <c r="B28" s="186" t="s">
        <v>719</v>
      </c>
      <c r="C28" s="179">
        <f>SUM(C10:C27)</f>
        <v>854943</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854943</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483319</v>
      </c>
      <c r="D35" s="181">
        <f t="shared" ref="D35:D40" si="1">ROUND((C35/$C$41)*100,1)</f>
        <v>66.599999999999994</v>
      </c>
    </row>
    <row r="36" spans="1:4" x14ac:dyDescent="0.2">
      <c r="B36" s="184" t="s">
        <v>739</v>
      </c>
      <c r="C36" s="178">
        <f>SUM('DOE25'!F112:J112)-SUM('DOE25'!G97:G110)+('DOE25'!F175+'DOE25'!F176+'DOE25'!I175+'DOE25'!I176)-C35</f>
        <v>45.340000000025611</v>
      </c>
      <c r="D36" s="181">
        <f t="shared" si="1"/>
        <v>0</v>
      </c>
    </row>
    <row r="37" spans="1:4" x14ac:dyDescent="0.2">
      <c r="A37" s="182" t="s">
        <v>835</v>
      </c>
      <c r="B37" s="184" t="s">
        <v>728</v>
      </c>
      <c r="C37" s="178">
        <f>ROUND('DOE25'!F117+'DOE25'!F118,0)</f>
        <v>229764</v>
      </c>
      <c r="D37" s="181">
        <f t="shared" si="1"/>
        <v>31.7</v>
      </c>
    </row>
    <row r="38" spans="1:4" x14ac:dyDescent="0.2">
      <c r="A38" s="182" t="s">
        <v>734</v>
      </c>
      <c r="B38" s="184" t="s">
        <v>729</v>
      </c>
      <c r="C38" s="178">
        <f>ROUND(SUM('DOE25'!F140:J140)-SUM('DOE25'!F117:F119),0)</f>
        <v>0</v>
      </c>
      <c r="D38" s="181">
        <f t="shared" si="1"/>
        <v>0</v>
      </c>
    </row>
    <row r="39" spans="1:4" x14ac:dyDescent="0.2">
      <c r="A39">
        <v>4000</v>
      </c>
      <c r="B39" s="184" t="s">
        <v>730</v>
      </c>
      <c r="C39" s="178">
        <f>ROUND('DOE25'!F170+'DOE25'!G170+'DOE25'!H170+'DOE25'!I170,0)</f>
        <v>12369</v>
      </c>
      <c r="D39" s="181">
        <f t="shared" si="1"/>
        <v>1.7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725497.34000000008</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Chatham</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41</vt:i4>
      </vt:variant>
    </vt:vector>
  </HeadingPairs>
  <TitlesOfParts>
    <vt:vector size="51"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'MS-25'!Print_Area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2022-08-31T13:15:08Z</cp:lastPrinted>
  <dcterms:created xsi:type="dcterms:W3CDTF">1997-12-04T19:04:30Z</dcterms:created>
  <dcterms:modified xsi:type="dcterms:W3CDTF">2022-09-22T13:58:51Z</dcterms:modified>
</cp:coreProperties>
</file>