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D487B98-5DFA-41D6-A841-3946E7D084F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46" i="1"/>
  <c r="D11" i="13" l="1"/>
  <c r="C19" i="12"/>
  <c r="B19" i="12"/>
  <c r="C20" i="12"/>
  <c r="B20" i="12"/>
  <c r="C10" i="12"/>
  <c r="B10" i="12"/>
  <c r="C12" i="12"/>
  <c r="B12" i="12"/>
  <c r="C11" i="12"/>
  <c r="E13" i="17"/>
  <c r="E9" i="17"/>
  <c r="H583" i="1"/>
  <c r="H578" i="1" l="1"/>
  <c r="G563" i="1"/>
  <c r="H593" i="1"/>
  <c r="H542" i="1"/>
  <c r="H532" i="1"/>
  <c r="G534" i="1"/>
  <c r="F532" i="1"/>
  <c r="H527" i="1"/>
  <c r="H524" i="1"/>
  <c r="H522" i="1"/>
  <c r="J469" i="1"/>
  <c r="H605" i="1"/>
  <c r="H592" i="1"/>
  <c r="H278" i="1" l="1"/>
  <c r="I277" i="1"/>
  <c r="I287" i="1"/>
  <c r="H287" i="1"/>
  <c r="H277" i="1"/>
  <c r="J283" i="1"/>
  <c r="H283" i="1"/>
  <c r="G283" i="1"/>
  <c r="F283" i="1"/>
  <c r="I282" i="1"/>
  <c r="H282" i="1"/>
  <c r="G282" i="1"/>
  <c r="F282" i="1"/>
  <c r="G278" i="1"/>
  <c r="F278" i="1"/>
  <c r="I278" i="1"/>
  <c r="J277" i="1"/>
  <c r="G277" i="1"/>
  <c r="F277" i="1"/>
  <c r="H155" i="1"/>
  <c r="H162" i="1"/>
  <c r="H159" i="1"/>
  <c r="H154" i="1"/>
  <c r="H145" i="1"/>
  <c r="H208" i="1"/>
  <c r="H206" i="1"/>
  <c r="H205" i="1"/>
  <c r="H204" i="1"/>
  <c r="I203" i="1"/>
  <c r="H203" i="1"/>
  <c r="H201" i="1"/>
  <c r="H235" i="1"/>
  <c r="J199" i="1"/>
  <c r="I199" i="1"/>
  <c r="H199" i="1"/>
  <c r="H198" i="1" l="1"/>
  <c r="F24" i="1"/>
  <c r="F49" i="1"/>
  <c r="F110" i="1" l="1"/>
  <c r="G40" i="1" l="1"/>
  <c r="F369" i="1"/>
  <c r="F368" i="1"/>
  <c r="I359" i="1"/>
  <c r="H359" i="1"/>
  <c r="G35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H653" i="1"/>
  <c r="G654" i="1"/>
  <c r="H654" i="1"/>
  <c r="H655" i="1"/>
  <c r="H656" i="1"/>
  <c r="I170" i="1"/>
  <c r="G646" i="1" l="1"/>
  <c r="H97" i="2"/>
  <c r="H94" i="2"/>
  <c r="H101" i="2"/>
  <c r="H99" i="2"/>
  <c r="H79" i="2"/>
  <c r="H76" i="2"/>
  <c r="H61" i="2"/>
  <c r="H96" i="2"/>
  <c r="H30" i="2"/>
  <c r="H28" i="2"/>
  <c r="H25" i="2"/>
  <c r="H17" i="2"/>
  <c r="H15" i="2"/>
  <c r="H38" i="2"/>
  <c r="H43" i="2"/>
  <c r="H27" i="2"/>
  <c r="H24" i="2"/>
  <c r="C32" i="10"/>
  <c r="D18" i="13"/>
  <c r="C18" i="13" s="1"/>
  <c r="C12" i="10"/>
  <c r="H58" i="2"/>
  <c r="H132" i="2"/>
  <c r="H36" i="2"/>
  <c r="H44" i="2"/>
  <c r="H48" i="2"/>
  <c r="H35" i="2"/>
  <c r="H26" i="2"/>
  <c r="H22" i="2"/>
  <c r="E121" i="2"/>
  <c r="I409" i="1"/>
  <c r="H13" i="2"/>
  <c r="H9" i="2"/>
  <c r="D144" i="2"/>
  <c r="H69" i="2"/>
  <c r="E13" i="13"/>
  <c r="C13" i="13" s="1"/>
  <c r="H102" i="2"/>
  <c r="H100" i="2"/>
  <c r="H98" i="2"/>
  <c r="H73" i="2"/>
  <c r="H34" i="2"/>
  <c r="H143" i="2"/>
  <c r="H89" i="2"/>
  <c r="H72" i="2"/>
  <c r="E124" i="2"/>
  <c r="C112" i="2"/>
  <c r="H112" i="2" s="1"/>
  <c r="J652" i="1"/>
  <c r="H477" i="1"/>
  <c r="H625" i="1" s="1"/>
  <c r="J625" i="1" s="1"/>
  <c r="H47" i="2"/>
  <c r="G409" i="1"/>
  <c r="H646" i="1" s="1"/>
  <c r="J646" i="1" s="1"/>
  <c r="G62" i="2"/>
  <c r="G63" i="2" s="1"/>
  <c r="H59" i="2"/>
  <c r="D15" i="13"/>
  <c r="C15" i="13" s="1"/>
  <c r="C121" i="2"/>
  <c r="H121" i="2" s="1"/>
  <c r="C120" i="2"/>
  <c r="H120" i="2" s="1"/>
  <c r="D6" i="13"/>
  <c r="C6" i="13" s="1"/>
  <c r="C13" i="10"/>
  <c r="A40" i="12"/>
  <c r="H11" i="2"/>
  <c r="H29" i="2"/>
  <c r="H23" i="2"/>
  <c r="H8" i="2"/>
  <c r="H12" i="2"/>
  <c r="G477" i="1"/>
  <c r="H624" i="1" s="1"/>
  <c r="J624" i="1" s="1"/>
  <c r="G662" i="1"/>
  <c r="D78" i="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I663" i="1" l="1"/>
  <c r="G24" i="14"/>
  <c r="H24" i="14" s="1"/>
  <c r="I24" i="14" s="1"/>
  <c r="H114" i="2"/>
  <c r="B33" i="16"/>
  <c r="H122" i="2"/>
  <c r="H57" i="2"/>
  <c r="H134" i="2"/>
  <c r="L572" i="1"/>
  <c r="H21" i="2"/>
  <c r="H16" i="2"/>
  <c r="H42" i="2"/>
  <c r="H103" i="2"/>
  <c r="H123" i="2"/>
  <c r="E128" i="2"/>
  <c r="H118" i="2"/>
  <c r="E115" i="2"/>
  <c r="F661" i="1"/>
  <c r="F665" i="1" s="1"/>
  <c r="F668" i="1" s="1"/>
  <c r="H109" i="2"/>
  <c r="H78" i="2"/>
  <c r="F194" i="1"/>
  <c r="G628" i="1" s="1"/>
  <c r="J628" i="1" s="1"/>
  <c r="H50" i="2"/>
  <c r="H18" i="2"/>
  <c r="C81" i="2"/>
  <c r="E51" i="2"/>
  <c r="D128" i="2"/>
  <c r="H127" i="2"/>
  <c r="D81" i="2"/>
  <c r="H81" i="2" s="1"/>
  <c r="D63" i="2"/>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E33" i="13"/>
  <c r="D35" i="13" s="1"/>
  <c r="J648" i="1"/>
  <c r="L258" i="1"/>
  <c r="L272" i="1" s="1"/>
  <c r="G633" i="1" s="1"/>
  <c r="J633" i="1" s="1"/>
  <c r="C115" i="2"/>
  <c r="C63" i="2"/>
  <c r="G33" i="13"/>
  <c r="C128" i="2"/>
  <c r="D31" i="13"/>
  <c r="C31" i="13" s="1"/>
  <c r="I462" i="1"/>
  <c r="H643" i="1" s="1"/>
  <c r="J643" i="1" s="1"/>
  <c r="G661" i="1"/>
  <c r="G665" i="1" s="1"/>
  <c r="G673" i="1" s="1"/>
  <c r="C5" i="10" s="1"/>
  <c r="C25" i="13"/>
  <c r="I33" i="13"/>
  <c r="K553" i="1"/>
  <c r="C51" i="2"/>
  <c r="G632" i="1"/>
  <c r="J632" i="1" s="1"/>
  <c r="G627" i="1"/>
  <c r="J627" i="1" s="1"/>
  <c r="J52" i="1"/>
  <c r="H622" i="1" s="1"/>
  <c r="J622" i="1" s="1"/>
  <c r="C38" i="10"/>
  <c r="E145" i="2" l="1"/>
  <c r="H115" i="2"/>
  <c r="C144" i="2"/>
  <c r="C145" i="2" s="1"/>
  <c r="H141" i="2"/>
  <c r="H63" i="2"/>
  <c r="H51" i="2"/>
  <c r="C104" i="2"/>
  <c r="D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144" i="2" l="1"/>
  <c r="H145" i="2"/>
  <c r="I668" i="1"/>
  <c r="D28" i="10"/>
  <c r="G147" i="1"/>
  <c r="D85" i="2" s="1"/>
  <c r="G170" i="1"/>
  <c r="G194" i="1" s="1"/>
  <c r="G629" i="1" s="1"/>
  <c r="H657" i="1" l="1"/>
  <c r="J629" i="1"/>
  <c r="H85" i="2"/>
  <c r="D91" i="2"/>
  <c r="B12" i="16"/>
  <c r="B14" i="16" s="1"/>
  <c r="B22" i="16" s="1"/>
  <c r="C39" i="10"/>
  <c r="C41" i="10" l="1"/>
  <c r="D39" i="10" s="1"/>
  <c r="H91" i="2"/>
  <c r="D104" i="2"/>
  <c r="H104" i="2" s="1"/>
  <c r="D35" i="10" l="1"/>
  <c r="D37" i="10"/>
  <c r="D40" i="10"/>
  <c r="D38" i="10"/>
  <c r="D36"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<sst xmlns="http://schemas.openxmlformats.org/spreadsheetml/2006/main" count="6532" uniqueCount="1804">
  <si>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</si>
  <si>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</si>
  <si>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</si>
  <si>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</si>
  <si>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</si>
  <si>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</si>
  <si>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</si>
  <si>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</si>
  <si>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</si>
  <si>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</si>
  <si>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</si>
  <si>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</si>
  <si>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</si>
  <si>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</si>
  <si>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</si>
  <si>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</si>
  <si>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</si>
  <si>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</si>
  <si>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</si>
  <si>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</si>
  <si>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</si>
  <si>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</si>
  <si>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</si>
  <si>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</si>
  <si>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</si>
  <si>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</si>
  <si>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</si>
  <si>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</si>
  <si>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</si>
  <si>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</si>
  <si>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</si>
  <si>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</si>
  <si>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</si>
  <si>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</si>
  <si>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</si>
  <si>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</si>
  <si>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</si>
  <si>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</si>
  <si>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</si>
  <si>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</si>
  <si>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</si>
  <si>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</si>
  <si>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</si>
  <si>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</si>
  <si>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</si>
  <si>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</si>
  <si>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</si>
  <si>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</si>
  <si>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</si>
  <si>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</si>
  <si>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</si>
  <si>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</si>
  <si>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</si>
  <si>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</si>
  <si>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</si>
  <si>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</si>
  <si>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</si>
  <si>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</si>
  <si>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</si>
  <si>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</si>
  <si>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</si>
  <si>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</si>
  <si>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</si>
  <si>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</si>
  <si>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</si>
  <si>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</si>
  <si>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</si>
  <si>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</si>
  <si>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</si>
  <si>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</si>
  <si>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</si>
  <si>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</si>
  <si>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</si>
  <si>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</si>
  <si>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</si>
  <si>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</si>
  <si>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</si>
  <si>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</si>
  <si>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</si>
  <si>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</si>
  <si>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</si>
  <si>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</si>
  <si>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</si>
  <si>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</si>
  <si>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</si>
  <si>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</si>
  <si>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</si>
  <si>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</si>
  <si>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</si>
  <si>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</si>
  <si>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</si>
  <si>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</si>
  <si>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</si>
  <si>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</si>
  <si>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</si>
  <si>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</si>
  <si>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</si>
  <si>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</si>
  <si>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</si>
  <si>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</si>
  <si>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</si>
  <si>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</si>
  <si>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</si>
  <si>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</si>
  <si>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</si>
  <si>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</si>
  <si>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</si>
  <si>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</si>
  <si>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</si>
  <si>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</si>
  <si>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</si>
  <si>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</si>
  <si>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</si>
  <si>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</si>
  <si>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</si>
  <si>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</si>
  <si>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</si>
  <si>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</si>
  <si>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</si>
  <si>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</si>
  <si>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</si>
  <si>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</si>
  <si>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</si>
  <si>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</si>
  <si>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</si>
  <si>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</si>
  <si>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</si>
  <si>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</si>
  <si>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</si>
  <si>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</si>
  <si>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</si>
  <si>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</si>
  <si>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</si>
  <si>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</si>
  <si>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</si>
  <si>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</si>
  <si>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</si>
  <si>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</si>
  <si>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</si>
  <si>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</si>
  <si>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</si>
  <si>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</si>
  <si>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</si>
  <si>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</si>
  <si>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</si>
  <si>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</si>
  <si>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</si>
  <si>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</si>
  <si>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</si>
  <si>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</si>
  <si>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</si>
  <si>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</si>
  <si>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</si>
  <si>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</si>
  <si>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</si>
  <si>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</si>
  <si>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</si>
  <si>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</si>
  <si>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</si>
  <si>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</si>
  <si>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</si>
  <si>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</si>
  <si>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</si>
  <si>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</si>
  <si>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</si>
  <si>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</si>
  <si>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</si>
  <si>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</si>
  <si>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</si>
  <si>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</si>
  <si>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</si>
  <si>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</si>
  <si>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</si>
  <si>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</si>
  <si>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</si>
  <si>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</si>
  <si>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</si>
  <si>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</si>
  <si>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</si>
  <si>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</si>
  <si>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</si>
  <si>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</si>
  <si>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</si>
  <si>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</si>
  <si>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</si>
  <si>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</si>
  <si>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</si>
  <si>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</si>
  <si>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</si>
  <si>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</si>
  <si>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</si>
  <si>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</si>
  <si>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</si>
  <si>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</si>
  <si>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</si>
  <si>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</si>
  <si>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</si>
  <si>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</si>
  <si>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</si>
  <si>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</si>
  <si>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</si>
  <si>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</si>
  <si>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</si>
  <si>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</si>
  <si>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</si>
  <si>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</si>
  <si>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</si>
  <si>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</si>
  <si>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</si>
  <si>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</si>
  <si>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</si>
  <si>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</si>
  <si>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</si>
  <si>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</si>
  <si>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</si>
  <si>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</si>
  <si>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</si>
  <si>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</si>
  <si>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</si>
  <si>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</si>
  <si>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</si>
  <si>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</si>
  <si>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</si>
  <si>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</si>
  <si>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</si>
  <si>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</si>
  <si>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</si>
  <si>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</si>
  <si>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</si>
  <si>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</si>
  <si>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</si>
  <si>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</si>
  <si>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</si>
  <si>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</si>
  <si>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</si>
  <si>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</si>
  <si>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</si>
  <si>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</si>
  <si>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</si>
  <si>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</si>
  <si>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</si>
  <si>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</si>
  <si>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</si>
  <si>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</si>
  <si>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</si>
  <si>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</si>
  <si>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</si>
  <si>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</si>
  <si>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</si>
  <si>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</si>
  <si>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</si>
  <si>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</si>
  <si>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</si>
  <si>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</si>
  <si>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</si>
  <si>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</si>
  <si>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</si>
  <si>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</si>
  <si>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</si>
  <si>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</si>
  <si>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</si>
  <si>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</si>
  <si>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</si>
  <si>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</si>
  <si>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</si>
  <si>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</si>
  <si>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</si>
  <si>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</si>
  <si>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</si>
  <si>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</si>
  <si>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</si>
  <si>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</si>
  <si>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</si>
  <si>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</si>
  <si>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</si>
  <si>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</si>
  <si>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</si>
  <si>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</si>
  <si>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</si>
  <si>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</si>
  <si>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</si>
  <si>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</si>
  <si>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</si>
  <si>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</si>
  <si>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</si>
  <si>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</si>
  <si>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</si>
  <si>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</si>
  <si>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</si>
  <si>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</si>
  <si>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</si>
  <si>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</si>
  <si>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</si>
  <si>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</si>
  <si>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</si>
  <si>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</si>
  <si>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</si>
  <si>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</si>
  <si>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</si>
  <si>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</si>
  <si>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</si>
  <si>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</si>
  <si>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</si>
  <si>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</si>
  <si>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</si>
  <si>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</si>
  <si>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</si>
  <si>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</si>
  <si>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</si>
  <si>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</si>
  <si>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</si>
  <si>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</si>
  <si>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</si>
  <si>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</si>
  <si>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</si>
  <si>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</si>
  <si>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</si>
  <si>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</si>
  <si>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</si>
  <si>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</si>
  <si>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</si>
  <si>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</si>
  <si>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</si>
  <si>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</si>
  <si>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</si>
  <si>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</si>
  <si>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</si>
  <si>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</si>
  <si>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</si>
  <si>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</si>
  <si>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</si>
  <si>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</si>
  <si>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</si>
  <si>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</si>
  <si>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</si>
  <si>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</si>
  <si>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</si>
  <si>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</si>
  <si>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</si>
  <si>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</si>
  <si>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</si>
  <si>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</si>
  <si>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</si>
  <si>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</si>
  <si>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</si>
  <si>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</si>
  <si>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</si>
  <si>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</si>
  <si>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</si>
  <si>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</si>
  <si>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</si>
  <si>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</si>
  <si>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</si>
  <si>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</si>
  <si>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</si>
  <si>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</si>
  <si>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</si>
  <si>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</si>
  <si>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</si>
  <si>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</si>
  <si>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</si>
  <si>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</si>
  <si>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</si>
  <si>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</si>
  <si>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</si>
  <si>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</si>
  <si>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</si>
  <si>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</si>
  <si>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</si>
  <si>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</si>
  <si>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</si>
  <si>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</si>
  <si>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</si>
  <si>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</si>
  <si>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</si>
  <si>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</si>
  <si>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</si>
  <si>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</si>
  <si>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</si>
  <si>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</si>
  <si>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</si>
  <si>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</si>
  <si>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</si>
  <si>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</si>
  <si>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</si>
  <si>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</si>
  <si>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</si>
  <si>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</si>
  <si>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</si>
  <si>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</si>
  <si>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</si>
  <si>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</si>
  <si>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</si>
  <si>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</si>
  <si>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</si>
  <si>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</si>
  <si>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</si>
  <si>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</si>
  <si>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</si>
  <si>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</si>
  <si>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</si>
  <si>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</si>
  <si>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</si>
  <si>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</si>
  <si>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</si>
  <si>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</si>
  <si>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</si>
  <si>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</si>
  <si>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</si>
  <si>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</si>
  <si>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</si>
  <si>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</si>
  <si>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</si>
  <si>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</si>
  <si>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</si>
  <si>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</si>
  <si>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</si>
  <si>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</si>
  <si>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</si>
  <si>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</si>
  <si>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</si>
  <si>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</si>
  <si>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</si>
  <si>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</si>
  <si>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</si>
  <si>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</si>
  <si>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</si>
  <si>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</si>
  <si>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</si>
  <si>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</si>
  <si>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</si>
  <si>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</si>
  <si>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</si>
  <si>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</si>
  <si>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</si>
  <si>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</si>
  <si>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</si>
  <si>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</si>
  <si>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</si>
  <si>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</si>
  <si>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</si>
  <si>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</si>
  <si>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</si>
  <si>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</si>
  <si>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</si>
  <si>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</si>
  <si>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</si>
  <si>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</si>
  <si>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</si>
  <si>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</si>
  <si>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</si>
  <si>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</si>
  <si>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</si>
  <si>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</si>
  <si>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</si>
  <si>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</si>
  <si>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</si>
  <si>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</si>
  <si>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</si>
  <si>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</si>
  <si>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</si>
  <si>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</si>
  <si>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</si>
  <si>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</si>
  <si>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</si>
  <si>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</si>
  <si>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</si>
  <si>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</si>
  <si>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</si>
  <si>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</si>
  <si>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</si>
  <si>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</si>
  <si>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</si>
  <si>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</si>
  <si>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</si>
  <si>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</si>
  <si>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</si>
  <si>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</si>
  <si>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</si>
  <si>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</si>
  <si>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</si>
  <si>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</si>
  <si>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</si>
  <si>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</si>
  <si>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</si>
  <si>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</si>
  <si>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</si>
  <si>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</si>
  <si>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</si>
  <si>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</si>
  <si>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</si>
  <si>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</si>
  <si>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</si>
  <si>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</si>
  <si>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</si>
  <si>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</si>
  <si>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</si>
  <si>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</si>
  <si>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</si>
  <si>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</si>
  <si>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</si>
  <si>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</si>
  <si>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</si>
  <si>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</si>
  <si>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</si>
  <si>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</si>
  <si>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</si>
  <si>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</si>
  <si>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</si>
  <si>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</si>
  <si>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</si>
  <si>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</si>
  <si>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</si>
  <si>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</si>
  <si>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</si>
  <si>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</si>
  <si>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</si>
  <si>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</si>
  <si>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</si>
  <si>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</si>
  <si>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</si>
  <si>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</si>
  <si>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</si>
  <si>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</si>
  <si>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</si>
  <si>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</si>
  <si>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</si>
  <si>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</si>
  <si>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</si>
  <si>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</si>
  <si>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</si>
  <si>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</si>
  <si>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</si>
  <si>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</si>
  <si>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</si>
  <si>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</si>
  <si>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</si>
  <si>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</si>
  <si>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</si>
  <si>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</si>
  <si>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</si>
  <si>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</si>
  <si>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</si>
  <si>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</si>
  <si>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</si>
  <si>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</si>
  <si>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</si>
  <si>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</si>
  <si>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</si>
  <si>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</si>
  <si>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</si>
  <si>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</si>
  <si>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</si>
  <si>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</si>
  <si>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</si>
  <si>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</si>
  <si>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</si>
  <si>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</si>
  <si>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</si>
  <si>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</si>
  <si>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</si>
  <si>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</si>
  <si>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</si>
  <si>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</si>
  <si>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</si>
  <si>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</si>
  <si>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</si>
  <si>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</si>
  <si>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</si>
  <si>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</si>
  <si>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</si>
  <si>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</si>
  <si>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</si>
  <si>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</si>
  <si>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</si>
  <si>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</si>
  <si>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</si>
  <si>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</si>
  <si>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</si>
  <si>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</si>
  <si>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</si>
  <si>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</si>
  <si>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</si>
  <si>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</si>
  <si>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</si>
  <si>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</si>
  <si>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</si>
  <si>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</si>
  <si>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</si>
  <si>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</si>
  <si>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</si>
  <si>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</si>
  <si>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</si>
  <si>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</si>
  <si>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</si>
  <si>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</si>
  <si>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</si>
  <si>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</si>
  <si>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</si>
  <si>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</si>
  <si>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</si>
  <si>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</si>
  <si>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</si>
  <si>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</si>
  <si>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</si>
  <si>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</si>
  <si>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</si>
  <si>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</si>
  <si>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</si>
  <si>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</si>
  <si>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</si>
  <si>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</si>
  <si>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</si>
  <si>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</si>
  <si>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</si>
  <si>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</si>
  <si>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</si>
  <si>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</si>
  <si>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</si>
  <si>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</si>
  <si>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</si>
  <si>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</si>
  <si>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</si>
  <si>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</si>
  <si>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</si>
  <si>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</si>
  <si>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</si>
  <si>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</si>
  <si>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</si>
  <si>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</si>
  <si>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</si>
  <si>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</si>
  <si>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</si>
  <si>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</si>
  <si>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</si>
  <si>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</si>
  <si>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</si>
  <si>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</si>
  <si>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</si>
  <si>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</si>
  <si>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</si>
  <si>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</si>
  <si>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</si>
  <si>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</si>
  <si>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</si>
  <si>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</si>
  <si>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</si>
  <si>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</si>
  <si>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</si>
  <si>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</si>
  <si>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</si>
  <si>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</si>
  <si>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</si>
  <si>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</si>
  <si>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</si>
  <si>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</si>
  <si>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</si>
  <si>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</si>
  <si>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</si>
  <si>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</si>
  <si>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</si>
  <si>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</si>
  <si>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</si>
  <si>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</si>
  <si>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</si>
  <si>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</si>
  <si>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</si>
  <si>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</si>
  <si>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</si>
  <si>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</si>
  <si>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</si>
  <si>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</si>
  <si>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</si>
  <si>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</si>
  <si>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</si>
  <si>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</si>
  <si>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</si>
  <si>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</si>
  <si>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</si>
  <si>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</si>
  <si>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</si>
  <si>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</si>
  <si>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</si>
  <si>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</si>
  <si>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</si>
  <si>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</si>
  <si>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</si>
  <si>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</si>
  <si>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</si>
  <si>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</si>
  <si>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</si>
  <si>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</si>
  <si>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</si>
  <si>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</si>
  <si>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</si>
  <si>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</si>
  <si>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</si>
  <si>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</si>
  <si>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</si>
  <si>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</si>
  <si>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</si>
  <si>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</si>
  <si>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</si>
  <si>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</si>
  <si>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</si>
  <si>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</si>
  <si>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</si>
  <si>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</si>
  <si>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</si>
  <si>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</si>
  <si>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</si>
  <si>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</si>
  <si>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</si>
  <si>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</si>
  <si>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</si>
  <si>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</si>
  <si>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</si>
  <si>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</si>
  <si>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</si>
  <si>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</si>
  <si>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</si>
  <si>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</si>
  <si>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</si>
  <si>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</si>
  <si>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</si>
  <si>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</si>
  <si>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</si>
  <si>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</si>
  <si>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</si>
  <si>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</si>
  <si>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</si>
  <si>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</si>
  <si>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</si>
  <si>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</si>
  <si>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</si>
  <si>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</si>
  <si>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</si>
  <si>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</si>
  <si>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</si>
  <si>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</si>
  <si>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</si>
  <si>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</si>
  <si>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</si>
  <si>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</si>
  <si>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</si>
  <si>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</si>
  <si>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</si>
  <si>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</si>
  <si>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</si>
  <si>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</si>
  <si>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</si>
  <si>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</si>
  <si>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</si>
  <si>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</si>
  <si>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</si>
  <si>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</si>
  <si>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</si>
  <si>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</si>
  <si>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</si>
  <si>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</si>
  <si>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</si>
  <si>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</si>
  <si>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</si>
  <si>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</si>
  <si>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</si>
  <si>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</si>
  <si>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</si>
  <si>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</si>
  <si>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</si>
  <si>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</si>
  <si>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</si>
  <si>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</si>
  <si>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</si>
  <si>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</si>
  <si>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</si>
  <si>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</si>
  <si>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</si>
  <si>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</si>
  <si>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</si>
  <si>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</si>
  <si>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</si>
  <si>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</si>
  <si>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</si>
  <si>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</si>
  <si>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</si>
  <si>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</si>
  <si>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</si>
  <si>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</si>
  <si>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</si>
  <si>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</si>
  <si>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</si>
  <si>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</si>
  <si>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</si>
  <si>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</si>
  <si>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</si>
  <si>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</si>
  <si>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</si>
  <si>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</si>
  <si>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</si>
  <si>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</si>
  <si>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</si>
  <si>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</si>
  <si>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</si>
  <si>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</si>
  <si>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</si>
  <si>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</si>
  <si>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</si>
  <si>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</si>
  <si>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</si>
  <si>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</si>
  <si>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</si>
  <si>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</si>
  <si>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</si>
  <si>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</si>
  <si>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</si>
  <si>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</si>
  <si>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</si>
  <si>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</si>
  <si>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</si>
  <si>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</si>
  <si>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</si>
  <si>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</si>
  <si>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</si>
  <si>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</si>
  <si>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</si>
  <si>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</si>
  <si>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</si>
  <si>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</si>
  <si>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</si>
  <si>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</si>
  <si>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</si>
  <si>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</si>
  <si>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</si>
  <si>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</si>
  <si>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</si>
  <si>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</si>
  <si>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</si>
  <si>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</si>
  <si>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</si>
  <si>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</si>
  <si>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</si>
  <si>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</si>
  <si>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</si>
  <si>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</si>
  <si>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</si>
  <si>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</si>
  <si>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</si>
  <si>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</si>
  <si>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</si>
  <si>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</si>
  <si>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</si>
  <si>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</si>
  <si>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</si>
  <si>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</si>
  <si>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</si>
  <si>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</si>
  <si>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</si>
  <si>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</si>
  <si>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</si>
  <si>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</si>
  <si>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</si>
  <si>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</si>
  <si>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</si>
  <si>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</si>
  <si>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</si>
  <si>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</si>
  <si>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</si>
  <si>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</si>
  <si>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</si>
  <si>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</si>
  <si>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</si>
  <si>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</si>
  <si>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</si>
  <si>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</si>
  <si>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</si>
  <si>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</si>
  <si>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</si>
  <si>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</si>
  <si>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</si>
  <si>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</si>
  <si>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</si>
  <si>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</si>
  <si>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</si>
  <si>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</si>
  <si>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</si>
  <si>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</si>
  <si>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</si>
  <si>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</si>
  <si>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</si>
  <si>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</si>
  <si>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</si>
  <si>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</si>
  <si>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</si>
  <si>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</si>
  <si>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</si>
  <si>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</si>
  <si>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</si>
  <si>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</si>
  <si>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</si>
  <si>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</si>
  <si>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</si>
  <si>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</si>
  <si>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</si>
  <si>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</si>
  <si>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</si>
  <si>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</si>
  <si>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</si>
  <si>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</si>
  <si>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</si>
  <si>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</si>
  <si>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</si>
  <si>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</si>
  <si>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</si>
  <si>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</si>
  <si>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</si>
  <si>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</si>
  <si>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</si>
  <si>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</si>
  <si>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</si>
  <si>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</si>
  <si>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</si>
  <si>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</si>
  <si>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</si>
  <si>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</si>
  <si>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</si>
  <si>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</si>
  <si>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</si>
  <si>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</si>
  <si>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</si>
  <si>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</si>
  <si>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</si>
  <si>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</si>
  <si>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</si>
  <si>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</si>
  <si>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</si>
  <si>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</si>
  <si>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</si>
  <si>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</si>
  <si>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</si>
  <si>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</si>
  <si>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</si>
  <si>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</si>
  <si>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</si>
  <si>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</si>
  <si>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</si>
  <si>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</si>
  <si>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</si>
  <si>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</si>
  <si>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</si>
  <si>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</si>
  <si>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</si>
  <si>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</si>
  <si>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</si>
  <si>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</si>
  <si>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</si>
  <si>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</si>
  <si>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</si>
  <si>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</si>
  <si>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</si>
  <si>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</si>
  <si>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</si>
  <si>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</si>
  <si>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</si>
  <si>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</si>
  <si>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</si>
  <si>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</si>
  <si>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</si>
  <si>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</si>
  <si>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</si>
  <si>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</si>
  <si>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</si>
  <si>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</si>
  <si>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</si>
  <si>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</si>
  <si>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</si>
  <si>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</si>
  <si>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</si>
  <si>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</si>
  <si>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</si>
  <si>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</si>
  <si>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</si>
  <si>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</si>
  <si>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</si>
  <si>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</si>
  <si>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</si>
  <si>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</si>
  <si>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</si>
  <si>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</si>
  <si>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</si>
  <si>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</si>
  <si>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</si>
  <si>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</si>
  <si>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</si>
  <si>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</si>
  <si>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</si>
  <si>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</si>
  <si>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</si>
  <si>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</si>
  <si>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</si>
  <si>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</si>
  <si>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</si>
  <si>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</si>
  <si>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</si>
  <si>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</si>
  <si>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</si>
  <si>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</si>
  <si>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</si>
  <si>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</si>
  <si>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</si>
  <si>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</si>
  <si>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</si>
  <si>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</si>
  <si>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</si>
  <si>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</si>
  <si>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</si>
  <si>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</si>
  <si>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</si>
  <si>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</si>
  <si>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</si>
  <si>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</si>
  <si>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</si>
  <si>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</si>
  <si>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</si>
  <si>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</si>
  <si>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</si>
  <si>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</si>
  <si>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</si>
  <si>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</si>
  <si>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</si>
  <si>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</si>
  <si>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</si>
  <si>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</si>
  <si>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</si>
  <si>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</si>
  <si>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</si>
  <si>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</si>
  <si>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</si>
  <si>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</si>
  <si>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</si>
  <si>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</si>
  <si>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</si>
  <si>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</si>
  <si>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</si>
  <si>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</si>
  <si>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</si>
  <si>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</si>
  <si>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</si>
  <si>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</si>
  <si>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</si>
  <si>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</si>
  <si>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</si>
  <si>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</si>
  <si>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</si>
  <si>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</si>
  <si>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</si>
  <si>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</si>
  <si>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</si>
  <si>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</si>
  <si>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</si>
  <si>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</si>
  <si>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</si>
  <si>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</si>
  <si>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</si>
  <si>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</si>
  <si>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</si>
  <si>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</si>
  <si>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</si>
  <si>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</si>
  <si>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</si>
  <si>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</si>
  <si>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</si>
  <si>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</si>
  <si>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</si>
  <si>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</si>
  <si>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</si>
  <si>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</si>
  <si>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</si>
  <si>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</si>
  <si>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</si>
  <si>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</si>
  <si>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</si>
  <si>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</si>
  <si>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</si>
  <si>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</si>
  <si>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</si>
  <si>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</si>
  <si>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</si>
  <si>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</si>
  <si>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</si>
  <si>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</si>
  <si>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</si>
  <si>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</si>
  <si>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</si>
  <si>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</si>
  <si>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</si>
  <si>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</si>
  <si>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</si>
  <si>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</si>
  <si>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</si>
  <si>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</si>
  <si>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</si>
  <si>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</si>
  <si>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</si>
  <si>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</si>
  <si>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</si>
  <si>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</si>
  <si>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</si>
  <si>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</si>
  <si>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</si>
  <si>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</si>
  <si>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</si>
  <si>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</si>
  <si>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</si>
  <si>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</si>
  <si>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</si>
  <si>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</si>
  <si>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</si>
  <si>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</si>
  <si>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</si>
  <si>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</si>
  <si>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</si>
  <si>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</si>
  <si>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</si>
  <si>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</si>
  <si>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</si>
  <si>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</si>
  <si>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</si>
  <si>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</si>
  <si>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</si>
  <si>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</si>
  <si>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</si>
  <si>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</si>
  <si>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</si>
  <si>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</si>
  <si>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</si>
  <si>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</si>
  <si>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</si>
  <si>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</si>
  <si>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</si>
  <si>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</si>
  <si>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</si>
  <si>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</si>
  <si>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</si>
  <si>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</si>
  <si>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</si>
  <si>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</si>
  <si>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</si>
  <si>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</si>
  <si>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</si>
  <si>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</si>
  <si>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</si>
  <si>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</si>
  <si>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</si>
  <si>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</si>
  <si>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</si>
  <si>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</si>
  <si>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</si>
  <si>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</si>
  <si>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</si>
  <si>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</si>
  <si>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</si>
  <si>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</si>
  <si>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</si>
  <si>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</si>
  <si>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</si>
  <si>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</si>
  <si>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</si>
  <si>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</si>
  <si>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</si>
  <si>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</si>
  <si>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</si>
  <si>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</si>
  <si>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</si>
  <si>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</si>
  <si>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</si>
  <si>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</si>
  <si>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</si>
  <si>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</si>
  <si>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</si>
  <si>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</si>
  <si>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</si>
  <si>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</si>
  <si>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</si>
  <si>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</si>
  <si>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</si>
  <si>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</si>
  <si>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</si>
  <si>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</si>
  <si>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</si>
  <si>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</si>
  <si>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</si>
  <si>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</si>
  <si>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</si>
  <si>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</si>
  <si>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</si>
  <si>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</si>
  <si>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</si>
  <si>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</si>
  <si>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</si>
  <si>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</si>
  <si>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</si>
  <si>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</si>
  <si>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</si>
  <si>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</si>
  <si>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</si>
  <si>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</si>
  <si>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</si>
  <si>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</si>
  <si>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</si>
  <si>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</si>
  <si>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</si>
  <si>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</si>
  <si>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</si>
  <si>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</si>
  <si>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</si>
  <si>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</si>
  <si>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</si>
  <si>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</si>
  <si>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</si>
  <si>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</si>
  <si>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</si>
  <si>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</si>
  <si>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</si>
  <si>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</si>
  <si>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</si>
  <si>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</si>
  <si>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</si>
  <si>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</si>
  <si>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</si>
  <si>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</si>
  <si>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</si>
  <si>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</si>
  <si>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</si>
  <si>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</si>
  <si>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</si>
  <si>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</si>
  <si>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</si>
  <si>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</si>
  <si>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</si>
  <si>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</si>
  <si>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</si>
  <si>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</si>
  <si>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</si>
  <si>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</si>
  <si>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</si>
  <si>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</si>
  <si>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</si>
  <si>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</si>
  <si>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</si>
  <si>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</si>
  <si>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</si>
  <si>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</si>
  <si>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</si>
  <si>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</si>
  <si>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</si>
  <si>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</si>
  <si>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</si>
  <si>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</si>
  <si>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</si>
  <si>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</si>
  <si>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</si>
  <si>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</si>
  <si>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</si>
  <si>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</si>
  <si>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</si>
  <si>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</si>
  <si>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</si>
  <si>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</si>
  <si>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</si>
  <si>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</si>
  <si>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</si>
  <si>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</si>
  <si>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</si>
  <si>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</si>
  <si>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</si>
  <si>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</si>
  <si>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</si>
  <si>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</si>
  <si>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</si>
  <si>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</si>
  <si>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</si>
  <si>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</si>
  <si>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</si>
  <si>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</si>
  <si>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</si>
  <si>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</si>
  <si>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</si>
  <si>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</si>
  <si>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</si>
  <si>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</si>
  <si>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</si>
  <si>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</si>
  <si>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</si>
  <si>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</si>
  <si>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</si>
  <si>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</si>
  <si>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</si>
  <si>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</si>
  <si>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</si>
  <si>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</si>
  <si>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</si>
  <si>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</si>
  <si>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</si>
  <si>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</si>
  <si>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</si>
  <si>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</si>
  <si>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</si>
  <si>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</si>
  <si>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</si>
  <si>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</si>
  <si>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</si>
  <si>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</si>
  <si>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</si>
  <si>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</si>
  <si>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</si>
  <si>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</si>
  <si>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</si>
  <si>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</si>
  <si>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</si>
  <si>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</si>
  <si>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</si>
  <si>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</si>
  <si>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</si>
  <si>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</si>
  <si>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</si>
  <si>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</si>
  <si>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</si>
  <si>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</si>
  <si>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</si>
  <si>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</si>
  <si>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</si>
  <si>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</si>
  <si>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</si>
  <si>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</si>
  <si>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</si>
  <si>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</si>
  <si>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</si>
  <si>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</si>
  <si>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</si>
  <si>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</si>
  <si>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</si>
  <si>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</si>
  <si>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</si>
  <si>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</si>
  <si>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</si>
  <si>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</si>
  <si>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</si>
  <si>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</si>
  <si>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</si>
  <si>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</si>
  <si>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</si>
  <si>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</si>
  <si>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</si>
  <si>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</si>
  <si>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</si>
  <si>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</si>
  <si>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</si>
  <si>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</si>
  <si>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</si>
  <si>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</si>
  <si>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</si>
  <si>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</si>
  <si>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</si>
  <si>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</si>
  <si>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</si>
  <si>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</si>
  <si>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</si>
  <si>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</si>
  <si>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</si>
  <si>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</si>
  <si>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</si>
  <si>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</si>
  <si>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</si>
  <si>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</si>
  <si>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</si>
  <si>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</si>
  <si>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</si>
  <si>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</si>
  <si>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</si>
  <si>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</si>
  <si>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</si>
  <si>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</si>
  <si>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</si>
  <si>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</si>
  <si>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</si>
  <si>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</si>
  <si>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</si>
  <si>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</si>
  <si>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</si>
  <si>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</si>
  <si>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</si>
  <si>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</si>
  <si>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</si>
  <si>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</si>
  <si>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</si>
  <si>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</si>
  <si>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</si>
  <si>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</si>
  <si>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</si>
  <si>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</si>
  <si>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</si>
  <si>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</si>
  <si>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</si>
  <si>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</si>
  <si>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</si>
  <si>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</si>
  <si>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</si>
  <si>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</si>
  <si>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</si>
  <si>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</si>
  <si>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</si>
  <si>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</si>
  <si>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</si>
  <si>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</si>
  <si>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</si>
  <si>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</si>
  <si>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</si>
  <si>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</si>
  <si>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</si>
  <si>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</si>
  <si>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</si>
  <si>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</si>
  <si>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</si>
  <si>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</si>
  <si>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</si>
  <si>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</si>
  <si>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</si>
  <si>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</si>
  <si>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</si>
  <si>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</si>
  <si>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</si>
  <si>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</si>
  <si>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</si>
  <si>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</si>
  <si>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</si>
  <si>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</si>
  <si>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</si>
  <si>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</si>
  <si>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</si>
  <si>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</si>
  <si>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</si>
  <si>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</si>
  <si>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</si>
  <si>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</si>
  <si>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</si>
  <si>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</si>
  <si>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</si>
  <si>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</si>
  <si>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</si>
  <si>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</si>
  <si>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</si>
  <si>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</si>
  <si>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</si>
  <si>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</si>
  <si>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</si>
  <si>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</si>
  <si>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</si>
  <si>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</si>
  <si>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</si>
  <si>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</si>
  <si>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</si>
  <si>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</si>
  <si>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</si>
  <si>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</si>
  <si>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</si>
  <si>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</si>
  <si>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</si>
  <si>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</si>
  <si>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</si>
  <si>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</si>
  <si>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</si>
  <si>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</si>
  <si>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</si>
  <si>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</si>
  <si>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</si>
  <si>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</si>
  <si>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</si>
  <si>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</si>
  <si>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</si>
  <si>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</si>
  <si>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</si>
  <si>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</si>
  <si>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</si>
  <si>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</si>
  <si>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</si>
  <si>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</si>
  <si>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</si>
  <si>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</si>
  <si>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</si>
  <si>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</si>
  <si>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</si>
  <si>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</si>
  <si>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</si>
  <si>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</si>
  <si>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</si>
  <si>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</si>
  <si>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</si>
  <si>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</si>
  <si>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</si>
  <si>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</si>
  <si>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</si>
  <si>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</si>
  <si>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</si>
  <si>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</si>
  <si>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</si>
  <si>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</si>
  <si>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</si>
  <si>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</si>
  <si>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</si>
  <si>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</si>
  <si>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</si>
  <si>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</si>
  <si>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</si>
  <si>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</si>
  <si>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</si>
  <si>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</si>
  <si>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</si>
  <si>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</si>
  <si>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</si>
  <si>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</si>
  <si>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</si>
  <si>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</si>
  <si>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</si>
  <si>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</si>
  <si>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</si>
  <si>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</si>
  <si>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</si>
  <si>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</si>
  <si>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</si>
  <si>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</si>
  <si>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</si>
  <si>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</si>
  <si>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</si>
  <si>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</si>
  <si>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</si>
  <si>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</si>
  <si>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</si>
  <si>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</si>
  <si>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</si>
  <si>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</si>
  <si>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</si>
  <si>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</si>
  <si>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</si>
  <si>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</si>
  <si>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</si>
  <si>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</si>
  <si>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</si>
  <si>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</si>
  <si>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</si>
  <si>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</si>
  <si>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</si>
  <si>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</si>
  <si>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</si>
  <si>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</si>
  <si>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</si>
  <si>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</si>
  <si>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</si>
  <si>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</si>
  <si>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</si>
  <si>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</si>
  <si>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</si>
  <si>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</si>
  <si>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</si>
  <si>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</si>
  <si>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</si>
  <si>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</si>
  <si>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</si>
  <si>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</si>
  <si>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</si>
  <si>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</si>
  <si>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</si>
  <si>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</si>
  <si>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</si>
  <si>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</si>
  <si>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</si>
  <si>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</si>
  <si>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</si>
  <si>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</si>
  <si>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</si>
  <si>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</si>
  <si>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</si>
  <si>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</si>
  <si>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</si>
  <si>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</si>
  <si>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</si>
  <si>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</si>
  <si>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</si>
  <si>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</si>
  <si>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</si>
  <si>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</si>
  <si>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</si>
  <si>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</si>
  <si>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</si>
  <si>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</si>
  <si>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</si>
  <si>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</si>
  <si>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</si>
  <si>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</si>
  <si>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</si>
  <si>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</si>
  <si>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</si>
  <si>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</si>
  <si>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</si>
  <si>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</si>
  <si>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</si>
  <si>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</si>
  <si>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</si>
  <si>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</si>
  <si>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</si>
  <si>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</si>
  <si>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</si>
  <si>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</si>
  <si>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</si>
  <si>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</si>
  <si>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</si>
  <si>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</si>
  <si>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</si>
  <si>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</si>
  <si>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</si>
  <si>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</si>
  <si>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</si>
  <si>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</si>
  <si>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</si>
  <si>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</si>
  <si>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</si>
  <si>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</si>
  <si>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</si>
  <si>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</si>
  <si>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</si>
  <si>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</si>
  <si>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</si>
  <si>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</si>
  <si>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</si>
  <si>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</si>
  <si>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</si>
  <si>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</si>
  <si>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</si>
  <si>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</si>
  <si>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</si>
  <si>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</si>
  <si>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</si>
  <si>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</si>
  <si>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</si>
  <si>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</si>
  <si>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</si>
  <si>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</si>
  <si>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</si>
  <si>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</si>
  <si>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</si>
  <si>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</si>
  <si>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</si>
  <si>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</si>
  <si>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</si>
  <si>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</si>
  <si>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</si>
  <si>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</si>
  <si>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</si>
  <si>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</si>
  <si>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</si>
  <si>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</si>
  <si>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</si>
  <si>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</si>
  <si>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</si>
  <si>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</si>
  <si>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</si>
  <si>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</si>
  <si>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</si>
  <si>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</si>
  <si>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</si>
  <si>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</si>
  <si>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</si>
  <si>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</si>
  <si>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</si>
  <si>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</si>
  <si>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</si>
  <si>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</si>
  <si>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</si>
  <si>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</si>
  <si>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</si>
  <si>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</si>
  <si>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</si>
  <si>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</si>
  <si>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</si>
  <si>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</si>
  <si>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</si>
  <si>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</si>
  <si>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</si>
  <si>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</si>
  <si>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</si>
  <si>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</si>
  <si>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</si>
  <si>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</si>
  <si>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</si>
  <si>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</si>
  <si>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</si>
  <si>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</si>
  <si>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</si>
  <si>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</si>
  <si>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</si>
  <si>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</si>
  <si>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</si>
  <si>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</si>
  <si>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</si>
  <si>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</si>
  <si>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</si>
  <si>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</si>
  <si>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</si>
  <si>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</si>
  <si>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</si>
  <si>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</si>
  <si>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</si>
  <si>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</si>
  <si>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</si>
  <si>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</si>
  <si>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</si>
  <si>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</si>
  <si>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</si>
  <si>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</si>
  <si>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</si>
  <si>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</si>
  <si>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</si>
  <si>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</si>
  <si>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</si>
  <si>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</si>
  <si>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</si>
  <si>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</si>
  <si>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</si>
  <si>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</si>
  <si>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</si>
  <si>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</si>
  <si>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</si>
  <si>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</si>
  <si>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</si>
  <si>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</si>
  <si>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</si>
  <si>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</si>
  <si>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</si>
  <si>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</si>
  <si>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</si>
  <si>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</si>
  <si>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</si>
  <si>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</si>
  <si>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</si>
  <si>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</si>
  <si>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</si>
  <si>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</si>
  <si>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</si>
  <si>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</si>
  <si>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</si>
  <si>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</si>
  <si>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</si>
  <si>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</si>
  <si>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</si>
  <si>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</si>
  <si>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</si>
  <si>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</si>
  <si>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</si>
  <si>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</si>
  <si>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</si>
  <si>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</si>
  <si>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</si>
  <si>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</si>
  <si>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</si>
  <si>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</si>
  <si>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</si>
  <si>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</si>
  <si>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</si>
  <si>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</si>
  <si>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</si>
  <si>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</si>
  <si>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</si>
  <si>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</si>
  <si>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</si>
  <si>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</si>
  <si>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</si>
  <si>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</si>
  <si>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</si>
  <si>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</si>
  <si>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</si>
  <si>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</si>
  <si>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</si>
  <si>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</si>
  <si>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</si>
  <si>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</si>
  <si>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</si>
  <si>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</si>
  <si>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</si>
  <si>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</si>
  <si>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</si>
  <si>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</si>
  <si>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</si>
  <si>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</si>
  <si>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</si>
  <si>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</si>
  <si>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</si>
  <si>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</si>
  <si>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</si>
  <si>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</si>
  <si>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</si>
  <si>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</si>
  <si>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</si>
  <si>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</si>
  <si>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Preschool Tuition Paid by Parents for typical peers.</t>
  </si>
  <si>
    <t>School Share of Town Held Library Trust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</si>
</sst>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957</v>
      </c>
      <c r="B2" s="126">
        <f>INDEX('School Tables'!$AH$3:$AH$208,MATCH('DOE25'!A2,'School Tables'!$AJ$3:$AJ$208,0))</f>
        <v>93</v>
      </c>
      <c r="C2" s="126">
        <f>INDEX('School Tables'!$AI$3:$AI$208,MATCH('DOE25'!A2,'School Tables'!$AJ$3:$AJ$208,0))</f>
        <v>93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920348.67</v>
      </c>
      <c r="G9" s="18">
        <v>18702.330000000002</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8400.9699999999993</v>
      </c>
      <c r="G12" s="18">
        <v>48878.06</v>
      </c>
      <c r="H12" s="18"/>
      <c r="I12" s="18"/>
      <c r="J12" s="67">
        <f>SUM(I442)</f>
        <v>402213.57</v>
      </c>
      <c r="K12" s="24" t="s">
        <v>288</v>
      </c>
      <c r="L12" s="24" t="s">
        <v>288</v>
      </c>
      <c r="M12" s="8"/>
      <c r="N12" s="265"/>
    </row>
    <row r="13" spans="1:14" s="3" customFormat="1" ht="12.2" customHeight="1" x14ac:dyDescent="0.15">
      <c r="A13" s="1" t="s">
        <v>604</v>
      </c>
      <c r="B13" s="2" t="s">
        <v>289</v>
      </c>
      <c r="C13" s="6">
        <v>5</v>
      </c>
      <c r="D13" s="2" t="s">
        <v>428</v>
      </c>
      <c r="E13" s="6">
        <v>140</v>
      </c>
      <c r="F13" s="18">
        <v>6184.61</v>
      </c>
      <c r="G13" s="18">
        <v>20994.07</v>
      </c>
      <c r="H13" s="18">
        <v>57279.03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3582.78</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v>700</v>
      </c>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934934.25</v>
      </c>
      <c r="G19" s="41">
        <f>SUM(G9:G18)</f>
        <v>92857.239999999991</v>
      </c>
      <c r="H19" s="41">
        <f>SUM(H9:H18)</f>
        <v>57279.03</v>
      </c>
      <c r="I19" s="41">
        <f>SUM(I9:I18)</f>
        <v>0</v>
      </c>
      <c r="J19" s="41">
        <f>SUM(J9:J18)</f>
        <v>402213.57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57279.03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17818.81+87711.43+1901.03</f>
        <v>107431.26999999999</v>
      </c>
      <c r="G24" s="18">
        <v>651.73</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8974.85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4020</v>
      </c>
      <c r="G30" s="18">
        <v>7215.88</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120426.12</v>
      </c>
      <c r="G32" s="41">
        <f>SUM(G22:G31)</f>
        <v>7867.6100000000006</v>
      </c>
      <c r="H32" s="41">
        <f>SUM(H22:H31)</f>
        <v>57279.03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3582.78</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v>700</v>
      </c>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6184.61</v>
      </c>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-477.49+81184.34</f>
        <v>80706.849999999991</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f>225995+14005+5831</f>
        <v>245831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c r="H48" s="18"/>
      <c r="I48" s="18"/>
      <c r="J48" s="13">
        <f>SUM(I460)</f>
        <v>402213.57</v>
      </c>
      <c r="K48" s="24" t="s">
        <v>288</v>
      </c>
      <c r="L48" s="24" t="s">
        <v>288</v>
      </c>
      <c r="M48" s="8"/>
      <c r="N48" s="265"/>
    </row>
    <row r="49" spans="1:14" s="3" customFormat="1" ht="12.2" customHeight="1" x14ac:dyDescent="0.15">
      <c r="A49" s="1" t="s">
        <v>859</v>
      </c>
      <c r="B49" s="2" t="s">
        <v>289</v>
      </c>
      <c r="C49" s="6">
        <v>34</v>
      </c>
      <c r="D49" s="2"/>
      <c r="E49" s="6">
        <v>753</v>
      </c>
      <c r="F49" s="18">
        <f>168067.14-20000</f>
        <v>148067.14000000001</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485877.58+12670847.3-12742463.5-14005-5831</f>
        <v>394425.38000000082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814508.13000000082</v>
      </c>
      <c r="G51" s="41">
        <f>SUM(G35:G50)</f>
        <v>84989.62999999999</v>
      </c>
      <c r="H51" s="41">
        <f>SUM(H35:H50)</f>
        <v>0</v>
      </c>
      <c r="I51" s="41">
        <f>SUM(I35:I50)</f>
        <v>0</v>
      </c>
      <c r="J51" s="41">
        <f>SUM(J35:J50)</f>
        <v>402213.57</v>
      </c>
      <c r="K51" s="45" t="s">
        <v>288</v>
      </c>
      <c r="L51" s="45" t="s">
        <v>288</v>
      </c>
      <c r="N51" s="263"/>
    </row>
    <row r="52" spans="1:14" s="3" customFormat="1" ht="12.2" customHeight="1" thickTop="1" x14ac:dyDescent="0.15">
      <c r="A52" s="38" t="s">
        <v>455</v>
      </c>
      <c r="B52" s="39" t="s">
        <v>289</v>
      </c>
      <c r="C52" s="6">
        <v>37</v>
      </c>
      <c r="D52" s="39" t="s">
        <v>653</v>
      </c>
      <c r="E52" s="39"/>
      <c r="F52" s="41">
        <f>F51+F32</f>
        <v>934934.25000000081</v>
      </c>
      <c r="G52" s="41">
        <f>G51+G32</f>
        <v>92857.239999999991</v>
      </c>
      <c r="H52" s="41">
        <f>H51+H32</f>
        <v>57279.03</v>
      </c>
      <c r="I52" s="41">
        <f>I51+I32</f>
        <v>0</v>
      </c>
      <c r="J52" s="41">
        <f>J51+J32</f>
        <v>402213.57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8505264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8505264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16440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16440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241.83</v>
      </c>
      <c r="G96" s="18"/>
      <c r="H96" s="18"/>
      <c r="I96" s="18"/>
      <c r="J96" s="18">
        <v>-28924.63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23109.23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35740.93-214.09</f>
        <v>35526.840000000004</v>
      </c>
      <c r="G110" s="18">
        <v>214.38</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35768.670000000006</v>
      </c>
      <c r="G111" s="41">
        <f>SUM(G96:G110)</f>
        <v>23323.61</v>
      </c>
      <c r="H111" s="41">
        <f>SUM(H96:H110)</f>
        <v>0</v>
      </c>
      <c r="I111" s="41">
        <f>SUM(I96:I110)</f>
        <v>0</v>
      </c>
      <c r="J111" s="41">
        <f>SUM(J96:J110)</f>
        <v>-28924.63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8557472.6699999999</v>
      </c>
      <c r="G112" s="41">
        <f>G60+G111</f>
        <v>23323.61</v>
      </c>
      <c r="H112" s="41">
        <f>H60+H79+H94+H111</f>
        <v>0</v>
      </c>
      <c r="I112" s="41">
        <f>I60+I111</f>
        <v>0</v>
      </c>
      <c r="J112" s="41">
        <f>J60+J111</f>
        <v>-28924.63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2572111.7200000002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1327985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3902091.93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87156.33</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117882.18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6686.03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205038.51</v>
      </c>
      <c r="G136" s="41">
        <f>SUM(G123:G135)</f>
        <v>6686.03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4107130.4400000004</v>
      </c>
      <c r="G140" s="41">
        <f>G121+SUM(G136:G137)</f>
        <v>6686.03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v>7697.47</v>
      </c>
      <c r="H145" s="18">
        <f>5392.83+25677.72</f>
        <v>31070.550000000003</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v>0</v>
      </c>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7697.47</v>
      </c>
      <c r="H147" s="41">
        <f>SUM(H145:H146)</f>
        <v>31070.550000000003</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33641.05</f>
        <v>33641.050000000003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20012.72+10589.62+13435.3+21767.18</f>
        <v>65804.820000000007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272751.86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57311.78+58345.11</f>
        <v>115656.89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59.58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7795.75+100911.41</f>
        <v>108707.16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59.58</v>
      </c>
      <c r="G163" s="41">
        <f>SUM(G150:G162)</f>
        <v>272751.86</v>
      </c>
      <c r="H163" s="41">
        <f>SUM(H150:H162)</f>
        <v>323809.92000000004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59.58</v>
      </c>
      <c r="G170" s="41">
        <f>G147+G163+SUM(G164:G169)</f>
        <v>280449.32999999996</v>
      </c>
      <c r="H170" s="41">
        <f>H147+H163+SUM(H164:H169)</f>
        <v>354880.47000000003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v>6184.61</v>
      </c>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6184.61</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6184.61</v>
      </c>
      <c r="G193" s="41">
        <f>G184+SUM(G189:G192)</f>
        <v>0</v>
      </c>
      <c r="H193" s="41">
        <f>+H184+SUM(H189:H192)</f>
        <v>0</v>
      </c>
      <c r="I193" s="41">
        <f>I178+I184+SUM(I189:I192)</f>
        <v>0</v>
      </c>
      <c r="J193" s="41">
        <f>J184</f>
        <v>20000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12670847.299999999</v>
      </c>
      <c r="G194" s="47">
        <f>G112+G140+G170+G193</f>
        <v>310458.96999999997</v>
      </c>
      <c r="H194" s="47">
        <f>H112+H140+H170+H193</f>
        <v>354880.47000000003</v>
      </c>
      <c r="I194" s="47">
        <f>I112+I140+I170+I193</f>
        <v>0</v>
      </c>
      <c r="J194" s="47">
        <f>J112+J140+J193</f>
        <v>-8924.630000000001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2492280.41</v>
      </c>
      <c r="G198" s="18">
        <v>1180141.53</v>
      </c>
      <c r="H198" s="18">
        <f>850</f>
        <v>850</v>
      </c>
      <c r="I198" s="18">
        <v>210831.87</v>
      </c>
      <c r="J198" s="18">
        <v>9746.1299999999992</v>
      </c>
      <c r="K198" s="18">
        <v>590</v>
      </c>
      <c r="L198" s="19">
        <f>SUM(F198:K198)</f>
        <v>3894439.9400000004</v>
      </c>
      <c r="M198" s="8"/>
      <c r="N198" s="265"/>
    </row>
    <row r="199" spans="1:14" s="3" customFormat="1" ht="12.2" customHeight="1" x14ac:dyDescent="0.15">
      <c r="A199" s="1" t="s">
        <v>439</v>
      </c>
      <c r="B199" s="2" t="s">
        <v>341</v>
      </c>
      <c r="C199" s="2" t="s">
        <v>291</v>
      </c>
      <c r="D199" s="2" t="s">
        <v>431</v>
      </c>
      <c r="E199" s="6">
        <v>1200</v>
      </c>
      <c r="F199" s="18">
        <v>726212.04</v>
      </c>
      <c r="G199" s="18">
        <v>261759.98</v>
      </c>
      <c r="H199" s="18">
        <f>49437.75+132264.31</f>
        <v>181702.06</v>
      </c>
      <c r="I199" s="18">
        <f>9626.29</f>
        <v>9626.2900000000009</v>
      </c>
      <c r="J199" s="18">
        <f>588.37</f>
        <v>588.37</v>
      </c>
      <c r="K199" s="18"/>
      <c r="L199" s="19">
        <f>SUM(F199:K199)</f>
        <v>1179888.7400000002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43844.33</v>
      </c>
      <c r="G201" s="18">
        <v>11229.27</v>
      </c>
      <c r="H201" s="18">
        <f>11831.3</f>
        <v>11831.3</v>
      </c>
      <c r="I201" s="18">
        <v>2113.9899999999998</v>
      </c>
      <c r="J201" s="18">
        <v>338.76</v>
      </c>
      <c r="K201" s="18">
        <v>940</v>
      </c>
      <c r="L201" s="19">
        <f>SUM(F201:K201)</f>
        <v>70297.650000000009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408922.27</v>
      </c>
      <c r="G203" s="18">
        <v>188338.52</v>
      </c>
      <c r="H203" s="18">
        <f>50253.24+75+2618.95</f>
        <v>52947.189999999995</v>
      </c>
      <c r="I203" s="18">
        <f>8567.3</f>
        <v>8567.2999999999993</v>
      </c>
      <c r="J203" s="18">
        <v>2075.44</v>
      </c>
      <c r="K203" s="18"/>
      <c r="L203" s="19">
        <f t="shared" ref="L203:L209" si="0">SUM(F203:K203)</f>
        <v>660850.72</v>
      </c>
      <c r="M203" s="8"/>
      <c r="N203" s="265"/>
    </row>
    <row r="204" spans="1:14" s="3" customFormat="1" ht="12.2" customHeight="1" x14ac:dyDescent="0.15">
      <c r="A204" s="1" t="s">
        <v>443</v>
      </c>
      <c r="B204" s="2" t="s">
        <v>341</v>
      </c>
      <c r="C204" s="2" t="s">
        <v>295</v>
      </c>
      <c r="D204" s="2" t="s">
        <v>431</v>
      </c>
      <c r="E204" s="6">
        <v>2200</v>
      </c>
      <c r="F204" s="18">
        <v>200886.79</v>
      </c>
      <c r="G204" s="18">
        <v>90621.02</v>
      </c>
      <c r="H204" s="18">
        <f>19313.5+2028.85+40685.43</f>
        <v>62027.78</v>
      </c>
      <c r="I204" s="18">
        <v>28952.959999999999</v>
      </c>
      <c r="J204" s="18">
        <v>102193.39</v>
      </c>
      <c r="K204" s="18">
        <v>340</v>
      </c>
      <c r="L204" s="19">
        <f t="shared" si="0"/>
        <v>485021.94</v>
      </c>
      <c r="M204" s="8"/>
      <c r="N204" s="265"/>
    </row>
    <row r="205" spans="1:14" s="3" customFormat="1" ht="12.2" customHeight="1" x14ac:dyDescent="0.15">
      <c r="A205" s="1" t="s">
        <v>444</v>
      </c>
      <c r="B205" s="2" t="s">
        <v>341</v>
      </c>
      <c r="C205" s="2" t="s">
        <v>296</v>
      </c>
      <c r="D205" s="2" t="s">
        <v>431</v>
      </c>
      <c r="E205" s="6">
        <v>2300</v>
      </c>
      <c r="F205" s="18">
        <v>360151.63</v>
      </c>
      <c r="G205" s="18">
        <v>110511.69</v>
      </c>
      <c r="H205" s="18">
        <f>24597.34+1304.14+6485.63</f>
        <v>32387.11</v>
      </c>
      <c r="I205" s="18">
        <v>2943.9</v>
      </c>
      <c r="J205" s="18">
        <v>2547.0500000000002</v>
      </c>
      <c r="K205" s="18">
        <v>8345.44</v>
      </c>
      <c r="L205" s="19">
        <f t="shared" si="0"/>
        <v>516886.82</v>
      </c>
      <c r="M205" s="8"/>
      <c r="N205" s="265"/>
    </row>
    <row r="206" spans="1:14" s="3" customFormat="1" ht="12.2" customHeight="1" x14ac:dyDescent="0.15">
      <c r="A206" s="1" t="s">
        <v>445</v>
      </c>
      <c r="B206" s="2" t="s">
        <v>341</v>
      </c>
      <c r="C206" s="2" t="s">
        <v>297</v>
      </c>
      <c r="D206" s="2" t="s">
        <v>431</v>
      </c>
      <c r="E206" s="6">
        <v>2400</v>
      </c>
      <c r="F206" s="18">
        <v>374753.75</v>
      </c>
      <c r="G206" s="18">
        <v>170564.25</v>
      </c>
      <c r="H206" s="18">
        <f>6863.25+10853.52</f>
        <v>17716.77</v>
      </c>
      <c r="I206" s="18">
        <v>25729.69</v>
      </c>
      <c r="J206" s="18">
        <v>2869.84</v>
      </c>
      <c r="K206" s="18">
        <v>1938.75</v>
      </c>
      <c r="L206" s="19">
        <f t="shared" si="0"/>
        <v>593573.04999999993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190034.21</v>
      </c>
      <c r="G208" s="18">
        <v>71368.67</v>
      </c>
      <c r="H208" s="18">
        <f>10000+142399.65+20148.22</f>
        <v>172547.87</v>
      </c>
      <c r="I208" s="18">
        <v>164363.17000000001</v>
      </c>
      <c r="J208" s="18">
        <v>91494</v>
      </c>
      <c r="K208" s="18"/>
      <c r="L208" s="19">
        <f t="shared" si="0"/>
        <v>689807.92</v>
      </c>
      <c r="M208" s="8"/>
      <c r="N208" s="265"/>
    </row>
    <row r="209" spans="1:14" s="3" customFormat="1" ht="12.2" customHeight="1" x14ac:dyDescent="0.15">
      <c r="A209" s="1" t="s">
        <v>448</v>
      </c>
      <c r="B209" s="2" t="s">
        <v>341</v>
      </c>
      <c r="C209" s="2" t="s">
        <v>300</v>
      </c>
      <c r="D209" s="2" t="s">
        <v>431</v>
      </c>
      <c r="E209" s="6">
        <v>2700</v>
      </c>
      <c r="F209" s="18"/>
      <c r="G209" s="18"/>
      <c r="H209" s="18">
        <v>470843.64</v>
      </c>
      <c r="I209" s="18"/>
      <c r="J209" s="18"/>
      <c r="K209" s="18"/>
      <c r="L209" s="19">
        <f t="shared" si="0"/>
        <v>470843.64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4797085.4300000006</v>
      </c>
      <c r="G212" s="41">
        <f t="shared" si="1"/>
        <v>2084534.93</v>
      </c>
      <c r="H212" s="41">
        <f t="shared" si="1"/>
        <v>1002853.72</v>
      </c>
      <c r="I212" s="41">
        <f t="shared" si="1"/>
        <v>453129.17000000004</v>
      </c>
      <c r="J212" s="41">
        <f t="shared" si="1"/>
        <v>211852.97999999998</v>
      </c>
      <c r="K212" s="41">
        <f t="shared" si="1"/>
        <v>12154.19</v>
      </c>
      <c r="L212" s="41">
        <f t="shared" si="1"/>
        <v>8561610.4200000018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3364394.01</v>
      </c>
      <c r="I234" s="18"/>
      <c r="J234" s="18"/>
      <c r="K234" s="18"/>
      <c r="L234" s="19">
        <f>SUM(F234:K234)</f>
        <v>3364394.01</v>
      </c>
      <c r="M234" s="8"/>
      <c r="N234" s="265"/>
    </row>
    <row r="235" spans="1:14" s="3" customFormat="1" ht="12.2" customHeight="1" x14ac:dyDescent="0.15">
      <c r="A235" s="1" t="s">
        <v>439</v>
      </c>
      <c r="B235" s="2" t="s">
        <v>350</v>
      </c>
      <c r="C235" s="2" t="s">
        <v>291</v>
      </c>
      <c r="D235" s="2" t="s">
        <v>431</v>
      </c>
      <c r="E235" s="6">
        <v>1200</v>
      </c>
      <c r="F235" s="18"/>
      <c r="G235" s="18"/>
      <c r="H235" s="18">
        <f>62113.47+442779.4</f>
        <v>504892.87</v>
      </c>
      <c r="I235" s="18"/>
      <c r="J235" s="18"/>
      <c r="K235" s="18"/>
      <c r="L235" s="19">
        <f>SUM(F235:K235)</f>
        <v>504892.87</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5911.86</v>
      </c>
      <c r="I239" s="18"/>
      <c r="J239" s="18"/>
      <c r="K239" s="18"/>
      <c r="L239" s="19">
        <f t="shared" ref="L239:L245" si="4">SUM(F239:K239)</f>
        <v>5911.86</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19599</v>
      </c>
      <c r="G241" s="18">
        <v>5848.19</v>
      </c>
      <c r="H241" s="18"/>
      <c r="I241" s="18"/>
      <c r="J241" s="18"/>
      <c r="K241" s="18"/>
      <c r="L241" s="19">
        <f t="shared" si="4"/>
        <v>25447.19</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260207.15</v>
      </c>
      <c r="I245" s="18"/>
      <c r="J245" s="18"/>
      <c r="K245" s="18"/>
      <c r="L245" s="19">
        <f t="shared" si="4"/>
        <v>260207.15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19599</v>
      </c>
      <c r="G248" s="41">
        <f t="shared" si="5"/>
        <v>5848.19</v>
      </c>
      <c r="H248" s="41">
        <f t="shared" si="5"/>
        <v>4135405.8899999997</v>
      </c>
      <c r="I248" s="41">
        <f t="shared" si="5"/>
        <v>0</v>
      </c>
      <c r="J248" s="41">
        <f t="shared" si="5"/>
        <v>0</v>
      </c>
      <c r="K248" s="41">
        <f t="shared" si="5"/>
        <v>0</v>
      </c>
      <c r="L248" s="41">
        <f t="shared" si="5"/>
        <v>4160853.0799999996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4816684.4300000006</v>
      </c>
      <c r="G258" s="41">
        <f t="shared" si="8"/>
        <v>2090383.1199999999</v>
      </c>
      <c r="H258" s="41">
        <f t="shared" si="8"/>
        <v>5138259.6099999994</v>
      </c>
      <c r="I258" s="41">
        <f t="shared" si="8"/>
        <v>453129.17000000004</v>
      </c>
      <c r="J258" s="41">
        <f t="shared" si="8"/>
        <v>211852.97999999998</v>
      </c>
      <c r="K258" s="41">
        <f t="shared" si="8"/>
        <v>12154.19</v>
      </c>
      <c r="L258" s="41">
        <f t="shared" si="8"/>
        <v>12722463.500000002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5"/>
    </row>
    <row r="272" spans="1:14" s="34" customFormat="1" ht="12.2" customHeight="1" thickTop="1" x14ac:dyDescent="0.2">
      <c r="A272" s="43" t="s">
        <v>464</v>
      </c>
      <c r="B272" s="40">
        <v>10</v>
      </c>
      <c r="C272" s="40">
        <v>18</v>
      </c>
      <c r="D272" s="39" t="s">
        <v>431</v>
      </c>
      <c r="E272" s="40"/>
      <c r="F272" s="42">
        <f t="shared" ref="F272:L272" si="11">F258+F271</f>
        <v>4816684.4300000006</v>
      </c>
      <c r="G272" s="42">
        <f t="shared" si="11"/>
        <v>2090383.1199999999</v>
      </c>
      <c r="H272" s="42">
        <f t="shared" si="11"/>
        <v>5138259.6099999994</v>
      </c>
      <c r="I272" s="42">
        <f t="shared" si="11"/>
        <v>453129.17000000004</v>
      </c>
      <c r="J272" s="42">
        <f t="shared" si="11"/>
        <v>211852.97999999998</v>
      </c>
      <c r="K272" s="42">
        <f t="shared" si="11"/>
        <v>32154.190000000002</v>
      </c>
      <c r="L272" s="42">
        <f t="shared" si="11"/>
        <v>12742463.500000002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15000+1770.02+27000+18388.75+17420+1229.98</f>
        <v>80808.75</v>
      </c>
      <c r="G277" s="18">
        <f>131.75+367.85+1851.64+3589.41+1406.73+2019.25+1332.63+75.5+262.75</f>
        <v>11037.509999999998</v>
      </c>
      <c r="H277" s="18">
        <f>11678.12+701.88</f>
        <v>12380</v>
      </c>
      <c r="I277" s="18">
        <f>4707.21+9898.2+1320+12733.42+19677.02</f>
        <v>48335.850000000006</v>
      </c>
      <c r="J277" s="18">
        <f>685.62+4101.4</f>
        <v>4787.0199999999995</v>
      </c>
      <c r="K277" s="18"/>
      <c r="L277" s="19">
        <f>SUM(F277:K277)</f>
        <v>157349.12999999998</v>
      </c>
      <c r="M277" s="8"/>
      <c r="N277" s="265"/>
    </row>
    <row r="278" spans="1:14" s="3" customFormat="1" ht="12.2" customHeight="1" x14ac:dyDescent="0.15">
      <c r="A278" s="1" t="s">
        <v>439</v>
      </c>
      <c r="B278" s="2" t="s">
        <v>357</v>
      </c>
      <c r="C278" s="2" t="s">
        <v>291</v>
      </c>
      <c r="D278" s="2" t="s">
        <v>431</v>
      </c>
      <c r="E278" s="6">
        <v>1200</v>
      </c>
      <c r="F278" s="18">
        <f>29247.81+2275+30+25158.15+2300+9165+1875+782.16</f>
        <v>70833.12000000001</v>
      </c>
      <c r="G278" s="18">
        <f>1906.13+156.67+2.19+6.3+1924.6+124.06+657.43+1288.58+136.35+59.83+164.41</f>
        <v>6426.5500000000011</v>
      </c>
      <c r="H278" s="18">
        <f>9306+950+6990</f>
        <v>17246</v>
      </c>
      <c r="I278" s="18">
        <f>49.28</f>
        <v>49.28</v>
      </c>
      <c r="J278" s="18"/>
      <c r="K278" s="18">
        <v>2651.89</v>
      </c>
      <c r="L278" s="19">
        <f>SUM(F278:K278)</f>
        <v>97206.840000000011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2727.24+375+4662.6</f>
        <v>7764.84</v>
      </c>
      <c r="G282" s="18">
        <f>1065.34+58.76+208.31+606.88+23.26+356.69+653.38</f>
        <v>2972.62</v>
      </c>
      <c r="H282" s="18">
        <f>5000+1151.75+9000+1902.5+2237.02+2700</f>
        <v>21991.27</v>
      </c>
      <c r="I282" s="18">
        <f>1539.84+2198.31</f>
        <v>3738.1499999999996</v>
      </c>
      <c r="J282" s="18"/>
      <c r="K282" s="18"/>
      <c r="L282" s="19">
        <f t="shared" ref="L282:L288" si="12">SUM(F282:K282)</f>
        <v>36466.879999999997</v>
      </c>
      <c r="M282" s="8"/>
      <c r="N282" s="265"/>
    </row>
    <row r="283" spans="1:14" s="3" customFormat="1" ht="12.2" customHeight="1" x14ac:dyDescent="0.15">
      <c r="A283" s="1" t="s">
        <v>443</v>
      </c>
      <c r="B283" s="2" t="s">
        <v>357</v>
      </c>
      <c r="C283" s="2" t="s">
        <v>295</v>
      </c>
      <c r="D283" s="2" t="s">
        <v>431</v>
      </c>
      <c r="E283" s="6">
        <v>2200</v>
      </c>
      <c r="F283" s="18">
        <f>810+2880</f>
        <v>3690</v>
      </c>
      <c r="G283" s="18">
        <f>61.92+170.26+204.12+567.46</f>
        <v>1003.76</v>
      </c>
      <c r="H283" s="18">
        <f>5000+7000+1950+14275+3000+1500+3000</f>
        <v>35725</v>
      </c>
      <c r="I283" s="18">
        <v>1167.29</v>
      </c>
      <c r="J283" s="18">
        <f>1754.12+1400.05+1280.56</f>
        <v>4434.7299999999996</v>
      </c>
      <c r="K283" s="18">
        <v>12.72</v>
      </c>
      <c r="L283" s="19">
        <f t="shared" si="12"/>
        <v>46033.5</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f>2309.02+1330+2000+950</f>
        <v>6589.02</v>
      </c>
      <c r="I287" s="18">
        <f>207.28+279.9+500+1512.21</f>
        <v>2499.39</v>
      </c>
      <c r="J287" s="18">
        <v>3035.71</v>
      </c>
      <c r="K287" s="18"/>
      <c r="L287" s="19">
        <f t="shared" si="12"/>
        <v>12124.119999999999</v>
      </c>
      <c r="M287" s="8"/>
      <c r="N287" s="265"/>
    </row>
    <row r="288" spans="1:14" s="3" customFormat="1" ht="12.2" customHeight="1" x14ac:dyDescent="0.15">
      <c r="A288" s="1" t="s">
        <v>448</v>
      </c>
      <c r="B288" s="2" t="s">
        <v>357</v>
      </c>
      <c r="C288" s="2" t="s">
        <v>300</v>
      </c>
      <c r="D288" s="2" t="s">
        <v>431</v>
      </c>
      <c r="E288" s="6">
        <v>2700</v>
      </c>
      <c r="F288" s="18"/>
      <c r="G288" s="18"/>
      <c r="H288" s="18">
        <v>1200</v>
      </c>
      <c r="I288" s="18"/>
      <c r="J288" s="18"/>
      <c r="K288" s="18"/>
      <c r="L288" s="19">
        <f t="shared" si="12"/>
        <v>1200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163096.71</v>
      </c>
      <c r="G291" s="42">
        <f t="shared" si="13"/>
        <v>21440.439999999995</v>
      </c>
      <c r="H291" s="42">
        <f t="shared" si="13"/>
        <v>95131.290000000008</v>
      </c>
      <c r="I291" s="42">
        <f t="shared" si="13"/>
        <v>55789.960000000006</v>
      </c>
      <c r="J291" s="42">
        <f t="shared" si="13"/>
        <v>12257.46</v>
      </c>
      <c r="K291" s="42">
        <f t="shared" si="13"/>
        <v>2664.6099999999997</v>
      </c>
      <c r="L291" s="41">
        <f t="shared" si="13"/>
        <v>350380.47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v>4500</v>
      </c>
      <c r="I320" s="18"/>
      <c r="J320" s="18"/>
      <c r="K320" s="18"/>
      <c r="L320" s="19">
        <f t="shared" ref="L320:L326" si="16">SUM(F320:K320)</f>
        <v>4500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4500</v>
      </c>
      <c r="I329" s="42">
        <f t="shared" si="17"/>
        <v>0</v>
      </c>
      <c r="J329" s="42">
        <f t="shared" si="17"/>
        <v>0</v>
      </c>
      <c r="K329" s="42">
        <f t="shared" si="17"/>
        <v>0</v>
      </c>
      <c r="L329" s="41">
        <f t="shared" si="17"/>
        <v>4500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163096.71</v>
      </c>
      <c r="G339" s="41">
        <f t="shared" si="20"/>
        <v>21440.439999999995</v>
      </c>
      <c r="H339" s="41">
        <f t="shared" si="20"/>
        <v>99631.290000000008</v>
      </c>
      <c r="I339" s="41">
        <f t="shared" si="20"/>
        <v>55789.960000000006</v>
      </c>
      <c r="J339" s="41">
        <f t="shared" si="20"/>
        <v>12257.46</v>
      </c>
      <c r="K339" s="41">
        <f t="shared" si="20"/>
        <v>2664.6099999999997</v>
      </c>
      <c r="L339" s="41">
        <f t="shared" si="20"/>
        <v>354880.47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163096.71</v>
      </c>
      <c r="G353" s="41">
        <f>G339</f>
        <v>21440.439999999995</v>
      </c>
      <c r="H353" s="41">
        <f>H339</f>
        <v>99631.290000000008</v>
      </c>
      <c r="I353" s="41">
        <f>I339</f>
        <v>55789.960000000006</v>
      </c>
      <c r="J353" s="41">
        <f>J339</f>
        <v>12257.46</v>
      </c>
      <c r="K353" s="47">
        <f>K339+K352</f>
        <v>2664.6099999999997</v>
      </c>
      <c r="L353" s="41">
        <f>L339+L352</f>
        <v>354880.47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75862.929999999993</v>
      </c>
      <c r="G359" s="18">
        <f>22916.38+1244.07+62.72+139.96+5129.56+5624.09+242.76</f>
        <v>35359.54</v>
      </c>
      <c r="H359" s="18">
        <f>2811.05+256.68</f>
        <v>3067.73</v>
      </c>
      <c r="I359" s="18">
        <f>11842.31+169.69+93078.54+8282.47+911.42</f>
        <v>114284.43</v>
      </c>
      <c r="J359" s="18"/>
      <c r="K359" s="18">
        <v>700</v>
      </c>
      <c r="L359" s="13">
        <f>SUM(F359:K359)</f>
        <v>229274.63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75862.929999999993</v>
      </c>
      <c r="G363" s="47">
        <f t="shared" si="22"/>
        <v>35359.54</v>
      </c>
      <c r="H363" s="47">
        <f t="shared" si="22"/>
        <v>3067.73</v>
      </c>
      <c r="I363" s="47">
        <f t="shared" si="22"/>
        <v>114284.43</v>
      </c>
      <c r="J363" s="47">
        <f t="shared" si="22"/>
        <v>0</v>
      </c>
      <c r="K363" s="47">
        <f t="shared" si="22"/>
        <v>700</v>
      </c>
      <c r="L363" s="47">
        <f t="shared" si="22"/>
        <v>229274.63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93078.54+8282.47</f>
        <v>101361.01</v>
      </c>
      <c r="G368" s="18"/>
      <c r="H368" s="18"/>
      <c r="I368" s="56">
        <f>SUM(F368:H368)</f>
        <v>101361.01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911.42+11842.31+169.69</f>
        <v>12923.42</v>
      </c>
      <c r="G369" s="63"/>
      <c r="H369" s="63"/>
      <c r="I369" s="56">
        <f>SUM(F369:H369)</f>
        <v>12923.42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114284.43</v>
      </c>
      <c r="G370" s="47">
        <f>SUM(G368:G369)</f>
        <v>0</v>
      </c>
      <c r="H370" s="47">
        <f>SUM(H368:H369)</f>
        <v>0</v>
      </c>
      <c r="I370" s="47">
        <f>SUM(I368:I369)</f>
        <v>114284.43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20000</v>
      </c>
      <c r="H397" s="18">
        <v>-17995.37</v>
      </c>
      <c r="I397" s="18"/>
      <c r="J397" s="24" t="s">
        <v>288</v>
      </c>
      <c r="K397" s="24" t="s">
        <v>288</v>
      </c>
      <c r="L397" s="56">
        <f t="shared" si="26"/>
        <v>2004.630000000001</v>
      </c>
      <c r="M397" s="8"/>
      <c r="N397" s="265"/>
    </row>
    <row r="398" spans="1:14" s="3" customFormat="1" ht="12.2" customHeight="1" x14ac:dyDescent="0.15">
      <c r="A398" s="79" t="s">
        <v>515</v>
      </c>
      <c r="B398" s="2" t="s">
        <v>381</v>
      </c>
      <c r="C398" s="6">
        <v>10</v>
      </c>
      <c r="D398" s="2" t="s">
        <v>432</v>
      </c>
      <c r="E398" s="6"/>
      <c r="F398" s="18"/>
      <c r="G398" s="18"/>
      <c r="H398" s="18">
        <v>-10929.26</v>
      </c>
      <c r="I398" s="18"/>
      <c r="J398" s="24" t="s">
        <v>288</v>
      </c>
      <c r="K398" s="24" t="s">
        <v>288</v>
      </c>
      <c r="L398" s="56">
        <f t="shared" si="26"/>
        <v>-10929.26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-28924.629999999997</v>
      </c>
      <c r="I402" s="47">
        <f>SUM(I396:I401)</f>
        <v>0</v>
      </c>
      <c r="J402" s="45" t="s">
        <v>288</v>
      </c>
      <c r="K402" s="45" t="s">
        <v>288</v>
      </c>
      <c r="L402" s="47">
        <f>SUM(L396:L401)</f>
        <v>-8924.6299999999992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20000</v>
      </c>
      <c r="H409" s="47">
        <f>H394+H402+H408</f>
        <v>-28924.629999999997</v>
      </c>
      <c r="I409" s="47">
        <f>I394+I402+I408</f>
        <v>0</v>
      </c>
      <c r="J409" s="24" t="s">
        <v>288</v>
      </c>
      <c r="K409" s="24" t="s">
        <v>288</v>
      </c>
      <c r="L409" s="47">
        <f>L394+L402+L408</f>
        <v>-8924.6299999999992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402213.57</v>
      </c>
      <c r="H442" s="18"/>
      <c r="I442" s="56">
        <f t="shared" si="33"/>
        <v>402213.57</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402213.57</v>
      </c>
      <c r="H447" s="13">
        <f>SUM(H440:H446)</f>
        <v>0</v>
      </c>
      <c r="I447" s="13">
        <f>SUM(I440:I446)</f>
        <v>402213.57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402213.57</v>
      </c>
      <c r="H460" s="18"/>
      <c r="I460" s="56">
        <f t="shared" si="34"/>
        <v>402213.57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402213.57</v>
      </c>
      <c r="H461" s="83">
        <f>SUM(H455:H460)</f>
        <v>0</v>
      </c>
      <c r="I461" s="83">
        <f>SUM(I455:I460)</f>
        <v>402213.57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402213.57</v>
      </c>
      <c r="H462" s="42">
        <f>H453+H461</f>
        <v>0</v>
      </c>
      <c r="I462" s="42">
        <f>I453+I461</f>
        <v>402213.57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886124.33</v>
      </c>
      <c r="G466" s="18">
        <v>3805.29</v>
      </c>
      <c r="H466" s="18"/>
      <c r="I466" s="18"/>
      <c r="J466" s="18">
        <v>411138.2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12670847.300000001</v>
      </c>
      <c r="G469" s="18">
        <v>310458.96999999997</v>
      </c>
      <c r="H469" s="18">
        <v>354880.47</v>
      </c>
      <c r="I469" s="18"/>
      <c r="J469" s="18">
        <f>20000-28924.63</f>
        <v>-8924.630000000001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4"/>
    </row>
    <row r="471" spans="1:14" s="52" customFormat="1" ht="12.2" customHeight="1" x14ac:dyDescent="0.2">
      <c r="A471" s="92" t="s">
        <v>425</v>
      </c>
      <c r="B471" s="75">
        <v>19</v>
      </c>
      <c r="C471" s="80">
        <v>4</v>
      </c>
      <c r="D471" s="2" t="s">
        <v>432</v>
      </c>
      <c r="E471" s="80"/>
      <c r="F471" s="53">
        <f>SUM(F469:F470)</f>
        <v>12670847.300000001</v>
      </c>
      <c r="G471" s="53">
        <f>SUM(G469:G470)</f>
        <v>310458.96999999997</v>
      </c>
      <c r="H471" s="53">
        <f>SUM(H469:H470)</f>
        <v>354880.47</v>
      </c>
      <c r="I471" s="53">
        <f>SUM(I469:I470)</f>
        <v>0</v>
      </c>
      <c r="J471" s="53">
        <f>SUM(J469:J470)</f>
        <v>-8924.630000000001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12742463.5</v>
      </c>
      <c r="G473" s="18">
        <v>229274.63</v>
      </c>
      <c r="H473" s="18">
        <v>354880.47</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0</v>
      </c>
      <c r="K474" s="24" t="s">
        <v>288</v>
      </c>
      <c r="L474" s="24" t="s">
        <v>288</v>
      </c>
      <c r="N474" s="264"/>
    </row>
    <row r="475" spans="1:14" s="52" customFormat="1" ht="12.2" customHeight="1" x14ac:dyDescent="0.2">
      <c r="A475" s="92" t="s">
        <v>426</v>
      </c>
      <c r="B475" s="75">
        <v>19</v>
      </c>
      <c r="C475" s="80">
        <v>7</v>
      </c>
      <c r="D475" s="2" t="s">
        <v>432</v>
      </c>
      <c r="E475" s="80"/>
      <c r="F475" s="53">
        <f>SUM(F473:F474)</f>
        <v>12742463.5</v>
      </c>
      <c r="G475" s="53">
        <f>SUM(G473:G474)</f>
        <v>229274.63</v>
      </c>
      <c r="H475" s="53">
        <f>SUM(H473:H474)</f>
        <v>354880.47</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814508.13000000082</v>
      </c>
      <c r="G477" s="53">
        <f>(G466+G471)- G475</f>
        <v>84989.629999999946</v>
      </c>
      <c r="H477" s="53">
        <f>(H466+H471)- H475</f>
        <v>0</v>
      </c>
      <c r="I477" s="53">
        <f>(I466+I471)- I475</f>
        <v>0</v>
      </c>
      <c r="J477" s="53">
        <f>(J466+J471)- J475</f>
        <v>402213.57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84528.21</v>
      </c>
      <c r="G508" s="144">
        <v>66021.87</v>
      </c>
      <c r="H508" s="144"/>
      <c r="I508" s="144">
        <v>150550.07999999999</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726212.04</v>
      </c>
      <c r="G522" s="18">
        <v>261759.98</v>
      </c>
      <c r="H522" s="18">
        <f>49437.75+132264.31</f>
        <v>181702.06</v>
      </c>
      <c r="I522" s="18">
        <v>9626.2900000000009</v>
      </c>
      <c r="J522" s="18">
        <v>588.37</v>
      </c>
      <c r="K522" s="18"/>
      <c r="L522" s="88">
        <f>SUM(F522:K522)</f>
        <v>1179888.7400000002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62113.47+442779.4</f>
        <v>504892.87</v>
      </c>
      <c r="I524" s="18"/>
      <c r="J524" s="18"/>
      <c r="K524" s="18"/>
      <c r="L524" s="88">
        <f>SUM(F524:K524)</f>
        <v>504892.87</v>
      </c>
      <c r="N524" s="264"/>
    </row>
    <row r="525" spans="1:14" s="52" customFormat="1" ht="12.2" customHeight="1" thickTop="1" x14ac:dyDescent="0.2">
      <c r="A525" s="139" t="s">
        <v>63</v>
      </c>
      <c r="B525" s="107">
        <v>21</v>
      </c>
      <c r="C525" s="194">
        <v>4</v>
      </c>
      <c r="D525" s="195" t="s">
        <v>432</v>
      </c>
      <c r="E525" s="194"/>
      <c r="F525" s="108">
        <f>SUM(F522:F524)</f>
        <v>726212.04</v>
      </c>
      <c r="G525" s="108">
        <f t="shared" ref="G525:L525" si="36">SUM(G522:G524)</f>
        <v>261759.98</v>
      </c>
      <c r="H525" s="108">
        <f t="shared" si="36"/>
        <v>686594.92999999993</v>
      </c>
      <c r="I525" s="108">
        <f t="shared" si="36"/>
        <v>9626.2900000000009</v>
      </c>
      <c r="J525" s="108">
        <f t="shared" si="36"/>
        <v>588.37</v>
      </c>
      <c r="K525" s="108">
        <f t="shared" si="36"/>
        <v>0</v>
      </c>
      <c r="L525" s="89">
        <f t="shared" si="36"/>
        <v>1684781.6100000003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408922.27</v>
      </c>
      <c r="G527" s="18">
        <v>188338.52</v>
      </c>
      <c r="H527" s="18">
        <f>50253.24+75+2618.95</f>
        <v>52947.189999999995</v>
      </c>
      <c r="I527" s="18">
        <v>8567.2999999999993</v>
      </c>
      <c r="J527" s="18">
        <v>2075.44</v>
      </c>
      <c r="K527" s="18"/>
      <c r="L527" s="88">
        <f>SUM(F527:K527)</f>
        <v>660850.72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5911.86</v>
      </c>
      <c r="I529" s="18"/>
      <c r="J529" s="18"/>
      <c r="K529" s="18"/>
      <c r="L529" s="88">
        <f>SUM(F529:K529)</f>
        <v>5911.86</v>
      </c>
      <c r="M529" s="8"/>
      <c r="N529" s="265"/>
    </row>
    <row r="530" spans="1:14" s="3" customFormat="1" ht="12.2" customHeight="1" thickTop="1" x14ac:dyDescent="0.15">
      <c r="A530" s="139" t="s">
        <v>65</v>
      </c>
      <c r="B530" s="107">
        <v>21</v>
      </c>
      <c r="C530" s="107">
        <v>8</v>
      </c>
      <c r="D530" s="158" t="s">
        <v>432</v>
      </c>
      <c r="E530" s="107"/>
      <c r="F530" s="89">
        <f>SUM(F527:F529)</f>
        <v>408922.27</v>
      </c>
      <c r="G530" s="89">
        <f t="shared" ref="G530:L530" si="37">SUM(G527:G529)</f>
        <v>188338.52</v>
      </c>
      <c r="H530" s="89">
        <f t="shared" si="37"/>
        <v>58859.049999999996</v>
      </c>
      <c r="I530" s="89">
        <f t="shared" si="37"/>
        <v>8567.2999999999993</v>
      </c>
      <c r="J530" s="89">
        <f t="shared" si="37"/>
        <v>2075.44</v>
      </c>
      <c r="K530" s="89">
        <f t="shared" si="37"/>
        <v>0</v>
      </c>
      <c r="L530" s="89">
        <f t="shared" si="37"/>
        <v>666762.57999999996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78396+38613.13</f>
        <v>117009.13</v>
      </c>
      <c r="G532" s="18">
        <v>32725.07</v>
      </c>
      <c r="H532" s="18">
        <f>500+154.42+524.64+78.36</f>
        <v>1257.4199999999998</v>
      </c>
      <c r="I532" s="18">
        <v>234.85</v>
      </c>
      <c r="J532" s="18"/>
      <c r="K532" s="18">
        <v>420</v>
      </c>
      <c r="L532" s="88">
        <f>SUM(F532:K532)</f>
        <v>151646.47000000003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19599</v>
      </c>
      <c r="G534" s="18">
        <f>248.81+30.1+61.67+1493+4014.61</f>
        <v>5848.1900000000005</v>
      </c>
      <c r="H534" s="18"/>
      <c r="I534" s="18"/>
      <c r="J534" s="18"/>
      <c r="K534" s="18"/>
      <c r="L534" s="88">
        <f>SUM(F534:K534)</f>
        <v>25447.190000000002</v>
      </c>
      <c r="M534" s="8"/>
      <c r="N534" s="265"/>
    </row>
    <row r="535" spans="1:14" s="3" customFormat="1" ht="12.2" customHeight="1" thickTop="1" x14ac:dyDescent="0.15">
      <c r="A535" s="139" t="s">
        <v>67</v>
      </c>
      <c r="B535" s="107">
        <v>21</v>
      </c>
      <c r="C535" s="107">
        <v>12</v>
      </c>
      <c r="D535" s="158" t="s">
        <v>432</v>
      </c>
      <c r="E535" s="107"/>
      <c r="F535" s="89">
        <f>SUM(F532:F534)</f>
        <v>136608.13</v>
      </c>
      <c r="G535" s="89">
        <f t="shared" ref="G535:L535" si="38">SUM(G532:G534)</f>
        <v>38573.26</v>
      </c>
      <c r="H535" s="89">
        <f t="shared" si="38"/>
        <v>1257.4199999999998</v>
      </c>
      <c r="I535" s="89">
        <f t="shared" si="38"/>
        <v>234.85</v>
      </c>
      <c r="J535" s="89">
        <f t="shared" si="38"/>
        <v>0</v>
      </c>
      <c r="K535" s="89">
        <f t="shared" si="38"/>
        <v>420</v>
      </c>
      <c r="L535" s="89">
        <f t="shared" si="38"/>
        <v>177093.66000000003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c r="H537" s="18">
        <v>1494</v>
      </c>
      <c r="I537" s="18"/>
      <c r="J537" s="18"/>
      <c r="K537" s="18"/>
      <c r="L537" s="88">
        <f>SUM(F537:K537)</f>
        <v>1494</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1494</v>
      </c>
      <c r="I540" s="89">
        <f t="shared" si="39"/>
        <v>0</v>
      </c>
      <c r="J540" s="89">
        <f t="shared" si="39"/>
        <v>0</v>
      </c>
      <c r="K540" s="89">
        <f t="shared" si="39"/>
        <v>0</v>
      </c>
      <c r="L540" s="89">
        <f t="shared" si="39"/>
        <v>1494</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98345.73+1200</f>
        <v>99545.73</v>
      </c>
      <c r="I542" s="18"/>
      <c r="J542" s="18"/>
      <c r="K542" s="18"/>
      <c r="L542" s="88">
        <f>SUM(F542:K542)</f>
        <v>99545.73</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49694</v>
      </c>
      <c r="I544" s="18"/>
      <c r="J544" s="18"/>
      <c r="K544" s="18"/>
      <c r="L544" s="88">
        <f>SUM(F544:K544)</f>
        <v>49694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149239.72999999998</v>
      </c>
      <c r="I545" s="192">
        <f t="shared" si="40"/>
        <v>0</v>
      </c>
      <c r="J545" s="192">
        <f t="shared" si="40"/>
        <v>0</v>
      </c>
      <c r="K545" s="192">
        <f t="shared" si="40"/>
        <v>0</v>
      </c>
      <c r="L545" s="192">
        <f t="shared" si="40"/>
        <v>149239.72999999998</v>
      </c>
      <c r="M545" s="8"/>
      <c r="N545" s="265"/>
    </row>
    <row r="546" spans="1:14" s="3" customFormat="1" ht="12.2" customHeight="1" thickTop="1" x14ac:dyDescent="0.15">
      <c r="A546" s="98" t="s">
        <v>72</v>
      </c>
      <c r="B546" s="107">
        <v>21</v>
      </c>
      <c r="C546" s="107">
        <v>21</v>
      </c>
      <c r="D546" s="158" t="s">
        <v>432</v>
      </c>
      <c r="E546" s="107"/>
      <c r="F546" s="89">
        <f>F525+F530+F535+F540+F545</f>
        <v>1271742.44</v>
      </c>
      <c r="G546" s="89">
        <f t="shared" ref="G546:L546" si="41">G525+G530+G535+G540+G545</f>
        <v>488671.76</v>
      </c>
      <c r="H546" s="89">
        <f t="shared" si="41"/>
        <v>897445.13</v>
      </c>
      <c r="I546" s="89">
        <f t="shared" si="41"/>
        <v>18428.439999999999</v>
      </c>
      <c r="J546" s="89">
        <f t="shared" si="41"/>
        <v>2663.81</v>
      </c>
      <c r="K546" s="89">
        <f t="shared" si="41"/>
        <v>420</v>
      </c>
      <c r="L546" s="89">
        <f t="shared" si="41"/>
        <v>2679371.5800000005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1179888.7400000002</v>
      </c>
      <c r="G550" s="87">
        <f>L527</f>
        <v>660850.72</v>
      </c>
      <c r="H550" s="87">
        <f>L532</f>
        <v>151646.47000000003</v>
      </c>
      <c r="I550" s="87">
        <f>L537</f>
        <v>1494</v>
      </c>
      <c r="J550" s="87">
        <f>L542</f>
        <v>99545.73</v>
      </c>
      <c r="K550" s="87">
        <f>SUM(F550:J550)</f>
        <v>2093425.6600000001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504892.87</v>
      </c>
      <c r="G552" s="87">
        <f>L529</f>
        <v>5911.86</v>
      </c>
      <c r="H552" s="87">
        <f>L534</f>
        <v>25447.190000000002</v>
      </c>
      <c r="I552" s="87">
        <f>L539</f>
        <v>0</v>
      </c>
      <c r="J552" s="87">
        <f>L544</f>
        <v>49694</v>
      </c>
      <c r="K552" s="87">
        <f>SUM(F552:J552)</f>
        <v>585945.91999999993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1684781.6100000003</v>
      </c>
      <c r="G553" s="89">
        <f t="shared" si="42"/>
        <v>666762.57999999996</v>
      </c>
      <c r="H553" s="89">
        <f t="shared" si="42"/>
        <v>177093.66000000003</v>
      </c>
      <c r="I553" s="89">
        <f t="shared" si="42"/>
        <v>1494</v>
      </c>
      <c r="J553" s="89">
        <f t="shared" si="42"/>
        <v>149239.72999999998</v>
      </c>
      <c r="K553" s="89">
        <f t="shared" si="42"/>
        <v>2679371.58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3630</v>
      </c>
      <c r="G563" s="18">
        <f>1068.06+48.45+249.41+510.49+107.08</f>
        <v>1983.49</v>
      </c>
      <c r="H563" s="18"/>
      <c r="I563" s="18"/>
      <c r="J563" s="18"/>
      <c r="K563" s="18"/>
      <c r="L563" s="88">
        <f>SUM(F563:K563)</f>
        <v>5613.49</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3630</v>
      </c>
      <c r="G566" s="89">
        <f t="shared" si="44"/>
        <v>1983.49</v>
      </c>
      <c r="H566" s="89">
        <f t="shared" si="44"/>
        <v>0</v>
      </c>
      <c r="I566" s="89">
        <f t="shared" si="44"/>
        <v>0</v>
      </c>
      <c r="J566" s="89">
        <f t="shared" si="44"/>
        <v>0</v>
      </c>
      <c r="K566" s="89">
        <f t="shared" si="44"/>
        <v>0</v>
      </c>
      <c r="L566" s="89">
        <f t="shared" si="44"/>
        <v>5613.49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3630</v>
      </c>
      <c r="G572" s="89">
        <f t="shared" ref="G572:L572" si="46">G561+G566+G571</f>
        <v>1983.49</v>
      </c>
      <c r="H572" s="89">
        <f t="shared" si="46"/>
        <v>0</v>
      </c>
      <c r="I572" s="89">
        <f t="shared" si="46"/>
        <v>0</v>
      </c>
      <c r="J572" s="89">
        <f t="shared" si="46"/>
        <v>0</v>
      </c>
      <c r="K572" s="89">
        <f t="shared" si="46"/>
        <v>0</v>
      </c>
      <c r="L572" s="89">
        <f t="shared" si="46"/>
        <v>5613.49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f>3364394.01</f>
        <v>3364394.01</v>
      </c>
      <c r="I578" s="87">
        <f t="shared" si="47"/>
        <v>3364394.01</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280192.75</v>
      </c>
      <c r="I582" s="87">
        <f t="shared" si="47"/>
        <v>280192.75</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132264.31</v>
      </c>
      <c r="G583" s="18"/>
      <c r="H583" s="18">
        <f>52344.16+65586.8</f>
        <v>117930.96</v>
      </c>
      <c r="I583" s="87">
        <f t="shared" si="47"/>
        <v>250195.27000000002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82423.839999999997</v>
      </c>
      <c r="I584" s="87">
        <f t="shared" si="47"/>
        <v>82423.839999999997</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336821.05+4160.2+30156.51-0.2</f>
        <v>371137.56</v>
      </c>
      <c r="I592" s="18"/>
      <c r="J592" s="18">
        <v>210513.15</v>
      </c>
      <c r="K592" s="104">
        <f t="shared" ref="K592:K598" si="48">SUM(H592:J592)</f>
        <v>581650.71</v>
      </c>
      <c r="L592" s="24" t="s">
        <v>288</v>
      </c>
      <c r="M592" s="8"/>
      <c r="N592" s="265"/>
    </row>
    <row r="593" spans="1:14" s="3" customFormat="1" ht="12.2" customHeight="1" x14ac:dyDescent="0.15">
      <c r="A593" s="3" t="s">
        <v>638</v>
      </c>
      <c r="B593" s="75">
        <v>23</v>
      </c>
      <c r="C593" s="75">
        <v>2</v>
      </c>
      <c r="D593" s="2" t="s">
        <v>432</v>
      </c>
      <c r="E593" s="75"/>
      <c r="F593" s="102">
        <v>2722</v>
      </c>
      <c r="G593" s="103" t="s">
        <v>97</v>
      </c>
      <c r="H593" s="18">
        <f>98345.73</f>
        <v>98345.73</v>
      </c>
      <c r="I593" s="18"/>
      <c r="J593" s="18">
        <v>49694</v>
      </c>
      <c r="K593" s="104">
        <f t="shared" si="48"/>
        <v>148039.72999999998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1360.35</v>
      </c>
      <c r="I595" s="18"/>
      <c r="J595" s="18"/>
      <c r="K595" s="104">
        <f t="shared" si="48"/>
        <v>1360.35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0</v>
      </c>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470843.63999999996</v>
      </c>
      <c r="I599" s="108">
        <f>SUM(I592:I598)</f>
        <v>0</v>
      </c>
      <c r="J599" s="108">
        <f>SUM(J592:J598)</f>
        <v>260207.15</v>
      </c>
      <c r="K599" s="108">
        <f>SUM(K592:K598)</f>
        <v>731050.78999999992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211852.98+12257.46</f>
        <v>224110.44</v>
      </c>
      <c r="I605" s="18"/>
      <c r="J605" s="18"/>
      <c r="K605" s="104">
        <f>SUM(H605:J605)</f>
        <v>224110.44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224110.44</v>
      </c>
      <c r="I606" s="108">
        <f>SUM(I603:I605)</f>
        <v>0</v>
      </c>
      <c r="J606" s="108">
        <f>SUM(J603:J605)</f>
        <v>0</v>
      </c>
      <c r="K606" s="108">
        <f>SUM(K603:K605)</f>
        <v>224110.44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934934.25</v>
      </c>
      <c r="H618" s="109">
        <f>SUM(F52)</f>
        <v>934934.25000000081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92857.239999999991</v>
      </c>
      <c r="H619" s="109">
        <f>SUM(G52)</f>
        <v>92857.239999999991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57279.03</v>
      </c>
      <c r="H620" s="109">
        <f>SUM(H52)</f>
        <v>57279.03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402213.57</v>
      </c>
      <c r="H622" s="109">
        <f>SUM(J52)</f>
        <v>402213.57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814508.13000000082</v>
      </c>
      <c r="H623" s="109">
        <f>F477</f>
        <v>814508.13000000082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84989.62999999999</v>
      </c>
      <c r="H624" s="109">
        <f>G477</f>
        <v>84989.629999999946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402213.57</v>
      </c>
      <c r="H627" s="109">
        <f>J477</f>
        <v>402213.57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12670847.299999999</v>
      </c>
      <c r="H628" s="104">
        <f>SUM(F469)</f>
        <v>12670847.300000001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310458.96999999997</v>
      </c>
      <c r="H629" s="104">
        <f>SUM(G469)</f>
        <v>310458.96999999997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354880.47000000003</v>
      </c>
      <c r="H630" s="104">
        <f>SUM(H469)</f>
        <v>354880.47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-8924.630000000001</v>
      </c>
      <c r="H632" s="104">
        <f>SUM(J469)</f>
        <v>-8924.630000000001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12742463.500000002</v>
      </c>
      <c r="H633" s="104">
        <f>SUM(F473)</f>
        <v>12742463.5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354880.47</v>
      </c>
      <c r="H634" s="104">
        <f>SUM(H473)</f>
        <v>354880.47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114284.43</v>
      </c>
      <c r="H635" s="104">
        <f>I370</f>
        <v>114284.43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229274.63</v>
      </c>
      <c r="H636" s="104">
        <f>SUM(G473)</f>
        <v>229274.63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-8924.6299999999992</v>
      </c>
      <c r="H638" s="164">
        <f>SUM(J469)</f>
        <v>-8924.630000000001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402213.57</v>
      </c>
      <c r="H641" s="104">
        <f>SUM(G462)</f>
        <v>402213.57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402213.57</v>
      </c>
      <c r="H643" s="104">
        <f>SUM(I462)</f>
        <v>402213.57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-28924.63</v>
      </c>
      <c r="H645" s="104">
        <f>H409</f>
        <v>-28924.629999999997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-8924.630000000001</v>
      </c>
      <c r="H647" s="104">
        <f>L409</f>
        <v>-8924.6299999999992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731050.78999999992</v>
      </c>
      <c r="H648" s="104">
        <f>L209+L227+L245</f>
        <v>731050.79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224110.44</v>
      </c>
      <c r="H649" s="104">
        <f>(J258+J339)-(J256+J337)</f>
        <v>224110.43999999997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470843.64</v>
      </c>
      <c r="H650" s="104">
        <f>H599</f>
        <v>470843.63999999996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260207.15</v>
      </c>
      <c r="H652" s="104">
        <f>J599</f>
        <v>260207.15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9141265.5200000033</v>
      </c>
      <c r="G661" s="19">
        <f>(L230+L310+L360)</f>
        <v>0</v>
      </c>
      <c r="H661" s="19">
        <f>(L248+L329+L361)</f>
        <v>4165353.0799999996</v>
      </c>
      <c r="I661" s="19">
        <f>SUM(F661:H661)</f>
        <v>13306618.600000003</v>
      </c>
      <c r="J661" s="13"/>
      <c r="K661" s="13"/>
      <c r="L661" s="13"/>
      <c r="M661" s="9"/>
    </row>
    <row r="662" spans="1:13" s="3" customFormat="1" ht="12.2" customHeight="1" x14ac:dyDescent="0.2">
      <c r="A662" s="1" t="s">
        <v>127</v>
      </c>
      <c r="F662" s="19">
        <f>(L359/IF(SUM(L359:L361)=0,1,SUM(L359:L361))*(SUM(G97:G110)))</f>
        <v>23323.61</v>
      </c>
      <c r="G662" s="19">
        <f>(L360/IF(SUM(L359:L361)=0,1,SUM(L359:L361))*(SUM(G97:G110)))</f>
        <v>0</v>
      </c>
      <c r="H662" s="19">
        <f>(L361/IF(SUM(L359:L361)=0,1,SUM(L359:L361))*(SUM(G97:G110)))</f>
        <v>0</v>
      </c>
      <c r="I662" s="19">
        <f>SUM(F662:H662)</f>
        <v>23323.61</v>
      </c>
      <c r="J662"/>
      <c r="K662" s="13"/>
      <c r="L662" s="13"/>
      <c r="M662" s="8"/>
    </row>
    <row r="663" spans="1:13" s="3" customFormat="1" ht="12.2" customHeight="1" x14ac:dyDescent="0.2">
      <c r="A663" s="1" t="s">
        <v>128</v>
      </c>
      <c r="F663" s="19">
        <f>(L209+L288)-(J209+J288)</f>
        <v>472043.64</v>
      </c>
      <c r="G663" s="19">
        <f>(L227+L307)-(J227+J307)</f>
        <v>0</v>
      </c>
      <c r="H663" s="19">
        <f>(L245+L326)-(J245+J326)</f>
        <v>260207.15</v>
      </c>
      <c r="I663" s="19">
        <f>SUM(F663:H663)</f>
        <v>732250.79</v>
      </c>
      <c r="J663"/>
      <c r="K663" s="13"/>
      <c r="L663" s="13"/>
      <c r="M663" s="9"/>
    </row>
    <row r="664" spans="1:13" s="3" customFormat="1" ht="12.2" customHeight="1" x14ac:dyDescent="0.15">
      <c r="A664" s="197" t="s">
        <v>129</v>
      </c>
      <c r="B664" s="169"/>
      <c r="C664" s="169"/>
      <c r="D664" s="169"/>
      <c r="E664" s="169"/>
      <c r="F664" s="198">
        <f>SUM(F576:F588)+SUM(H603:H605)+SUM(L612)</f>
        <v>356374.75</v>
      </c>
      <c r="G664" s="198">
        <f>SUM(G576:G588)+SUM(I603:I605)+L613</f>
        <v>0</v>
      </c>
      <c r="H664" s="198">
        <f>SUM(H576:H588)+SUM(J603:J605)+L614</f>
        <v>3844941.5599999996</v>
      </c>
      <c r="I664" s="19">
        <f>SUM(F664:H664)</f>
        <v>4201316.3099999996</v>
      </c>
      <c r="J664" s="13"/>
      <c r="K664" s="13"/>
      <c r="L664" s="13"/>
      <c r="M664" s="9"/>
    </row>
    <row r="665" spans="1:13" s="3" customFormat="1" ht="12.2" customHeight="1" x14ac:dyDescent="0.15">
      <c r="A665" s="1" t="s">
        <v>130</v>
      </c>
      <c r="F665" s="19">
        <f>F661-SUM(F662:F664)</f>
        <v>8289523.5200000033</v>
      </c>
      <c r="G665" s="19">
        <f>G661-SUM(G662:G664)</f>
        <v>0</v>
      </c>
      <c r="H665" s="19">
        <f>H661-SUM(H662:H664)</f>
        <v>60204.370000000112</v>
      </c>
      <c r="I665" s="19">
        <f>I661-SUM(I662:I664)</f>
        <v>8349727.8900000034</v>
      </c>
      <c r="J665" s="13"/>
      <c r="K665" s="13"/>
      <c r="L665" s="13"/>
      <c r="M665" s="8"/>
    </row>
    <row r="666" spans="1:13" s="3" customFormat="1" ht="12.2" customHeight="1" x14ac:dyDescent="0.2">
      <c r="A666" s="1" t="s">
        <v>131</v>
      </c>
      <c r="F666" s="245">
        <v>476.17</v>
      </c>
      <c r="G666" s="246">
        <v>0</v>
      </c>
      <c r="H666" s="246">
        <v>0</v>
      </c>
      <c r="I666" s="19">
        <f>SUM(F666:H666)</f>
        <v>476.17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17408.75</v>
      </c>
      <c r="G668" s="19" t="e">
        <f>ROUND(G665/G666,2)</f>
        <v>#DIV/0!</v>
      </c>
      <c r="H668" s="19" t="e">
        <f>ROUND(H665/H666,2)</f>
        <v>#DIV/0!</v>
      </c>
      <c r="I668" s="19">
        <f>ROUND(I665/I666,2)</f>
        <v>17535.18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-60204.37</v>
      </c>
      <c r="I670" s="19">
        <f>SUM(F670:H670)</f>
        <v>-60204.37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17408.75</v>
      </c>
      <c r="G673" s="19" t="e">
        <f>ROUND((G665+G670)/(G666+G671),2)</f>
        <v>#DIV/0!</v>
      </c>
      <c r="H673" s="19" t="e">
        <f>ROUND((H665+H670)/(H666+H671),2)</f>
        <v>#DIV/0!</v>
      </c>
      <c r="I673" s="19">
        <f>ROUND((I665+I670)/(I666+I671),2)</f>
        <v>17408.75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6" sqref="E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65804.820000000007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20012.72+21767.18</f>
        <v>41779.9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10589.62+13435.3</f>
        <v>24024.92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Chester</v>
      </c>
      <c r="C5" s="375"/>
      <c r="D5" s="375"/>
      <c r="E5" s="375"/>
      <c r="F5" s="375"/>
    </row>
    <row r="8" spans="1:9" ht="18" x14ac:dyDescent="0.25">
      <c r="A8" s="312" t="s">
        <v>1568</v>
      </c>
      <c r="F8" s="319" t="s">
        <v>1586</v>
      </c>
    </row>
    <row r="9" spans="1:9" ht="15" x14ac:dyDescent="0.2">
      <c r="A9" s="310" t="s">
        <v>1569</v>
      </c>
      <c r="B9" s="313">
        <f>'DOE25'!G97</f>
        <v>23109.23</v>
      </c>
      <c r="F9" s="310" t="s">
        <v>1582</v>
      </c>
    </row>
    <row r="10" spans="1:9" ht="15" x14ac:dyDescent="0.2">
      <c r="A10" s="310" t="s">
        <v>1570</v>
      </c>
      <c r="B10" s="313">
        <f>'DOE25'!G112-'DOE25'!G97</f>
        <v>214.38000000000102</v>
      </c>
      <c r="F10" s="310" t="s">
        <v>1583</v>
      </c>
    </row>
    <row r="11" spans="1:9" ht="15" x14ac:dyDescent="0.2">
      <c r="A11" s="310" t="s">
        <v>1571</v>
      </c>
      <c r="B11" s="313">
        <f>'DOE25'!G140</f>
        <v>6686.03</v>
      </c>
      <c r="F11" s="310" t="s">
        <v>1584</v>
      </c>
    </row>
    <row r="12" spans="1:9" ht="15" x14ac:dyDescent="0.2">
      <c r="A12" s="310" t="s">
        <v>1572</v>
      </c>
      <c r="B12" s="313">
        <f>'DOE25'!G170</f>
        <v>280449.32999999996</v>
      </c>
      <c r="F12" s="310" t="s">
        <v>1585</v>
      </c>
    </row>
    <row r="13" spans="1:9" ht="15" x14ac:dyDescent="0.2">
      <c r="A13" s="310" t="s">
        <v>1573</v>
      </c>
      <c r="B13" s="313">
        <f>'DOE25'!G193-'DOE25'!G180</f>
        <v>0</v>
      </c>
      <c r="F13" s="310" t="s">
        <v>1595</v>
      </c>
    </row>
    <row r="14" spans="1:9" ht="18" x14ac:dyDescent="0.25">
      <c r="A14" s="312" t="s">
        <v>732</v>
      </c>
      <c r="B14" s="314">
        <f>SUM(B9:B13)</f>
        <v>310458.96999999997</v>
      </c>
    </row>
    <row r="16" spans="1:9" ht="18" x14ac:dyDescent="0.25">
      <c r="A16" s="312" t="s">
        <v>786</v>
      </c>
      <c r="F16" s="319" t="s">
        <v>1587</v>
      </c>
    </row>
    <row r="17" spans="1:6" ht="15" x14ac:dyDescent="0.2">
      <c r="A17" s="310" t="s">
        <v>1574</v>
      </c>
      <c r="B17" s="313">
        <f>'DOE25'!L363-'DOE25'!L362</f>
        <v>229274.63</v>
      </c>
      <c r="F17" s="310" t="s">
        <v>1588</v>
      </c>
    </row>
    <row r="18" spans="1:6" ht="15" x14ac:dyDescent="0.2">
      <c r="A18" s="310" t="s">
        <v>1575</v>
      </c>
      <c r="B18" s="323"/>
      <c r="F18" s="319" t="s">
        <v>1612</v>
      </c>
    </row>
    <row r="19" spans="1:6" ht="18" x14ac:dyDescent="0.25">
      <c r="A19" s="312" t="s">
        <v>725</v>
      </c>
      <c r="B19" s="314">
        <f>SUM(B17:B18)</f>
        <v>229274.63</v>
      </c>
    </row>
    <row r="21" spans="1:6" ht="18.75" thickBot="1" x14ac:dyDescent="0.3">
      <c r="A21" s="312" t="s">
        <v>1576</v>
      </c>
    </row>
    <row r="22" spans="1:6" ht="18.75" thickTop="1" x14ac:dyDescent="0.25">
      <c r="A22" s="312" t="s">
        <v>1577</v>
      </c>
      <c r="B22" s="318">
        <f>B14-B19</f>
        <v>81184.339999999967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3805.29</v>
      </c>
      <c r="F31" s="310" t="s">
        <v>1592</v>
      </c>
    </row>
    <row r="33" spans="1:6" ht="15" x14ac:dyDescent="0.2">
      <c r="A33" s="310" t="s">
        <v>1635</v>
      </c>
      <c r="B33" s="313">
        <f>'DOE25'!G477</f>
        <v>84989.629999999946</v>
      </c>
      <c r="F33" s="310" t="s">
        <v>1593</v>
      </c>
    </row>
    <row r="36" spans="1:6" ht="15" x14ac:dyDescent="0.2">
      <c r="A36" s="310" t="s">
        <v>1579</v>
      </c>
      <c r="B36" s="324">
        <v>7697.47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Chester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2573089.16</v>
      </c>
      <c r="C9" s="228">
        <f>'DOE25'!G198+'DOE25'!G216+'DOE25'!G234+'DOE25'!G277+'DOE25'!G296+'DOE25'!G315</f>
        <v>1191179.04</v>
      </c>
    </row>
    <row r="10" spans="1:3" x14ac:dyDescent="0.2">
      <c r="A10" t="s">
        <v>775</v>
      </c>
      <c r="B10" s="239">
        <f>2303092.86+54505.7+63388.75</f>
        <v>2420987.31</v>
      </c>
      <c r="C10" s="239">
        <f>1180141.53-1654.07-85.49-8649.12+9704.88</f>
        <v>1179457.7299999997</v>
      </c>
    </row>
    <row r="11" spans="1:3" x14ac:dyDescent="0.2">
      <c r="A11" t="s">
        <v>776</v>
      </c>
      <c r="B11" s="239">
        <v>21621.51</v>
      </c>
      <c r="C11" s="239">
        <f>85.49+1654.07</f>
        <v>1739.56</v>
      </c>
    </row>
    <row r="12" spans="1:3" x14ac:dyDescent="0.2">
      <c r="A12" t="s">
        <v>777</v>
      </c>
      <c r="B12" s="239">
        <f>8925+104135.34+17420</f>
        <v>130480.34</v>
      </c>
      <c r="C12" s="239">
        <f>8649.12+1332.63</f>
        <v>9981.75</v>
      </c>
    </row>
    <row r="13" spans="1:3" x14ac:dyDescent="0.2">
      <c r="A13" t="str">
        <f>IF(B9=B13,IF(C9=C13,"Check Total OK","Check Total Error"),"Check Total Error")</f>
        <v>Check Total OK</v>
      </c>
      <c r="B13" s="230">
        <f>SUM(B10:B12)</f>
        <v>2573089.1599999997</v>
      </c>
      <c r="C13" s="230">
        <f>SUM(C10:C12)</f>
        <v>1191179.0399999998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797045.16</v>
      </c>
      <c r="C18" s="228">
        <f>'DOE25'!G199+'DOE25'!G217+'DOE25'!G235+'DOE25'!G278+'DOE25'!G297+'DOE25'!G316</f>
        <v>268186.53000000003</v>
      </c>
    </row>
    <row r="19" spans="1:3" x14ac:dyDescent="0.2">
      <c r="A19" t="s">
        <v>775</v>
      </c>
      <c r="B19" s="239">
        <f>391460.54+8550.94+17954.01+30+9165+1875+782.16</f>
        <v>429817.64999999997</v>
      </c>
      <c r="C19" s="239">
        <f>261759.98-2250-23580.86+2.19+6.3+657.43+1288.58+136.35+59.83+164.41</f>
        <v>238244.20999999996</v>
      </c>
    </row>
    <row r="20" spans="1:3" x14ac:dyDescent="0.2">
      <c r="A20" t="s">
        <v>776</v>
      </c>
      <c r="B20" s="239">
        <f>308246.55+29247.81+2275+25158.15+2300</f>
        <v>367227.51</v>
      </c>
      <c r="C20" s="239">
        <f>2250+23580.86+1906.13+156.67+1924.6+124.06</f>
        <v>29942.32</v>
      </c>
    </row>
    <row r="21" spans="1:3" x14ac:dyDescent="0.2">
      <c r="A21" t="s">
        <v>777</v>
      </c>
      <c r="B21" s="239"/>
      <c r="C21" s="239"/>
    </row>
    <row r="22" spans="1:3" x14ac:dyDescent="0.2">
      <c r="A22" t="str">
        <f>IF(B18=B22,IF(C18=C22,"Check Total OK","Check Total Error"),"Check Total Error")</f>
        <v>Check Total OK</v>
      </c>
      <c r="B22" s="230">
        <f>SUM(B19:B21)</f>
        <v>797045.15999999992</v>
      </c>
      <c r="C22" s="230">
        <f>SUM(C19:C21)</f>
        <v>268186.52999999997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43844.33</v>
      </c>
      <c r="C36" s="234">
        <f>'DOE25'!G201+'DOE25'!G219+'DOE25'!G237+'DOE25'!G280+'DOE25'!G299+'DOE25'!G318</f>
        <v>11229.27</v>
      </c>
    </row>
    <row r="37" spans="1:3" x14ac:dyDescent="0.2">
      <c r="A37" t="s">
        <v>775</v>
      </c>
      <c r="B37" s="239">
        <v>43844.33</v>
      </c>
      <c r="C37" s="239">
        <v>11229.27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43844.33</v>
      </c>
      <c r="C40" s="230">
        <f>SUM(C37:C39)</f>
        <v>11229.27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14" activePane="bottomLeft" state="frozen"/>
      <selection activeCell="F46" sqref="F46"/>
      <selection pane="bottomLeft" activeCell="H40" sqref="H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Chester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9013913.2100000009</v>
      </c>
      <c r="D5" s="20">
        <f>SUM('DOE25'!L198:L201)+SUM('DOE25'!L216:L219)+SUM('DOE25'!L234:L237)-F5-G5-H5</f>
        <v>9001709.9500000011</v>
      </c>
      <c r="E5" s="242"/>
      <c r="F5" s="243"/>
      <c r="G5" s="53">
        <f>SUM('DOE25'!J198:J201)+SUM('DOE25'!J216:J219)+SUM('DOE25'!J234:J237)</f>
        <v>10673.26</v>
      </c>
      <c r="H5" s="53">
        <f>SUM('DOE25'!K198:K201)+SUM('DOE25'!K216:K219)+SUM('DOE25'!K234:K237)</f>
        <v>1530</v>
      </c>
      <c r="I5" s="255"/>
    </row>
    <row r="6" spans="1:9" x14ac:dyDescent="0.2">
      <c r="A6" s="32">
        <v>2100</v>
      </c>
      <c r="B6" t="s">
        <v>796</v>
      </c>
      <c r="C6" s="274">
        <f t="shared" si="0"/>
        <v>666762.57999999996</v>
      </c>
      <c r="D6" s="20">
        <f>'DOE25'!L203+'DOE25'!L221+'DOE25'!L239-F6-G6-H6</f>
        <v>664687.14</v>
      </c>
      <c r="E6" s="242"/>
      <c r="F6" s="243"/>
      <c r="G6" s="53">
        <f>'DOE25'!J203+'DOE25'!J221+'DOE25'!J239</f>
        <v>2075.44</v>
      </c>
      <c r="H6" s="53">
        <f>'DOE25'!K203+'DOE25'!K221+'DOE25'!K239</f>
        <v>0</v>
      </c>
      <c r="I6" s="255"/>
    </row>
    <row r="7" spans="1:9" x14ac:dyDescent="0.2">
      <c r="A7" s="32">
        <v>2200</v>
      </c>
      <c r="B7" t="s">
        <v>821</v>
      </c>
      <c r="C7" s="274">
        <f t="shared" si="0"/>
        <v>485021.94</v>
      </c>
      <c r="D7" s="20">
        <f>'DOE25'!L204+'DOE25'!L222+'DOE25'!L240-F7-G7-H7</f>
        <v>382488.55</v>
      </c>
      <c r="E7" s="242"/>
      <c r="F7" s="243"/>
      <c r="G7" s="53">
        <f>'DOE25'!J204+'DOE25'!J222+'DOE25'!J240</f>
        <v>102193.39</v>
      </c>
      <c r="H7" s="53">
        <f>'DOE25'!K204+'DOE25'!K222+'DOE25'!K240</f>
        <v>340</v>
      </c>
      <c r="I7" s="255"/>
    </row>
    <row r="8" spans="1:9" x14ac:dyDescent="0.2">
      <c r="A8" s="32">
        <v>2300</v>
      </c>
      <c r="B8" t="s">
        <v>797</v>
      </c>
      <c r="C8" s="274">
        <f t="shared" si="0"/>
        <v>374065.66000000003</v>
      </c>
      <c r="D8" s="242"/>
      <c r="E8" s="20">
        <f>'DOE25'!L205+'DOE25'!L223+'DOE25'!L241-F8-G8-H8-D9-D11</f>
        <v>363173.17000000004</v>
      </c>
      <c r="F8" s="243"/>
      <c r="G8" s="53">
        <f>'DOE25'!J205+'DOE25'!J223+'DOE25'!J241</f>
        <v>2547.0500000000002</v>
      </c>
      <c r="H8" s="53">
        <f>'DOE25'!K205+'DOE25'!K223+'DOE25'!K241</f>
        <v>8345.44</v>
      </c>
      <c r="I8" s="255"/>
    </row>
    <row r="9" spans="1:9" ht="14.25" x14ac:dyDescent="0.2">
      <c r="A9" s="32">
        <v>2310</v>
      </c>
      <c r="B9" s="184" t="s">
        <v>888</v>
      </c>
      <c r="C9" s="274">
        <f t="shared" si="0"/>
        <v>46982.3</v>
      </c>
      <c r="D9" s="243">
        <v>46982.3</v>
      </c>
      <c r="E9" s="242"/>
      <c r="F9" s="252"/>
      <c r="G9" s="252"/>
      <c r="H9" s="252"/>
      <c r="I9" s="255"/>
    </row>
    <row r="10" spans="1:9" ht="14.25" x14ac:dyDescent="0.2">
      <c r="A10" s="32">
        <v>2317</v>
      </c>
      <c r="B10" s="184" t="s">
        <v>889</v>
      </c>
      <c r="C10" s="274">
        <f t="shared" si="0"/>
        <v>10415</v>
      </c>
      <c r="D10" s="242"/>
      <c r="E10" s="243">
        <v>10415</v>
      </c>
      <c r="F10" s="252"/>
      <c r="G10" s="252"/>
      <c r="H10" s="252"/>
      <c r="I10" s="255"/>
    </row>
    <row r="11" spans="1:9" ht="14.25" x14ac:dyDescent="0.2">
      <c r="A11" s="32">
        <v>2321</v>
      </c>
      <c r="B11" s="184" t="s">
        <v>890</v>
      </c>
      <c r="C11" s="274">
        <f t="shared" si="0"/>
        <v>121286.05</v>
      </c>
      <c r="D11" s="243">
        <f>100375+20911.05</f>
        <v>121286.05</v>
      </c>
      <c r="E11" s="242"/>
      <c r="F11" s="252"/>
      <c r="G11" s="252"/>
      <c r="H11" s="252"/>
      <c r="I11" s="255"/>
    </row>
    <row r="12" spans="1:9" x14ac:dyDescent="0.2">
      <c r="A12" s="32">
        <v>2400</v>
      </c>
      <c r="B12" t="s">
        <v>711</v>
      </c>
      <c r="C12" s="274">
        <f t="shared" si="0"/>
        <v>593573.04999999993</v>
      </c>
      <c r="D12" s="20">
        <f>'DOE25'!L206+'DOE25'!L224+'DOE25'!L242-F12-G12-H12</f>
        <v>588764.46</v>
      </c>
      <c r="E12" s="242"/>
      <c r="F12" s="243"/>
      <c r="G12" s="53">
        <f>'DOE25'!J206+'DOE25'!J224+'DOE25'!J242</f>
        <v>2869.84</v>
      </c>
      <c r="H12" s="53">
        <f>'DOE25'!K206+'DOE25'!K224+'DOE25'!K242</f>
        <v>1938.75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689807.92</v>
      </c>
      <c r="D14" s="20">
        <f>'DOE25'!L208+'DOE25'!L226+'DOE25'!L244-F14-G14-H14</f>
        <v>410322.26</v>
      </c>
      <c r="E14" s="242"/>
      <c r="F14" s="243">
        <v>187991.66</v>
      </c>
      <c r="G14" s="53">
        <f>'DOE25'!J208+'DOE25'!J226+'DOE25'!J244</f>
        <v>91494</v>
      </c>
      <c r="H14" s="53">
        <f>'DOE25'!K208+'DOE25'!K226+'DOE25'!K244</f>
        <v>0</v>
      </c>
      <c r="I14" s="255"/>
    </row>
    <row r="15" spans="1:9" x14ac:dyDescent="0.2">
      <c r="A15" s="32">
        <v>2700</v>
      </c>
      <c r="B15" t="s">
        <v>799</v>
      </c>
      <c r="C15" s="274">
        <f t="shared" si="0"/>
        <v>731050.79</v>
      </c>
      <c r="D15" s="20">
        <f>'DOE25'!L209+'DOE25'!L227+'DOE25'!L245-F15-G15-H15</f>
        <v>5520.3500000000931</v>
      </c>
      <c r="E15" s="242"/>
      <c r="F15" s="243">
        <v>725530.44</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127913.62000000001</v>
      </c>
      <c r="D29" s="282">
        <f>'DOE25'!L359+'DOE25'!L360+'DOE25'!L361-'DOE25'!I368-F29-G29-H29</f>
        <v>127213.62000000001</v>
      </c>
      <c r="E29" s="242"/>
      <c r="F29" s="243"/>
      <c r="G29" s="53">
        <f>'DOE25'!J359+'DOE25'!J360+'DOE25'!J361</f>
        <v>0</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354880.47</v>
      </c>
      <c r="D31" s="20">
        <f>'DOE25'!L291+'DOE25'!L310+'DOE25'!L329+'DOE25'!L334+'DOE25'!L335+'DOE25'!L336-F31-G31-H31</f>
        <v>339958.39999999997</v>
      </c>
      <c r="E31" s="242"/>
      <c r="F31" s="243"/>
      <c r="G31" s="53">
        <f>'DOE25'!J291+'DOE25'!J310+'DOE25'!J329+'DOE25'!J334+'DOE25'!J335+'DOE25'!J336</f>
        <v>12257.46</v>
      </c>
      <c r="H31" s="53">
        <f>'DOE25'!K291+'DOE25'!K310+'DOE25'!K329+'DOE25'!K334+'DOE25'!K335+'DOE25'!K336</f>
        <v>2664.6099999999997</v>
      </c>
      <c r="I31" s="255"/>
    </row>
    <row r="32" spans="1:9" ht="12" thickBot="1" x14ac:dyDescent="0.25">
      <c r="C32" s="275"/>
      <c r="G32" s="250"/>
      <c r="H32" s="250"/>
      <c r="I32" s="257"/>
    </row>
    <row r="33" spans="1:9" ht="12" thickTop="1" x14ac:dyDescent="0.2">
      <c r="B33" t="s">
        <v>809</v>
      </c>
      <c r="D33" s="244">
        <f t="shared" ref="D33:I33" si="1">SUM(D5:D31)</f>
        <v>11688933.080000002</v>
      </c>
      <c r="E33" s="244">
        <f t="shared" si="1"/>
        <v>373588.17000000004</v>
      </c>
      <c r="F33" s="244">
        <f t="shared" si="1"/>
        <v>913522.1</v>
      </c>
      <c r="G33" s="244">
        <f t="shared" si="1"/>
        <v>224110.43999999997</v>
      </c>
      <c r="H33" s="244">
        <f t="shared" si="1"/>
        <v>15518.8</v>
      </c>
      <c r="I33" s="244">
        <f t="shared" si="1"/>
        <v>0</v>
      </c>
    </row>
    <row r="35" spans="1:9" ht="12" thickBot="1" x14ac:dyDescent="0.25">
      <c r="B35" s="250" t="s">
        <v>831</v>
      </c>
      <c r="D35" s="251">
        <f>E33</f>
        <v>373588.17000000004</v>
      </c>
      <c r="E35" s="247"/>
      <c r="F35" s="328" t="s">
        <v>1617</v>
      </c>
      <c r="G35" s="329"/>
      <c r="H35" s="329"/>
      <c r="I35" s="329"/>
    </row>
    <row r="36" spans="1:9" ht="12" thickTop="1" x14ac:dyDescent="0.2">
      <c r="B36" t="s">
        <v>810</v>
      </c>
      <c r="D36" s="20">
        <f>D33</f>
        <v>11688933.080000002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12" sqref="A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Chester</v>
      </c>
      <c r="B2" s="126">
        <f>'DOE25'!B2</f>
        <v>93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8911990.8900000006</v>
      </c>
      <c r="G4" s="299">
        <f>'DOE25'!L212+'DOE25'!L291</f>
        <v>8911990.8900000025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4"/>
      <c r="N5"/>
    </row>
    <row r="6" spans="1:18" x14ac:dyDescent="0.2">
      <c r="A6" s="126" t="str" cm="1">
        <f t="array" ref="A6">IFERROR(INDEX('School Tables'!$A$4:$G$325,'School Tables'!$J4,3),"")</f>
        <v>Chester Academy</v>
      </c>
      <c r="B6" s="300">
        <f>IFERROR(VLOOKUP(A6,'School Tables'!$C$3:$D$365,2,FALSE),"")</f>
        <v>20500</v>
      </c>
      <c r="C6" s="293" t="str">
        <f>IFERROR(INDEX('School Tables'!$B$3:$B$365,MATCH('School Level Expenditures'!B6,'School Tables'!$D$3:$D$365,0)),"")</f>
        <v>Chester</v>
      </c>
      <c r="D6" s="290">
        <v>8561610.4199999999</v>
      </c>
      <c r="E6" s="290">
        <v>350380.47</v>
      </c>
      <c r="F6" s="303">
        <f t="shared" ref="F6:F20" si="0">D6+E6</f>
        <v>8911990.8900000006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8561610.4199999999</v>
      </c>
      <c r="E21" s="338">
        <f>SUM(E5:E20)</f>
        <v>350380.47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4165353.08</v>
      </c>
      <c r="G36" s="299">
        <f>'DOE25'!L248+'DOE25'!L329</f>
        <v>4165353.0799999996</v>
      </c>
      <c r="H36" s="340">
        <f>F36-G36</f>
        <v>0</v>
      </c>
      <c r="I36" s="383" t="str">
        <f>IF(H36=0,"","ISSUES!! Please review page 9 and 13 totals in comparison with total on this page")</f>
        <v/>
      </c>
      <c r="N36"/>
    </row>
    <row r="37" spans="1:14" x14ac:dyDescent="0.2">
      <c r="A37" s="126" t="s">
        <v>1548</v>
      </c>
      <c r="B37" s="300">
        <v>99999</v>
      </c>
      <c r="C37" s="293" t="s">
        <v>1548</v>
      </c>
      <c r="D37" s="290">
        <v>4160853.08</v>
      </c>
      <c r="E37" s="290">
        <v>4500</v>
      </c>
      <c r="F37" s="303">
        <f t="shared" ref="F37:F42" si="2">D37+E37</f>
        <v>4165353.08</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4160853.08</v>
      </c>
      <c r="E43" s="339">
        <f>SUM(E37:E42)</f>
        <v>4500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9" zoomScaleNormal="100" workbookViewId="0">
      <selection activeCell="J58" sqref="J5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920348.67</v>
      </c>
      <c r="D8" s="95">
        <f>'DOE25'!G9</f>
        <v>18702.330000000002</v>
      </c>
      <c r="E8" s="95">
        <f>'DOE25'!H9</f>
        <v>0</v>
      </c>
      <c r="F8" s="95">
        <f>'DOE25'!I9</f>
        <v>0</v>
      </c>
      <c r="G8" s="95">
        <f>'DOE25'!J9</f>
        <v>0</v>
      </c>
      <c r="H8" s="124">
        <f>SUM(C8:G8)</f>
        <v>939051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8400.9699999999993</v>
      </c>
      <c r="D11" s="95">
        <f>'DOE25'!G12</f>
        <v>48878.06</v>
      </c>
      <c r="E11" s="95">
        <f>'DOE25'!H12</f>
        <v>0</v>
      </c>
      <c r="F11" s="95">
        <f>'DOE25'!I12</f>
        <v>0</v>
      </c>
      <c r="G11" s="95">
        <f>'DOE25'!J12</f>
        <v>402213.57</v>
      </c>
      <c r="H11" s="124">
        <f t="shared" si="0"/>
        <v>459492.6</v>
      </c>
      <c r="I11" s="124"/>
    </row>
    <row r="12" spans="1:9" x14ac:dyDescent="0.2">
      <c r="A12" s="1" t="s">
        <v>143</v>
      </c>
      <c r="B12" s="6">
        <v>140</v>
      </c>
      <c r="C12" s="95">
        <f>'DOE25'!F13</f>
        <v>6184.61</v>
      </c>
      <c r="D12" s="95">
        <f>'DOE25'!G13</f>
        <v>20994.07</v>
      </c>
      <c r="E12" s="95">
        <f>'DOE25'!H13</f>
        <v>57279.03</v>
      </c>
      <c r="F12" s="95">
        <f>'DOE25'!I13</f>
        <v>0</v>
      </c>
      <c r="G12" s="95">
        <f>'DOE25'!J13</f>
        <v>0</v>
      </c>
      <c r="H12" s="124">
        <f t="shared" si="0"/>
        <v>84457.709999999992</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3582.78</v>
      </c>
      <c r="E15" s="95">
        <f>'DOE25'!H16</f>
        <v>0</v>
      </c>
      <c r="F15" s="95">
        <f>'DOE25'!I16</f>
        <v>0</v>
      </c>
      <c r="G15" s="24" t="s">
        <v>288</v>
      </c>
      <c r="H15" s="124">
        <f t="shared" si="0"/>
        <v>3582.78</v>
      </c>
      <c r="I15" s="124"/>
    </row>
    <row r="16" spans="1:9" x14ac:dyDescent="0.2">
      <c r="A16" s="1" t="s">
        <v>147</v>
      </c>
      <c r="B16" s="6">
        <v>180</v>
      </c>
      <c r="C16" s="95">
        <f>'DOE25'!F17</f>
        <v>0</v>
      </c>
      <c r="D16" s="95">
        <f>'DOE25'!G17</f>
        <v>700</v>
      </c>
      <c r="E16" s="95">
        <f>'DOE25'!H17</f>
        <v>0</v>
      </c>
      <c r="F16" s="95">
        <f>'DOE25'!I17</f>
        <v>0</v>
      </c>
      <c r="G16" s="95">
        <f>'DOE25'!J17</f>
        <v>0</v>
      </c>
      <c r="H16" s="124">
        <f t="shared" si="0"/>
        <v>700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934934.25</v>
      </c>
      <c r="D18" s="41">
        <f>SUM(D8:D17)</f>
        <v>92857.239999999991</v>
      </c>
      <c r="E18" s="41">
        <f>SUM(E8:E17)</f>
        <v>57279.03</v>
      </c>
      <c r="F18" s="41">
        <f>SUM(F8:F17)</f>
        <v>0</v>
      </c>
      <c r="G18" s="41">
        <f>SUM(G8:G17)</f>
        <v>402213.57</v>
      </c>
      <c r="H18" s="41">
        <f t="shared" si="0"/>
        <v>1487284.09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57279.03</v>
      </c>
      <c r="F21" s="95">
        <f>'DOE25'!I22</f>
        <v>0</v>
      </c>
      <c r="G21" s="95">
        <f>'DOE25'!J22</f>
        <v>0</v>
      </c>
      <c r="H21" s="124">
        <f t="shared" ref="H21:H31" si="1">SUM(C21:G21)</f>
        <v>57279.03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107431.26999999999</v>
      </c>
      <c r="D23" s="95">
        <f>'DOE25'!G24</f>
        <v>651.73</v>
      </c>
      <c r="E23" s="95">
        <f>'DOE25'!H24</f>
        <v>0</v>
      </c>
      <c r="F23" s="95">
        <f>'DOE25'!I24</f>
        <v>0</v>
      </c>
      <c r="G23" s="95">
        <f>'DOE25'!J24</f>
        <v>0</v>
      </c>
      <c r="H23" s="124">
        <f t="shared" si="1"/>
        <v>108082.99999999999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8974.85</v>
      </c>
      <c r="D27" s="95">
        <f>'DOE25'!G28</f>
        <v>0</v>
      </c>
      <c r="E27" s="95">
        <f>'DOE25'!H28</f>
        <v>0</v>
      </c>
      <c r="F27" s="95">
        <f>'DOE25'!I28</f>
        <v>0</v>
      </c>
      <c r="G27" s="24" t="s">
        <v>288</v>
      </c>
      <c r="H27" s="124">
        <f t="shared" si="1"/>
        <v>8974.85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4020</v>
      </c>
      <c r="D29" s="95">
        <f>'DOE25'!G30</f>
        <v>7215.88</v>
      </c>
      <c r="E29" s="95">
        <f>'DOE25'!H30</f>
        <v>0</v>
      </c>
      <c r="F29" s="95">
        <f>'DOE25'!I30</f>
        <v>0</v>
      </c>
      <c r="G29" s="24" t="s">
        <v>288</v>
      </c>
      <c r="H29" s="124">
        <f t="shared" si="1"/>
        <v>11235.880000000001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120426.12</v>
      </c>
      <c r="D31" s="41">
        <f>SUM(D21:D30)</f>
        <v>7867.6100000000006</v>
      </c>
      <c r="E31" s="41">
        <f>SUM(E21:E30)</f>
        <v>57279.03</v>
      </c>
      <c r="F31" s="41">
        <f>SUM(F21:F30)</f>
        <v>0</v>
      </c>
      <c r="G31" s="41">
        <f>SUM(G21:G30)</f>
        <v>0</v>
      </c>
      <c r="H31" s="41">
        <f t="shared" si="1"/>
        <v>185572.76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3582.78</v>
      </c>
      <c r="E34" s="95">
        <f>'DOE25'!H35</f>
        <v>0</v>
      </c>
      <c r="F34" s="95">
        <f>'DOE25'!I35</f>
        <v>0</v>
      </c>
      <c r="G34" s="24" t="s">
        <v>288</v>
      </c>
      <c r="H34" s="124">
        <f t="shared" ref="H34:H51" si="2">SUM(C34:G34)</f>
        <v>3582.78</v>
      </c>
      <c r="I34" s="124"/>
    </row>
    <row r="35" spans="1:9" x14ac:dyDescent="0.2">
      <c r="A35" s="1" t="s">
        <v>850</v>
      </c>
      <c r="B35" s="6">
        <v>752</v>
      </c>
      <c r="C35" s="95">
        <f>'DOE25'!F36</f>
        <v>0</v>
      </c>
      <c r="D35" s="95">
        <f>'DOE25'!G36</f>
        <v>700</v>
      </c>
      <c r="E35" s="95">
        <f>'DOE25'!H36</f>
        <v>0</v>
      </c>
      <c r="F35" s="95">
        <f>'DOE25'!I36</f>
        <v>0</v>
      </c>
      <c r="G35" s="24" t="s">
        <v>288</v>
      </c>
      <c r="H35" s="124">
        <f t="shared" si="2"/>
        <v>700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6184.61</v>
      </c>
      <c r="D38" s="95">
        <f>'DOE25'!G39</f>
        <v>0</v>
      </c>
      <c r="E38" s="95">
        <f>'DOE25'!H39</f>
        <v>0</v>
      </c>
      <c r="F38" s="95">
        <f>'DOE25'!I39</f>
        <v>0</v>
      </c>
      <c r="G38" s="95">
        <f>'DOE25'!J39</f>
        <v>0</v>
      </c>
      <c r="H38" s="124">
        <f t="shared" si="2"/>
        <v>6184.61</v>
      </c>
      <c r="I38" s="124"/>
    </row>
    <row r="39" spans="1:9" x14ac:dyDescent="0.2">
      <c r="A39" s="1" t="s">
        <v>861</v>
      </c>
      <c r="B39" s="6"/>
      <c r="C39" s="24" t="s">
        <v>288</v>
      </c>
      <c r="D39" s="95">
        <f>'DOE25'!G40</f>
        <v>80706.849999999991</v>
      </c>
      <c r="E39" s="24" t="s">
        <v>288</v>
      </c>
      <c r="F39" s="24" t="s">
        <v>288</v>
      </c>
      <c r="G39" s="24" t="s">
        <v>288</v>
      </c>
      <c r="H39" s="124">
        <f t="shared" si="2"/>
        <v>80706.849999999991</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20000</v>
      </c>
      <c r="D43" s="95">
        <f>'DOE25'!G44</f>
        <v>0</v>
      </c>
      <c r="E43" s="95">
        <f>'DOE25'!H44</f>
        <v>0</v>
      </c>
      <c r="F43" s="95">
        <f>'DOE25'!I44</f>
        <v>0</v>
      </c>
      <c r="G43" s="24" t="s">
        <v>288</v>
      </c>
      <c r="H43" s="124">
        <f t="shared" si="2"/>
        <v>20000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245831</v>
      </c>
      <c r="D45" s="24" t="s">
        <v>288</v>
      </c>
      <c r="E45" s="24" t="s">
        <v>288</v>
      </c>
      <c r="F45" s="24" t="s">
        <v>288</v>
      </c>
      <c r="G45" s="24" t="s">
        <v>288</v>
      </c>
      <c r="H45" s="124">
        <f t="shared" si="2"/>
        <v>245831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402213.57</v>
      </c>
      <c r="H47" s="124">
        <f t="shared" si="2"/>
        <v>402213.57</v>
      </c>
      <c r="I47" s="124"/>
    </row>
    <row r="48" spans="1:9" x14ac:dyDescent="0.2">
      <c r="A48" s="1" t="s">
        <v>882</v>
      </c>
      <c r="B48" s="6">
        <v>753</v>
      </c>
      <c r="C48" s="95">
        <f>'DOE25'!F49</f>
        <v>148067.14000000001</v>
      </c>
      <c r="D48" s="95">
        <f>'DOE25'!G49</f>
        <v>0</v>
      </c>
      <c r="E48" s="95">
        <f>'DOE25'!H49</f>
        <v>0</v>
      </c>
      <c r="F48" s="95">
        <f>'DOE25'!I49</f>
        <v>0</v>
      </c>
      <c r="G48" s="95">
        <f>'DOE25'!J49</f>
        <v>0</v>
      </c>
      <c r="H48" s="124">
        <f t="shared" si="2"/>
        <v>148067.14000000001</v>
      </c>
      <c r="I48" s="124"/>
    </row>
    <row r="49" spans="1:9" ht="12" thickBot="1" x14ac:dyDescent="0.25">
      <c r="A49" s="29" t="s">
        <v>883</v>
      </c>
      <c r="B49" s="71">
        <v>770</v>
      </c>
      <c r="C49" s="95">
        <f>'DOE25'!F50</f>
        <v>394425.38000000082</v>
      </c>
      <c r="D49" s="24" t="s">
        <v>288</v>
      </c>
      <c r="E49" s="24" t="s">
        <v>288</v>
      </c>
      <c r="F49" s="24" t="s">
        <v>288</v>
      </c>
      <c r="G49" s="24" t="s">
        <v>288</v>
      </c>
      <c r="H49" s="124">
        <f t="shared" si="2"/>
        <v>394425.38000000082</v>
      </c>
      <c r="I49" s="124"/>
    </row>
    <row r="50" spans="1:9" ht="12.75" thickTop="1" thickBot="1" x14ac:dyDescent="0.25">
      <c r="A50" s="38" t="s">
        <v>884</v>
      </c>
      <c r="B50" s="48"/>
      <c r="C50" s="41">
        <f>SUM(C34:C49)</f>
        <v>814508.13000000082</v>
      </c>
      <c r="D50" s="41">
        <f>SUM(D34:D49)</f>
        <v>84989.62999999999</v>
      </c>
      <c r="E50" s="41">
        <f>SUM(E34:E49)</f>
        <v>0</v>
      </c>
      <c r="F50" s="41">
        <f>SUM(F34:F49)</f>
        <v>0</v>
      </c>
      <c r="G50" s="41">
        <f>SUM(G34:G49)</f>
        <v>402213.57</v>
      </c>
      <c r="H50" s="41">
        <f t="shared" si="2"/>
        <v>1301711.3300000008</v>
      </c>
      <c r="I50" s="124"/>
    </row>
    <row r="51" spans="1:9" ht="12" thickTop="1" x14ac:dyDescent="0.2">
      <c r="A51" s="38" t="s">
        <v>885</v>
      </c>
      <c r="B51" s="2"/>
      <c r="C51" s="41">
        <f>C50+C31</f>
        <v>934934.25000000081</v>
      </c>
      <c r="D51" s="41">
        <f>D50+D31</f>
        <v>92857.239999999991</v>
      </c>
      <c r="E51" s="41">
        <f>E50+E31</f>
        <v>57279.03</v>
      </c>
      <c r="F51" s="41">
        <f>F50+F31</f>
        <v>0</v>
      </c>
      <c r="G51" s="41">
        <f>G50+G31</f>
        <v>402213.57</v>
      </c>
      <c r="H51" s="41">
        <f t="shared" si="2"/>
        <v>1487284.0900000008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8505264</v>
      </c>
      <c r="D56" s="95">
        <f>'DOE25'!G60</f>
        <v>0</v>
      </c>
      <c r="E56" s="95">
        <f>'DOE25'!H60</f>
        <v>0</v>
      </c>
      <c r="F56" s="95">
        <f>'DOE25'!I60</f>
        <v>0</v>
      </c>
      <c r="G56" s="95">
        <f>'DOE25'!J60</f>
        <v>0</v>
      </c>
      <c r="H56" s="124">
        <f t="shared" ref="H56:H63" si="3">SUM(C56:G56)</f>
        <v>8505264</v>
      </c>
      <c r="I56"/>
    </row>
    <row r="57" spans="1:9" x14ac:dyDescent="0.2">
      <c r="A57" s="1" t="s">
        <v>164</v>
      </c>
      <c r="B57" s="6" t="s">
        <v>165</v>
      </c>
      <c r="C57" s="95">
        <f>'DOE25'!F79</f>
        <v>16440</v>
      </c>
      <c r="D57" s="24" t="s">
        <v>288</v>
      </c>
      <c r="E57" s="95">
        <f>'DOE25'!H79</f>
        <v>0</v>
      </c>
      <c r="F57" s="24" t="s">
        <v>288</v>
      </c>
      <c r="G57" s="24" t="s">
        <v>288</v>
      </c>
      <c r="H57" s="124">
        <f t="shared" si="3"/>
        <v>16440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241.83</v>
      </c>
      <c r="D59" s="95">
        <f>'DOE25'!G96</f>
        <v>0</v>
      </c>
      <c r="E59" s="95">
        <f>'DOE25'!H96</f>
        <v>0</v>
      </c>
      <c r="F59" s="95">
        <f>'DOE25'!I96</f>
        <v>0</v>
      </c>
      <c r="G59" s="95">
        <f>'DOE25'!J96</f>
        <v>-28924.63</v>
      </c>
      <c r="H59" s="124">
        <f t="shared" si="3"/>
        <v>-28682.799999999999</v>
      </c>
      <c r="I59"/>
    </row>
    <row r="60" spans="1:9" x14ac:dyDescent="0.2">
      <c r="A60" s="1" t="s">
        <v>170</v>
      </c>
      <c r="B60" s="118" t="s">
        <v>171</v>
      </c>
      <c r="C60" s="24" t="s">
        <v>288</v>
      </c>
      <c r="D60" s="95">
        <f>'DOE25'!G97</f>
        <v>23109.23</v>
      </c>
      <c r="E60" s="24" t="s">
        <v>288</v>
      </c>
      <c r="F60" s="24" t="s">
        <v>288</v>
      </c>
      <c r="G60" s="24" t="s">
        <v>288</v>
      </c>
      <c r="H60" s="124">
        <f t="shared" si="3"/>
        <v>23109.23</v>
      </c>
      <c r="I60"/>
    </row>
    <row r="61" spans="1:9" ht="12" thickBot="1" x14ac:dyDescent="0.25">
      <c r="A61" s="1" t="s">
        <v>172</v>
      </c>
      <c r="B61" s="118" t="s">
        <v>173</v>
      </c>
      <c r="C61" s="95">
        <f>SUM('DOE25'!F98:F110)</f>
        <v>35526.840000000004</v>
      </c>
      <c r="D61" s="95">
        <f>SUM('DOE25'!G98:G110)</f>
        <v>214.38</v>
      </c>
      <c r="E61" s="95">
        <f>SUM('DOE25'!H98:H110)</f>
        <v>0</v>
      </c>
      <c r="F61" s="95">
        <f>SUM('DOE25'!I98:I110)</f>
        <v>0</v>
      </c>
      <c r="G61" s="95">
        <f>SUM('DOE25'!J98:J110)</f>
        <v>0</v>
      </c>
      <c r="H61" s="124">
        <f t="shared" si="3"/>
        <v>35741.22</v>
      </c>
      <c r="I61"/>
    </row>
    <row r="62" spans="1:9" ht="12.75" thickTop="1" thickBot="1" x14ac:dyDescent="0.25">
      <c r="A62" s="29" t="s">
        <v>174</v>
      </c>
      <c r="B62" s="6"/>
      <c r="C62" s="130">
        <f>SUM(C57:C61)</f>
        <v>52208.670000000006</v>
      </c>
      <c r="D62" s="130">
        <f>SUM(D57:D61)</f>
        <v>23323.61</v>
      </c>
      <c r="E62" s="130">
        <f>SUM(E57:E61)</f>
        <v>0</v>
      </c>
      <c r="F62" s="130">
        <f>SUM(F57:F61)</f>
        <v>0</v>
      </c>
      <c r="G62" s="130">
        <f>SUM(G57:G61)</f>
        <v>-28924.63</v>
      </c>
      <c r="H62" s="124">
        <f t="shared" si="3"/>
        <v>46607.649999999994</v>
      </c>
      <c r="I62"/>
    </row>
    <row r="63" spans="1:9" ht="12" thickTop="1" x14ac:dyDescent="0.2">
      <c r="A63" s="29" t="s">
        <v>175</v>
      </c>
      <c r="B63" s="6"/>
      <c r="C63" s="22">
        <f>C56+C62</f>
        <v>8557472.6699999999</v>
      </c>
      <c r="D63" s="22">
        <f>D56+D62</f>
        <v>23323.61</v>
      </c>
      <c r="E63" s="22">
        <f>E56+E62</f>
        <v>0</v>
      </c>
      <c r="F63" s="22">
        <f>F56+F62</f>
        <v>0</v>
      </c>
      <c r="G63" s="22">
        <f>G56+G62</f>
        <v>-28924.63</v>
      </c>
      <c r="H63" s="124">
        <f t="shared" si="3"/>
        <v>8551871.6499999985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2572111.7200000002</v>
      </c>
      <c r="D66" s="24" t="s">
        <v>288</v>
      </c>
      <c r="E66" s="24" t="s">
        <v>288</v>
      </c>
      <c r="F66" s="24" t="s">
        <v>288</v>
      </c>
      <c r="G66" s="24" t="s">
        <v>288</v>
      </c>
      <c r="H66" s="124">
        <f t="shared" ref="H66:H81" si="4">SUM(C66:G66)</f>
        <v>2572111.7200000002</v>
      </c>
      <c r="I66"/>
    </row>
    <row r="67" spans="1:9" x14ac:dyDescent="0.2">
      <c r="A67" s="1" t="s">
        <v>770</v>
      </c>
      <c r="B67" s="6">
        <v>3112</v>
      </c>
      <c r="C67" s="95">
        <f>'DOE25'!F118</f>
        <v>1327985</v>
      </c>
      <c r="D67" s="24"/>
      <c r="E67" s="24"/>
      <c r="F67" s="24"/>
      <c r="G67" s="24"/>
      <c r="H67" s="124">
        <f t="shared" si="4"/>
        <v>1327985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3902091.93</v>
      </c>
      <c r="D70" s="139">
        <f>D69</f>
        <v>0</v>
      </c>
      <c r="E70" s="139">
        <f>E69</f>
        <v>0</v>
      </c>
      <c r="F70" s="139">
        <f>F69</f>
        <v>0</v>
      </c>
      <c r="G70" s="139">
        <f>G69</f>
        <v>0</v>
      </c>
      <c r="H70" s="124">
        <f t="shared" si="4"/>
        <v>3902091.93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87156.33</v>
      </c>
      <c r="D74" s="24"/>
      <c r="E74" s="24"/>
      <c r="F74" s="24"/>
      <c r="G74" s="24"/>
      <c r="H74" s="124">
        <f t="shared" si="4"/>
        <v>87156.33</v>
      </c>
      <c r="I74"/>
    </row>
    <row r="75" spans="1:9" x14ac:dyDescent="0.2">
      <c r="A75" s="1" t="s">
        <v>256</v>
      </c>
      <c r="B75" s="6">
        <v>3230</v>
      </c>
      <c r="C75" s="95">
        <f>'DOE25'!F126</f>
        <v>117882.18</v>
      </c>
      <c r="D75" s="24" t="s">
        <v>288</v>
      </c>
      <c r="E75" s="24" t="s">
        <v>288</v>
      </c>
      <c r="F75" s="24" t="s">
        <v>288</v>
      </c>
      <c r="G75" s="24" t="s">
        <v>288</v>
      </c>
      <c r="H75" s="124">
        <f t="shared" si="4"/>
        <v>117882.18</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6686.03</v>
      </c>
      <c r="E77" s="95">
        <f>SUM('DOE25'!H131:H135)</f>
        <v>0</v>
      </c>
      <c r="F77" s="95">
        <f>SUM('DOE25'!I131:I135)</f>
        <v>0</v>
      </c>
      <c r="G77" s="95">
        <f>SUM('DOE25'!J131:J135)</f>
        <v>0</v>
      </c>
      <c r="H77" s="124">
        <f t="shared" si="4"/>
        <v>6686.03</v>
      </c>
      <c r="I77"/>
    </row>
    <row r="78" spans="1:9" ht="12.75" thickTop="1" thickBot="1" x14ac:dyDescent="0.25">
      <c r="A78" s="29" t="s">
        <v>259</v>
      </c>
      <c r="B78" s="6"/>
      <c r="C78" s="130">
        <f>SUM(C72:C77)</f>
        <v>205038.51</v>
      </c>
      <c r="D78" s="130">
        <f>SUM(D72:D77)</f>
        <v>6686.03</v>
      </c>
      <c r="E78" s="130">
        <f>SUM(E72:E77)</f>
        <v>0</v>
      </c>
      <c r="F78" s="130">
        <f>SUM(F72:F77)</f>
        <v>0</v>
      </c>
      <c r="G78" s="130">
        <f>SUM(G72:G77)</f>
        <v>0</v>
      </c>
      <c r="H78" s="124">
        <f t="shared" si="4"/>
        <v>211724.54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4107130.4400000004</v>
      </c>
      <c r="D81" s="130">
        <f>SUM(D79:D80)+D78+D70</f>
        <v>6686.03</v>
      </c>
      <c r="E81" s="130">
        <f>SUM(E79:E80)+E78+E70</f>
        <v>0</v>
      </c>
      <c r="F81" s="130">
        <f>SUM(F79:F80)+F78+F70</f>
        <v>0</v>
      </c>
      <c r="G81" s="130">
        <f>SUM(G79:G80)+G78+G70</f>
        <v>0</v>
      </c>
      <c r="H81" s="130">
        <f t="shared" si="4"/>
        <v>4113816.47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7697.47</v>
      </c>
      <c r="E85" s="95">
        <f>'DOE25'!H147</f>
        <v>31070.550000000003</v>
      </c>
      <c r="F85" s="95">
        <f>'DOE25'!I147</f>
        <v>0</v>
      </c>
      <c r="G85" s="24" t="s">
        <v>288</v>
      </c>
      <c r="H85" s="124">
        <f t="shared" ref="H85:H104" si="5">SUM(C85:G85)</f>
        <v>38768.020000000004</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59.58</v>
      </c>
      <c r="D88" s="326">
        <f>SUM('DOE25'!G153:G162)</f>
        <v>272751.86</v>
      </c>
      <c r="E88" s="326">
        <f>SUM('DOE25'!H153:H162)</f>
        <v>323809.92000000004</v>
      </c>
      <c r="F88" s="326">
        <f>SUM('DOE25'!I153:I162)</f>
        <v>0</v>
      </c>
      <c r="G88" s="24" t="s">
        <v>288</v>
      </c>
      <c r="H88" s="124">
        <f t="shared" si="5"/>
        <v>596621.3600000001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59.58</v>
      </c>
      <c r="D91" s="131">
        <f>SUM(D85:D90)</f>
        <v>280449.32999999996</v>
      </c>
      <c r="E91" s="131">
        <f>SUM(E85:E90)</f>
        <v>354880.47000000003</v>
      </c>
      <c r="F91" s="131">
        <f>SUM(F85:F90)</f>
        <v>0</v>
      </c>
      <c r="G91" s="24" t="s">
        <v>288</v>
      </c>
      <c r="H91" s="124">
        <f t="shared" si="5"/>
        <v>635389.38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20000</v>
      </c>
      <c r="H96" s="124">
        <f t="shared" si="5"/>
        <v>20000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6184.61</v>
      </c>
      <c r="D100" s="95">
        <f>SUM('DOE25'!G187:G188)</f>
        <v>0</v>
      </c>
      <c r="E100" s="95">
        <f>SUM('DOE25'!H187:H188)</f>
        <v>0</v>
      </c>
      <c r="F100" s="95">
        <f>SUM('DOE25'!I187:I188)</f>
        <v>0</v>
      </c>
      <c r="G100" s="24" t="s">
        <v>288</v>
      </c>
      <c r="H100" s="124">
        <f t="shared" si="5"/>
        <v>6184.61</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6184.61</v>
      </c>
      <c r="D103" s="86">
        <f>SUM(D93:D102)</f>
        <v>0</v>
      </c>
      <c r="E103" s="86">
        <f>SUM(E93:E102)</f>
        <v>0</v>
      </c>
      <c r="F103" s="86">
        <f>SUM(F93:F102)</f>
        <v>0</v>
      </c>
      <c r="G103" s="86">
        <f>SUM(G93:G102)</f>
        <v>20000</v>
      </c>
      <c r="H103" s="86">
        <f t="shared" si="5"/>
        <v>26184.61</v>
      </c>
    </row>
    <row r="104" spans="1:8" ht="12.75" thickTop="1" thickBot="1" x14ac:dyDescent="0.25">
      <c r="A104" s="33" t="s">
        <v>761</v>
      </c>
      <c r="C104" s="86">
        <f>C63+C81+C91+C103</f>
        <v>12670847.299999999</v>
      </c>
      <c r="D104" s="86">
        <f>D63+D81+D91+D103</f>
        <v>310458.96999999997</v>
      </c>
      <c r="E104" s="86">
        <f>E63+E81+E91+E103</f>
        <v>354880.47000000003</v>
      </c>
      <c r="F104" s="86">
        <f>F63+F81+F91+F103</f>
        <v>0</v>
      </c>
      <c r="G104" s="86">
        <f>G63+G81+G103</f>
        <v>-8924.630000000001</v>
      </c>
      <c r="H104" s="86">
        <f t="shared" si="5"/>
        <v>13327262.109999999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7258833.9500000002</v>
      </c>
      <c r="D109" s="24" t="s">
        <v>288</v>
      </c>
      <c r="E109" s="95">
        <f>('DOE25'!L277)+('DOE25'!L296)+('DOE25'!L315)</f>
        <v>157349.12999999998</v>
      </c>
      <c r="F109" s="24" t="s">
        <v>288</v>
      </c>
      <c r="G109" s="24" t="s">
        <v>288</v>
      </c>
      <c r="H109" s="124">
        <f t="shared" ref="H109:H115" si="6">SUM(C109:G109)</f>
        <v>7416183.0800000001</v>
      </c>
    </row>
    <row r="110" spans="1:8" x14ac:dyDescent="0.2">
      <c r="A110" t="s">
        <v>198</v>
      </c>
      <c r="B110" s="32" t="s">
        <v>199</v>
      </c>
      <c r="C110" s="95">
        <f>('DOE25'!L199)+('DOE25'!L217)+('DOE25'!L235)</f>
        <v>1684781.6100000003</v>
      </c>
      <c r="D110" s="24" t="s">
        <v>288</v>
      </c>
      <c r="E110" s="95">
        <f>('DOE25'!L278)+('DOE25'!L297)+('DOE25'!L316)</f>
        <v>97206.840000000011</v>
      </c>
      <c r="F110" s="24" t="s">
        <v>288</v>
      </c>
      <c r="G110" s="24" t="s">
        <v>288</v>
      </c>
      <c r="H110" s="124">
        <f t="shared" si="6"/>
        <v>1781988.4500000004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70297.650000000009</v>
      </c>
      <c r="D112" s="24" t="s">
        <v>288</v>
      </c>
      <c r="E112" s="95">
        <f>+('DOE25'!L280)+('DOE25'!L299)+('DOE25'!L318)</f>
        <v>0</v>
      </c>
      <c r="F112" s="24" t="s">
        <v>288</v>
      </c>
      <c r="G112" s="24" t="s">
        <v>288</v>
      </c>
      <c r="H112" s="124">
        <f t="shared" si="6"/>
        <v>70297.650000000009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9013913.2100000009</v>
      </c>
      <c r="D115" s="86">
        <f>SUM(D109:D114)</f>
        <v>0</v>
      </c>
      <c r="E115" s="86">
        <f>SUM(E109:E114)</f>
        <v>254555.96999999997</v>
      </c>
      <c r="F115" s="86">
        <f>SUM(F109:F114)</f>
        <v>0</v>
      </c>
      <c r="G115" s="86">
        <f>SUM(G109:G114)</f>
        <v>0</v>
      </c>
      <c r="H115" s="86">
        <f t="shared" si="6"/>
        <v>9268469.1800000016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666762.57999999996</v>
      </c>
      <c r="D118" s="24" t="s">
        <v>288</v>
      </c>
      <c r="E118" s="95">
        <f>+('DOE25'!L282)+('DOE25'!L301)+('DOE25'!L320)</f>
        <v>40966.879999999997</v>
      </c>
      <c r="F118" s="24" t="s">
        <v>288</v>
      </c>
      <c r="G118" s="24" t="s">
        <v>288</v>
      </c>
      <c r="H118" s="124">
        <f t="shared" ref="H118:H145" si="7">SUM(C118:G118)</f>
        <v>707729.46</v>
      </c>
    </row>
    <row r="119" spans="1:8" x14ac:dyDescent="0.2">
      <c r="A119" t="s">
        <v>208</v>
      </c>
      <c r="B119" s="32" t="s">
        <v>209</v>
      </c>
      <c r="C119" s="95">
        <f>('DOE25'!L204)+('DOE25'!L222)+('DOE25'!L240)</f>
        <v>485021.94</v>
      </c>
      <c r="D119" s="24" t="s">
        <v>288</v>
      </c>
      <c r="E119" s="95">
        <f>+('DOE25'!L283)+('DOE25'!L302)+('DOE25'!L321)</f>
        <v>46033.5</v>
      </c>
      <c r="F119" s="24" t="s">
        <v>288</v>
      </c>
      <c r="G119" s="24" t="s">
        <v>288</v>
      </c>
      <c r="H119" s="124">
        <f t="shared" si="7"/>
        <v>531055.43999999994</v>
      </c>
    </row>
    <row r="120" spans="1:8" x14ac:dyDescent="0.2">
      <c r="A120" t="s">
        <v>210</v>
      </c>
      <c r="B120" s="32" t="s">
        <v>211</v>
      </c>
      <c r="C120" s="95">
        <f>('DOE25'!L205)+('DOE25'!L223)+('DOE25'!L241)</f>
        <v>542334.01</v>
      </c>
      <c r="D120" s="24" t="s">
        <v>288</v>
      </c>
      <c r="E120" s="95">
        <f>+('DOE25'!L284)+('DOE25'!L303)+('DOE25'!L322)</f>
        <v>0</v>
      </c>
      <c r="F120" s="24" t="s">
        <v>288</v>
      </c>
      <c r="G120" s="24" t="s">
        <v>288</v>
      </c>
      <c r="H120" s="124">
        <f t="shared" si="7"/>
        <v>542334.01</v>
      </c>
    </row>
    <row r="121" spans="1:8" x14ac:dyDescent="0.2">
      <c r="A121" t="s">
        <v>212</v>
      </c>
      <c r="B121" s="32" t="s">
        <v>213</v>
      </c>
      <c r="C121" s="95">
        <f>('DOE25'!L206)+('DOE25'!L224)+('DOE25'!L242)</f>
        <v>593573.04999999993</v>
      </c>
      <c r="D121" s="24" t="s">
        <v>288</v>
      </c>
      <c r="E121" s="95">
        <f>+('DOE25'!L285)+('DOE25'!L304)+('DOE25'!L323)</f>
        <v>0</v>
      </c>
      <c r="F121" s="24" t="s">
        <v>288</v>
      </c>
      <c r="G121" s="24" t="s">
        <v>288</v>
      </c>
      <c r="H121" s="124">
        <f t="shared" si="7"/>
        <v>593573.04999999993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689807.92</v>
      </c>
      <c r="D123" s="24" t="s">
        <v>288</v>
      </c>
      <c r="E123" s="95">
        <f>+('DOE25'!L287)+('DOE25'!L306)+('DOE25'!L325)</f>
        <v>12124.119999999999</v>
      </c>
      <c r="F123" s="24" t="s">
        <v>288</v>
      </c>
      <c r="G123" s="24" t="s">
        <v>288</v>
      </c>
      <c r="H123" s="124">
        <f t="shared" si="7"/>
        <v>701932.04</v>
      </c>
    </row>
    <row r="124" spans="1:8" x14ac:dyDescent="0.2">
      <c r="A124" t="s">
        <v>218</v>
      </c>
      <c r="B124" s="32" t="s">
        <v>219</v>
      </c>
      <c r="C124" s="95">
        <f>('DOE25'!L209)+('DOE25'!L227)+('DOE25'!L245+'DOE25'!L255)</f>
        <v>731050.79</v>
      </c>
      <c r="D124" s="24" t="s">
        <v>288</v>
      </c>
      <c r="E124" s="95">
        <f>+('DOE25'!L288)+('DOE25'!L307)+('DOE25'!L326)</f>
        <v>1200</v>
      </c>
      <c r="F124" s="24" t="s">
        <v>288</v>
      </c>
      <c r="G124" s="24" t="s">
        <v>288</v>
      </c>
      <c r="H124" s="124">
        <f t="shared" si="7"/>
        <v>732250.79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229274.63</v>
      </c>
      <c r="E127" s="24" t="s">
        <v>288</v>
      </c>
      <c r="F127" s="24" t="s">
        <v>288</v>
      </c>
      <c r="G127" s="24" t="s">
        <v>288</v>
      </c>
      <c r="H127" s="124">
        <f t="shared" si="7"/>
        <v>229274.63</v>
      </c>
    </row>
    <row r="128" spans="1:8" ht="12.75" thickTop="1" thickBot="1" x14ac:dyDescent="0.25">
      <c r="A128" s="33" t="s">
        <v>226</v>
      </c>
      <c r="C128" s="86">
        <f>SUM(C118:C127)</f>
        <v>3708550.29</v>
      </c>
      <c r="D128" s="86">
        <f>SUM(D118:D127)</f>
        <v>229274.63</v>
      </c>
      <c r="E128" s="86">
        <f>SUM(E118:E127)</f>
        <v>100324.5</v>
      </c>
      <c r="F128" s="86">
        <f>SUM(F118:F127)</f>
        <v>0</v>
      </c>
      <c r="G128" s="86">
        <f>SUM(G118:G127)</f>
        <v>0</v>
      </c>
      <c r="H128" s="86">
        <f t="shared" si="7"/>
        <v>4038149.42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-8924.6299999999992</v>
      </c>
      <c r="D139" s="24" t="s">
        <v>288</v>
      </c>
      <c r="E139" s="24" t="s">
        <v>288</v>
      </c>
      <c r="F139" s="24" t="s">
        <v>288</v>
      </c>
      <c r="G139" s="24" t="s">
        <v>288</v>
      </c>
      <c r="H139" s="124">
        <f t="shared" si="7"/>
        <v>-8924.6299999999992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28924.629999999997</v>
      </c>
      <c r="D141" s="24" t="s">
        <v>288</v>
      </c>
      <c r="E141" s="24" t="s">
        <v>288</v>
      </c>
      <c r="F141" s="24" t="s">
        <v>288</v>
      </c>
      <c r="G141" s="24" t="s">
        <v>288</v>
      </c>
      <c r="H141" s="124">
        <f t="shared" si="7"/>
        <v>28924.629999999997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20000</v>
      </c>
      <c r="D144" s="141">
        <f>SUM(D130:D143)</f>
        <v>0</v>
      </c>
      <c r="E144" s="141">
        <f>SUM(E130:E143)</f>
        <v>0</v>
      </c>
      <c r="F144" s="141">
        <f>SUM(F130:F143)</f>
        <v>0</v>
      </c>
      <c r="G144" s="141">
        <f>SUM(G130:G143)</f>
        <v>0</v>
      </c>
      <c r="H144" s="141">
        <f t="shared" si="7"/>
        <v>20000</v>
      </c>
    </row>
    <row r="145" spans="1:9" ht="12.75" thickTop="1" thickBot="1" x14ac:dyDescent="0.25">
      <c r="A145" s="33" t="s">
        <v>244</v>
      </c>
      <c r="C145" s="86">
        <f>(C115+C128+C144)</f>
        <v>12742463.5</v>
      </c>
      <c r="D145" s="86">
        <f>(D115+D128+D144)</f>
        <v>229274.63</v>
      </c>
      <c r="E145" s="86">
        <f>(E115+E128+E144)</f>
        <v>354880.47</v>
      </c>
      <c r="F145" s="86">
        <f>(F115+F128+F144)</f>
        <v>0</v>
      </c>
      <c r="G145" s="86">
        <f>(G115+G128+G144)</f>
        <v>0</v>
      </c>
      <c r="H145" s="86">
        <f t="shared" si="7"/>
        <v>13326618.600000001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Chester</v>
      </c>
    </row>
    <row r="3" spans="1:4" x14ac:dyDescent="0.2">
      <c r="B3" s="187" t="s">
        <v>1799</v>
      </c>
    </row>
    <row r="4" spans="1:4" x14ac:dyDescent="0.2">
      <c r="B4" t="s">
        <v>61</v>
      </c>
      <c r="C4" s="178">
        <f>IF('DOE25'!F666+'DOE25'!F671=0,0,ROUND('DOE25'!F673,0))</f>
        <v>17409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17409</v>
      </c>
    </row>
    <row r="9" spans="1:4" x14ac:dyDescent="0.2">
      <c r="A9" s="186" t="s">
        <v>94</v>
      </c>
      <c r="B9" s="187" t="s">
        <v>1800</v>
      </c>
      <c r="C9" s="180" t="s">
        <v>720</v>
      </c>
      <c r="D9" s="180" t="s">
        <v>721</v>
      </c>
    </row>
    <row r="10" spans="1:4" x14ac:dyDescent="0.2">
      <c r="A10">
        <v>1100</v>
      </c>
      <c r="B10" t="s">
        <v>702</v>
      </c>
      <c r="C10" s="178">
        <f>ROUND('DOE25'!L198+'DOE25'!L216+'DOE25'!L234+'DOE25'!L277+'DOE25'!L296+'DOE25'!L315,0)</f>
        <v>7416183</v>
      </c>
      <c r="D10" s="181">
        <f>ROUND((C10/$C$28)*100,1)</f>
        <v>55.8</v>
      </c>
    </row>
    <row r="11" spans="1:4" x14ac:dyDescent="0.2">
      <c r="A11">
        <v>1200</v>
      </c>
      <c r="B11" t="s">
        <v>703</v>
      </c>
      <c r="C11" s="178">
        <f>ROUND('DOE25'!L199+'DOE25'!L217+'DOE25'!L235+'DOE25'!L278+'DOE25'!L297+'DOE25'!L316,0)</f>
        <v>1781988</v>
      </c>
      <c r="D11" s="181">
        <f>ROUND((C11/$C$28)*100,1)</f>
        <v>13.4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70298</v>
      </c>
      <c r="D13" s="181">
        <f>ROUND((C13/$C$28)*100,1)</f>
        <v>0.5</v>
      </c>
    </row>
    <row r="14" spans="1:4" x14ac:dyDescent="0.2">
      <c r="D14" s="181"/>
    </row>
    <row r="15" spans="1:4" x14ac:dyDescent="0.2">
      <c r="A15">
        <v>2100</v>
      </c>
      <c r="B15" t="s">
        <v>706</v>
      </c>
      <c r="C15" s="178">
        <f>ROUND('DOE25'!L203+'DOE25'!L221+'DOE25'!L239+'DOE25'!L282+'DOE25'!L301+'DOE25'!L320,0)</f>
        <v>707729</v>
      </c>
      <c r="D15" s="181">
        <f t="shared" ref="D15:D27" si="0">ROUND((C15/$C$28)*100,1)</f>
        <v>5.3</v>
      </c>
    </row>
    <row r="16" spans="1:4" x14ac:dyDescent="0.2">
      <c r="A16">
        <v>2200</v>
      </c>
      <c r="B16" t="s">
        <v>707</v>
      </c>
      <c r="C16" s="178">
        <f>ROUND('DOE25'!L204+'DOE25'!L222+'DOE25'!L240+'DOE25'!L283+'DOE25'!L302+'DOE25'!L321,0)</f>
        <v>531055</v>
      </c>
      <c r="D16" s="181">
        <f t="shared" si="0"/>
        <v>4</v>
      </c>
    </row>
    <row r="17" spans="1:4" x14ac:dyDescent="0.2">
      <c r="A17" s="182" t="s">
        <v>723</v>
      </c>
      <c r="B17" t="s">
        <v>738</v>
      </c>
      <c r="C17" s="178">
        <f>ROUND('DOE25'!L205+'DOE25'!L210+'DOE25'!L223+'DOE25'!L228+'DOE25'!L241+'DOE25'!L246+'DOE25'!L284+'DOE25'!L289+'DOE25'!L303+'DOE25'!L308+'DOE25'!L322+'DOE25'!L327,0)</f>
        <v>542334</v>
      </c>
      <c r="D17" s="181">
        <f t="shared" si="0"/>
        <v>4.0999999999999996</v>
      </c>
    </row>
    <row r="18" spans="1:4" x14ac:dyDescent="0.2">
      <c r="A18">
        <v>2400</v>
      </c>
      <c r="B18" t="s">
        <v>711</v>
      </c>
      <c r="C18" s="178">
        <f>ROUND('DOE25'!L206+'DOE25'!L224+'DOE25'!L242+'DOE25'!L285+'DOE25'!L304+'DOE25'!L323,0)</f>
        <v>593573</v>
      </c>
      <c r="D18" s="181">
        <f t="shared" si="0"/>
        <v>4.5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701932</v>
      </c>
      <c r="D20" s="181">
        <f t="shared" si="0"/>
        <v>5.3</v>
      </c>
    </row>
    <row r="21" spans="1:4" x14ac:dyDescent="0.2">
      <c r="A21">
        <v>2700</v>
      </c>
      <c r="B21" t="s">
        <v>710</v>
      </c>
      <c r="C21" s="178">
        <f>ROUND('DOE25'!L209+'DOE25'!L227+'DOE25'!L245+'DOE25'!L288+'DOE25'!L307+'DOE25'!L326,0)</f>
        <v>732251</v>
      </c>
      <c r="D21" s="181">
        <f t="shared" si="0"/>
        <v>5.5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205951.39</v>
      </c>
      <c r="D27" s="181">
        <f t="shared" si="0"/>
        <v>1.6</v>
      </c>
    </row>
    <row r="28" spans="1:4" x14ac:dyDescent="0.2">
      <c r="B28" s="186" t="s">
        <v>719</v>
      </c>
      <c r="C28" s="179">
        <f>SUM(C10:C27)</f>
        <v>13283294.390000001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13283294.390000001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8505264</v>
      </c>
      <c r="D35" s="181">
        <f t="shared" ref="D35:D40" si="1">ROUND((C35/$C$41)*100,1)</f>
        <v>64.099999999999994</v>
      </c>
    </row>
    <row r="36" spans="1:4" x14ac:dyDescent="0.2">
      <c r="B36" s="184" t="s">
        <v>739</v>
      </c>
      <c r="C36" s="178">
        <f>SUM('DOE25'!F112:J112)-SUM('DOE25'!G97:G110)+('DOE25'!F175+'DOE25'!F176+'DOE25'!I175+'DOE25'!I176)-C35</f>
        <v>23284.039999999106</v>
      </c>
      <c r="D36" s="181">
        <f t="shared" si="1"/>
        <v>0.2</v>
      </c>
    </row>
    <row r="37" spans="1:4" x14ac:dyDescent="0.2">
      <c r="A37" s="182" t="s">
        <v>835</v>
      </c>
      <c r="B37" s="184" t="s">
        <v>728</v>
      </c>
      <c r="C37" s="178">
        <f>ROUND('DOE25'!F117+'DOE25'!F118,0)</f>
        <v>3900097</v>
      </c>
      <c r="D37" s="181">
        <f t="shared" si="1"/>
        <v>29.4</v>
      </c>
    </row>
    <row r="38" spans="1:4" x14ac:dyDescent="0.2">
      <c r="A38" s="182" t="s">
        <v>734</v>
      </c>
      <c r="B38" s="184" t="s">
        <v>729</v>
      </c>
      <c r="C38" s="178">
        <f>ROUND(SUM('DOE25'!F140:J140)-SUM('DOE25'!F117:F119),0)</f>
        <v>213720</v>
      </c>
      <c r="D38" s="181">
        <f t="shared" si="1"/>
        <v>1.6</v>
      </c>
    </row>
    <row r="39" spans="1:4" x14ac:dyDescent="0.2">
      <c r="A39">
        <v>4000</v>
      </c>
      <c r="B39" s="184" t="s">
        <v>730</v>
      </c>
      <c r="C39" s="178">
        <f>ROUND('DOE25'!F170+'DOE25'!G170+'DOE25'!H170+'DOE25'!I170,0)</f>
        <v>635389</v>
      </c>
      <c r="D39" s="181">
        <f t="shared" si="1"/>
        <v>4.8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13277754.039999999</v>
      </c>
      <c r="D41" s="183">
        <f>SUM(D35:D40)</f>
        <v>100.09999999999998</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Chester</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2</v>
      </c>
      <c r="B4" s="218">
        <v>5</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6</v>
      </c>
      <c r="B5" s="218">
        <v>13</v>
      </c>
      <c r="C5" s="388" t="s">
        <v>1803</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44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f>IF('School Level Expenditures'!$B$2=A47,'School Tables'!H47,"")</f>
        <v>44</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2022-12-19T13:05:37Z</dcterms:modified>
</cp:coreProperties>
</file>