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66A06C15-42EF-43E3-B836-B4E07604C21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6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E132" i="2" s="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H98" i="2" l="1"/>
  <c r="H76" i="2"/>
  <c r="H73" i="2"/>
  <c r="C110" i="2"/>
  <c r="I409" i="1"/>
  <c r="H101" i="2"/>
  <c r="H87" i="2"/>
  <c r="H58" i="2"/>
  <c r="H137" i="2"/>
  <c r="H97" i="2"/>
  <c r="H143" i="2"/>
  <c r="I170" i="1"/>
  <c r="F409" i="1"/>
  <c r="H644" i="1" s="1"/>
  <c r="J644" i="1" s="1"/>
  <c r="H99" i="2"/>
  <c r="H100" i="2"/>
  <c r="H79" i="2"/>
  <c r="D18" i="13"/>
  <c r="C18" i="13" s="1"/>
  <c r="H96" i="2"/>
  <c r="H89" i="2"/>
  <c r="H72" i="2"/>
  <c r="H102" i="2"/>
  <c r="H23" i="2"/>
  <c r="H15" i="2"/>
  <c r="D6" i="13"/>
  <c r="C6" i="13" s="1"/>
  <c r="C12" i="10"/>
  <c r="E13" i="13"/>
  <c r="C13" i="13" s="1"/>
  <c r="H26" i="2"/>
  <c r="H132" i="2"/>
  <c r="G662" i="1"/>
  <c r="G646" i="1"/>
  <c r="H94" i="2"/>
  <c r="H25" i="2"/>
  <c r="H11" i="2"/>
  <c r="D15" i="13"/>
  <c r="C15" i="13" s="1"/>
  <c r="H93" i="2"/>
  <c r="H80" i="2"/>
  <c r="H113" i="2"/>
  <c r="H125" i="2"/>
  <c r="H38" i="2"/>
  <c r="H48" i="2"/>
  <c r="H47" i="2"/>
  <c r="G477" i="1"/>
  <c r="H624" i="1" s="1"/>
  <c r="J624" i="1" s="1"/>
  <c r="J652" i="1"/>
  <c r="G409" i="1"/>
  <c r="H646" i="1" s="1"/>
  <c r="J646" i="1" s="1"/>
  <c r="E121" i="2"/>
  <c r="H121" i="2" s="1"/>
  <c r="H120" i="2"/>
  <c r="H112" i="2"/>
  <c r="H77" i="2"/>
  <c r="H69" i="2"/>
  <c r="H61" i="2"/>
  <c r="H59" i="2"/>
  <c r="H43" i="2"/>
  <c r="H44" i="2"/>
  <c r="H36" i="2"/>
  <c r="H35" i="2"/>
  <c r="H34" i="2"/>
  <c r="H30" i="2"/>
  <c r="H29" i="2"/>
  <c r="H28" i="2"/>
  <c r="H27" i="2"/>
  <c r="H22" i="2"/>
  <c r="H24" i="2"/>
  <c r="H17" i="2"/>
  <c r="H13" i="2"/>
  <c r="H12" i="2"/>
  <c r="H9" i="2"/>
  <c r="H8" i="2"/>
  <c r="E119" i="2"/>
  <c r="H119" i="2" s="1"/>
  <c r="H409" i="1"/>
  <c r="H645" i="1" s="1"/>
  <c r="J645" i="1" s="1"/>
  <c r="G339" i="1"/>
  <c r="G353" i="1" s="1"/>
  <c r="J258" i="1"/>
  <c r="J272" i="1" s="1"/>
  <c r="E123" i="2"/>
  <c r="E110" i="2"/>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22" i="2" l="1"/>
  <c r="H114" i="2"/>
  <c r="H110" i="2"/>
  <c r="H91" i="2"/>
  <c r="H62" i="2"/>
  <c r="H85" i="2"/>
  <c r="H42" i="2"/>
  <c r="H21" i="2"/>
  <c r="H57" i="2"/>
  <c r="H31" i="2"/>
  <c r="H16" i="2"/>
  <c r="I663" i="1"/>
  <c r="F661" i="1"/>
  <c r="F665" i="1" s="1"/>
  <c r="F668" i="1" s="1"/>
  <c r="H103" i="2"/>
  <c r="G144" i="2"/>
  <c r="G145" i="2" s="1"/>
  <c r="H134" i="2"/>
  <c r="L572" i="1"/>
  <c r="D128" i="2"/>
  <c r="D145" i="2" s="1"/>
  <c r="H127" i="2"/>
  <c r="E115" i="2"/>
  <c r="G24" i="14"/>
  <c r="H24" i="14" s="1"/>
  <c r="I24" i="14" s="1"/>
  <c r="H123" i="2"/>
  <c r="E128" i="2"/>
  <c r="H118" i="2"/>
  <c r="H109" i="2"/>
  <c r="C81" i="2"/>
  <c r="H81" i="2" s="1"/>
  <c r="H78" i="2"/>
  <c r="F194" i="1"/>
  <c r="D51" i="2"/>
  <c r="H50"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H128" i="2"/>
  <c r="C144" i="2"/>
  <c r="H144" i="2" s="1"/>
  <c r="H141" i="2"/>
  <c r="C104" i="2"/>
  <c r="H104" i="2" s="1"/>
  <c r="H63"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<sst xmlns="http://schemas.openxmlformats.org/spreadsheetml/2006/main" count="6531" uniqueCount="1803">
  <si>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</si>
  <si>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</si>
  <si>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</si>
  <si>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</si>
  <si>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</si>
  <si>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</si>
  <si>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</si>
  <si>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</si>
  <si>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</si>
  <si>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</si>
  <si>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</si>
  <si>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</si>
  <si>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</si>
  <si>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</si>
  <si>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</si>
  <si>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</si>
  <si>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</si>
  <si>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</si>
  <si>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</si>
  <si>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</si>
  <si>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</si>
  <si>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</si>
  <si>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</si>
  <si>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</si>
  <si>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</si>
  <si>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</si>
  <si>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</si>
  <si>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</si>
  <si>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</si>
  <si>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</si>
  <si>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</si>
  <si>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</si>
  <si>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</si>
  <si>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</si>
  <si>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</si>
  <si>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</si>
  <si>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</si>
  <si>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</si>
  <si>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</si>
  <si>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</si>
  <si>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</si>
  <si>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</si>
  <si>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</si>
  <si>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</si>
  <si>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</si>
  <si>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</si>
  <si>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</si>
  <si>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</si>
  <si>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</si>
  <si>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</si>
  <si>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</si>
  <si>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</si>
  <si>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</si>
  <si>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</si>
  <si>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</si>
  <si>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</si>
  <si>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</si>
  <si>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</si>
  <si>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</si>
  <si>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</si>
  <si>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</si>
  <si>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</si>
  <si>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</si>
  <si>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</si>
  <si>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</si>
  <si>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</si>
  <si>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</si>
  <si>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</si>
  <si>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</si>
  <si>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</si>
  <si>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</si>
  <si>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</si>
  <si>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</si>
  <si>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</si>
  <si>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</si>
  <si>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</si>
  <si>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</si>
  <si>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</si>
  <si>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</si>
  <si>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</si>
  <si>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</si>
  <si>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</si>
  <si>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</si>
  <si>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</si>
  <si>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</si>
  <si>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</si>
  <si>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</si>
  <si>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</si>
  <si>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</si>
  <si>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</si>
  <si>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</si>
  <si>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</si>
  <si>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</si>
  <si>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</si>
  <si>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</si>
  <si>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</si>
  <si>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</si>
  <si>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</si>
  <si>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</si>
  <si>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</si>
  <si>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</si>
  <si>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</si>
  <si>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</si>
  <si>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</si>
  <si>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</si>
  <si>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</si>
  <si>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</si>
  <si>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</si>
  <si>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</si>
  <si>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</si>
  <si>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</si>
  <si>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</si>
  <si>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</si>
  <si>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</si>
  <si>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</si>
  <si>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</si>
  <si>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</si>
  <si>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</si>
  <si>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</si>
  <si>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</si>
  <si>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</si>
  <si>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</si>
  <si>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</si>
  <si>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</si>
  <si>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</si>
  <si>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</si>
  <si>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</si>
  <si>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</si>
  <si>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</si>
  <si>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</si>
  <si>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</si>
  <si>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</si>
  <si>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</si>
  <si>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</si>
  <si>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</si>
  <si>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</si>
  <si>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</si>
  <si>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</si>
  <si>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</si>
  <si>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</si>
  <si>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</si>
  <si>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</si>
  <si>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</si>
  <si>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</si>
  <si>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</si>
  <si>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</si>
  <si>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</si>
  <si>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</si>
  <si>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</si>
  <si>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</si>
  <si>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</si>
  <si>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</si>
  <si>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</si>
  <si>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</si>
  <si>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</si>
  <si>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</si>
  <si>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</si>
  <si>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</si>
  <si>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</si>
  <si>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</si>
  <si>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</si>
  <si>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</si>
  <si>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</si>
  <si>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</si>
  <si>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</si>
  <si>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</si>
  <si>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</si>
  <si>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</si>
  <si>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</si>
  <si>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</si>
  <si>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</si>
  <si>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</si>
  <si>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</si>
  <si>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</si>
  <si>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</si>
  <si>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</si>
  <si>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</si>
  <si>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</si>
  <si>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</si>
  <si>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</si>
  <si>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</si>
  <si>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</si>
  <si>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</si>
  <si>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</si>
  <si>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</si>
  <si>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</si>
  <si>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</si>
  <si>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</si>
  <si>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</si>
  <si>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</si>
  <si>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</si>
  <si>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</si>
  <si>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</si>
  <si>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</si>
  <si>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</si>
  <si>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</si>
  <si>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</si>
  <si>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</si>
  <si>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</si>
  <si>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</si>
  <si>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</si>
  <si>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</si>
  <si>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</si>
  <si>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</si>
  <si>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</si>
  <si>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</si>
  <si>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</si>
  <si>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</si>
  <si>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</si>
  <si>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</si>
  <si>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</si>
  <si>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</si>
  <si>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</si>
  <si>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</si>
  <si>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</si>
  <si>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</si>
  <si>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</si>
  <si>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</si>
  <si>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</si>
  <si>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</si>
  <si>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</si>
  <si>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</si>
  <si>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</si>
  <si>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</si>
  <si>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</si>
  <si>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</si>
  <si>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</si>
  <si>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</si>
  <si>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</si>
  <si>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</si>
  <si>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</si>
  <si>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</si>
  <si>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</si>
  <si>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</si>
  <si>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</si>
  <si>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</si>
  <si>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</si>
  <si>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</si>
  <si>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</si>
  <si>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</si>
  <si>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</si>
  <si>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</si>
  <si>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</si>
  <si>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</si>
  <si>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</si>
  <si>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</si>
  <si>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</si>
  <si>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</si>
  <si>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</si>
  <si>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</si>
  <si>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</si>
  <si>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</si>
  <si>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</si>
  <si>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</si>
  <si>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</si>
  <si>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</si>
  <si>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</si>
  <si>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</si>
  <si>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</si>
  <si>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</si>
  <si>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</si>
  <si>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</si>
  <si>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</si>
  <si>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</si>
  <si>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</si>
  <si>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</si>
  <si>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</si>
  <si>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</si>
  <si>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</si>
  <si>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</si>
  <si>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</si>
  <si>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</si>
  <si>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</si>
  <si>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</si>
  <si>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</si>
  <si>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</si>
  <si>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</si>
  <si>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</si>
  <si>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</si>
  <si>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</si>
  <si>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</si>
  <si>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</si>
  <si>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</si>
  <si>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</si>
  <si>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</si>
  <si>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</si>
  <si>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</si>
  <si>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</si>
  <si>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</si>
  <si>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</si>
  <si>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</si>
  <si>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</si>
  <si>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</si>
  <si>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</si>
  <si>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</si>
  <si>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</si>
  <si>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</si>
  <si>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</si>
  <si>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</si>
  <si>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</si>
  <si>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</si>
  <si>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</si>
  <si>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</si>
  <si>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</si>
  <si>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</si>
  <si>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</si>
  <si>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</si>
  <si>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</si>
  <si>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</si>
  <si>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</si>
  <si>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</si>
  <si>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</si>
  <si>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</si>
  <si>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</si>
  <si>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</si>
  <si>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</si>
  <si>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</si>
  <si>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</si>
  <si>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</si>
  <si>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</si>
  <si>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</si>
  <si>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</si>
  <si>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</si>
  <si>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</si>
  <si>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</si>
  <si>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</si>
  <si>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</si>
  <si>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</si>
  <si>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</si>
  <si>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</si>
  <si>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</si>
  <si>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</si>
  <si>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</si>
  <si>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</si>
  <si>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</si>
  <si>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</si>
  <si>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</si>
  <si>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</si>
  <si>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</si>
  <si>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</si>
  <si>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</si>
  <si>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</si>
  <si>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</si>
  <si>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</si>
  <si>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</si>
  <si>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</si>
  <si>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</si>
  <si>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</si>
  <si>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</si>
  <si>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</si>
  <si>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</si>
  <si>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</si>
  <si>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</si>
  <si>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</si>
  <si>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</si>
  <si>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</si>
  <si>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</si>
  <si>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</si>
  <si>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</si>
  <si>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</si>
  <si>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</si>
  <si>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</si>
  <si>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</si>
  <si>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</si>
  <si>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</si>
  <si>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</si>
  <si>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</si>
  <si>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</si>
  <si>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</si>
  <si>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</si>
  <si>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</si>
  <si>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</si>
  <si>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</si>
  <si>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</si>
  <si>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</si>
  <si>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</si>
  <si>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</si>
  <si>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</si>
  <si>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</si>
  <si>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</si>
  <si>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</si>
  <si>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</si>
  <si>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</si>
  <si>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</si>
  <si>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</si>
  <si>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</si>
  <si>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</si>
  <si>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</si>
  <si>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</si>
  <si>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</si>
  <si>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</si>
  <si>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</si>
  <si>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</si>
  <si>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</si>
  <si>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</si>
  <si>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</si>
  <si>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</si>
  <si>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</si>
  <si>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</si>
  <si>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</si>
  <si>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</si>
  <si>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</si>
  <si>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</si>
  <si>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</si>
  <si>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</si>
  <si>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</si>
  <si>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</si>
  <si>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</si>
  <si>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</si>
  <si>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</si>
  <si>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</si>
  <si>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</si>
  <si>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</si>
  <si>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</si>
  <si>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</si>
  <si>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</si>
  <si>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</si>
  <si>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</si>
  <si>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</si>
  <si>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</si>
  <si>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</si>
  <si>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</si>
  <si>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</si>
  <si>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</si>
  <si>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</si>
  <si>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</si>
  <si>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</si>
  <si>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</si>
  <si>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</si>
  <si>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</si>
  <si>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</si>
  <si>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</si>
  <si>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</si>
  <si>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</si>
  <si>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</si>
  <si>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</si>
  <si>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</si>
  <si>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</si>
  <si>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</si>
  <si>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</si>
  <si>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</si>
  <si>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</si>
  <si>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</si>
  <si>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</si>
  <si>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</si>
  <si>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</si>
  <si>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</si>
  <si>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</si>
  <si>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</si>
  <si>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</si>
  <si>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</si>
  <si>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</si>
  <si>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</si>
  <si>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</si>
  <si>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</si>
  <si>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</si>
  <si>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</si>
  <si>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</si>
  <si>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</si>
  <si>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</si>
  <si>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</si>
  <si>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</si>
  <si>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</si>
  <si>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</si>
  <si>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</si>
  <si>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</si>
  <si>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</si>
  <si>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</si>
  <si>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</si>
  <si>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</si>
  <si>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</si>
  <si>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</si>
  <si>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</si>
  <si>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</si>
  <si>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</si>
  <si>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</si>
  <si>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</si>
  <si>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</si>
  <si>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</si>
  <si>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</si>
  <si>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</si>
  <si>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</si>
  <si>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</si>
  <si>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</si>
  <si>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</si>
  <si>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</si>
  <si>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</si>
  <si>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</si>
  <si>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</si>
  <si>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</si>
  <si>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</si>
  <si>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</si>
  <si>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</si>
  <si>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</si>
  <si>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</si>
  <si>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</si>
  <si>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</si>
  <si>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</si>
  <si>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</si>
  <si>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</si>
  <si>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</si>
  <si>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</si>
  <si>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</si>
  <si>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</si>
  <si>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</si>
  <si>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</si>
  <si>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</si>
  <si>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</si>
  <si>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</si>
  <si>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</si>
  <si>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</si>
  <si>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</si>
  <si>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</si>
  <si>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</si>
  <si>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</si>
  <si>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</si>
  <si>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</si>
  <si>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</si>
  <si>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</si>
  <si>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</si>
  <si>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</si>
  <si>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</si>
  <si>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</si>
  <si>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</si>
  <si>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</si>
  <si>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</si>
  <si>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</si>
  <si>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</si>
  <si>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</si>
  <si>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</si>
  <si>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</si>
  <si>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</si>
  <si>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</si>
  <si>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</si>
  <si>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</si>
  <si>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</si>
  <si>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</si>
  <si>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</si>
  <si>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</si>
  <si>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</si>
  <si>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</si>
  <si>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</si>
  <si>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</si>
  <si>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</si>
  <si>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</si>
  <si>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</si>
  <si>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</si>
  <si>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</si>
  <si>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</si>
  <si>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</si>
  <si>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</si>
  <si>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</si>
  <si>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</si>
  <si>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</si>
  <si>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</si>
  <si>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</si>
  <si>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</si>
  <si>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</si>
  <si>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</si>
  <si>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</si>
  <si>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</si>
  <si>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</si>
  <si>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</si>
  <si>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</si>
  <si>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</si>
  <si>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</si>
  <si>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</si>
  <si>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</si>
  <si>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</si>
  <si>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</si>
  <si>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</si>
  <si>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</si>
  <si>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</si>
  <si>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</si>
  <si>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</si>
  <si>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</si>
  <si>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</si>
  <si>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</si>
  <si>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</si>
  <si>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</si>
  <si>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</si>
  <si>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</si>
  <si>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</si>
  <si>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</si>
  <si>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</si>
  <si>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</si>
  <si>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</si>
  <si>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</si>
  <si>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</si>
  <si>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</si>
  <si>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</si>
  <si>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</si>
  <si>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</si>
  <si>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</si>
  <si>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</si>
  <si>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</si>
  <si>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</si>
  <si>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</si>
  <si>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</si>
  <si>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</si>
  <si>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</si>
  <si>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</si>
  <si>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</si>
  <si>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</si>
  <si>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</si>
  <si>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</si>
  <si>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</si>
  <si>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</si>
  <si>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</si>
  <si>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</si>
  <si>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</si>
  <si>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</si>
  <si>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</si>
  <si>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</si>
  <si>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</si>
  <si>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</si>
  <si>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</si>
  <si>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</si>
  <si>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</si>
  <si>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</si>
  <si>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</si>
  <si>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</si>
  <si>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</si>
  <si>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</si>
  <si>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</si>
  <si>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</si>
  <si>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</si>
  <si>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</si>
  <si>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</si>
  <si>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</si>
  <si>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</si>
  <si>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</si>
  <si>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</si>
  <si>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</si>
  <si>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</si>
  <si>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</si>
  <si>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</si>
  <si>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</si>
  <si>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</si>
  <si>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</si>
  <si>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</si>
  <si>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</si>
  <si>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</si>
  <si>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</si>
  <si>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</si>
  <si>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</si>
  <si>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</si>
  <si>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</si>
  <si>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</si>
  <si>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</si>
  <si>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</si>
  <si>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</si>
  <si>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</si>
  <si>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</si>
  <si>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</si>
  <si>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</si>
  <si>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</si>
  <si>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</si>
  <si>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</si>
  <si>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</si>
  <si>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</si>
  <si>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</si>
  <si>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</si>
  <si>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</si>
  <si>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</si>
  <si>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</si>
  <si>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</si>
  <si>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</si>
  <si>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</si>
  <si>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</si>
  <si>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</si>
  <si>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</si>
  <si>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</si>
  <si>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</si>
  <si>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</si>
  <si>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</si>
  <si>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</si>
  <si>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</si>
  <si>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</si>
  <si>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</si>
  <si>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</si>
  <si>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</si>
  <si>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</si>
  <si>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</si>
  <si>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</si>
  <si>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</si>
  <si>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</si>
  <si>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</si>
  <si>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</si>
  <si>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</si>
  <si>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</si>
  <si>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</si>
  <si>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</si>
  <si>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</si>
  <si>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</si>
  <si>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</si>
  <si>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</si>
  <si>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</si>
  <si>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</si>
  <si>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</si>
  <si>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</si>
  <si>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</si>
  <si>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</si>
  <si>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</si>
  <si>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</si>
  <si>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</si>
  <si>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</si>
  <si>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</si>
  <si>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</si>
  <si>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</si>
  <si>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</si>
  <si>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</si>
  <si>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</si>
  <si>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</si>
  <si>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</si>
  <si>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</si>
  <si>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</si>
  <si>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</si>
  <si>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</si>
  <si>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</si>
  <si>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</si>
  <si>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</si>
  <si>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</si>
  <si>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</si>
  <si>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</si>
  <si>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</si>
  <si>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</si>
  <si>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</si>
  <si>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</si>
  <si>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</si>
  <si>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</si>
  <si>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</si>
  <si>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</si>
  <si>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</si>
  <si>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</si>
  <si>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</si>
  <si>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</si>
  <si>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</si>
  <si>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</si>
  <si>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</si>
  <si>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</si>
  <si>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</si>
  <si>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</si>
  <si>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</si>
  <si>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</si>
  <si>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</si>
  <si>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</si>
  <si>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</si>
  <si>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</si>
  <si>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</si>
  <si>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</si>
  <si>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</si>
  <si>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</si>
  <si>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</si>
  <si>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</si>
  <si>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</si>
  <si>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</si>
  <si>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</si>
  <si>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</si>
  <si>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</si>
  <si>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</si>
  <si>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</si>
  <si>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</si>
  <si>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</si>
  <si>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</si>
  <si>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</si>
  <si>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</si>
  <si>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</si>
  <si>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</si>
  <si>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</si>
  <si>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</si>
  <si>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</si>
  <si>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</si>
  <si>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</si>
  <si>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</si>
  <si>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</si>
  <si>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</si>
  <si>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</si>
  <si>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</si>
  <si>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</si>
  <si>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</si>
  <si>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</si>
  <si>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</si>
  <si>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</si>
  <si>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</si>
  <si>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</si>
  <si>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</si>
  <si>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</si>
  <si>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</si>
  <si>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</si>
  <si>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</si>
  <si>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</si>
  <si>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</si>
  <si>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</si>
  <si>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</si>
  <si>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</si>
  <si>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</si>
  <si>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</si>
  <si>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</si>
  <si>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</si>
  <si>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</si>
  <si>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</si>
  <si>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</si>
  <si>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</si>
  <si>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</si>
  <si>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</si>
  <si>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</si>
  <si>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</si>
  <si>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</si>
  <si>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</si>
  <si>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</si>
  <si>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</si>
  <si>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</si>
  <si>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</si>
  <si>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</si>
  <si>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</si>
  <si>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</si>
  <si>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</si>
  <si>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</si>
  <si>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</si>
  <si>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</si>
  <si>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</si>
  <si>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</si>
  <si>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</si>
  <si>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</si>
  <si>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</si>
  <si>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</si>
  <si>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</si>
  <si>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</si>
  <si>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</si>
  <si>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</si>
  <si>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</si>
  <si>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</si>
  <si>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</si>
  <si>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</si>
  <si>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</si>
  <si>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</si>
  <si>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</si>
  <si>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</si>
  <si>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</si>
  <si>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</si>
  <si>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</si>
  <si>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</si>
  <si>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</si>
  <si>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</si>
  <si>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</si>
  <si>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</si>
  <si>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</si>
  <si>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</si>
  <si>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</si>
  <si>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</si>
  <si>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</si>
  <si>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</si>
  <si>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</si>
  <si>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</si>
  <si>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</si>
  <si>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</si>
  <si>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</si>
  <si>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</si>
  <si>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</si>
  <si>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</si>
  <si>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</si>
  <si>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</si>
  <si>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</si>
  <si>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</si>
  <si>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</si>
  <si>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</si>
  <si>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</si>
  <si>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</si>
  <si>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</si>
  <si>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</si>
  <si>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</si>
  <si>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</si>
  <si>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</si>
  <si>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</si>
  <si>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</si>
  <si>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</si>
  <si>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</si>
  <si>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</si>
  <si>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</si>
  <si>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</si>
  <si>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</si>
  <si>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</si>
  <si>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</si>
  <si>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</si>
  <si>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</si>
  <si>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</si>
  <si>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</si>
  <si>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</si>
  <si>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</si>
  <si>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</si>
  <si>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</si>
  <si>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</si>
  <si>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</si>
  <si>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</si>
  <si>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</si>
  <si>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</si>
  <si>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</si>
  <si>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</si>
  <si>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</si>
  <si>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</si>
  <si>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</si>
  <si>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</si>
  <si>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</si>
  <si>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</si>
  <si>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</si>
  <si>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</si>
  <si>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</si>
  <si>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</si>
  <si>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</si>
  <si>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</si>
  <si>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</si>
  <si>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</si>
  <si>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</si>
  <si>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</si>
  <si>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</si>
  <si>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</si>
  <si>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</si>
  <si>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</si>
  <si>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</si>
  <si>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</si>
  <si>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</si>
  <si>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</si>
  <si>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</si>
  <si>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</si>
  <si>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</si>
  <si>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</si>
  <si>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</si>
  <si>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</si>
  <si>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</si>
  <si>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</si>
  <si>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</si>
  <si>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</si>
  <si>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</si>
  <si>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</si>
  <si>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</si>
  <si>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</si>
  <si>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</si>
  <si>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</si>
  <si>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</si>
  <si>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</si>
  <si>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</si>
  <si>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</si>
  <si>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</si>
  <si>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</si>
  <si>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</si>
  <si>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</si>
  <si>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</si>
  <si>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</si>
  <si>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</si>
  <si>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</si>
  <si>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</si>
  <si>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</si>
  <si>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</si>
  <si>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</si>
  <si>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</si>
  <si>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</si>
  <si>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</si>
  <si>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</si>
  <si>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</si>
  <si>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</si>
  <si>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</si>
  <si>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</si>
  <si>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</si>
  <si>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</si>
  <si>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</si>
  <si>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</si>
  <si>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</si>
  <si>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</si>
  <si>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</si>
  <si>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</si>
  <si>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</si>
  <si>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</si>
  <si>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</si>
  <si>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</si>
  <si>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</si>
  <si>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</si>
  <si>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</si>
  <si>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</si>
  <si>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</si>
  <si>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</si>
  <si>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</si>
  <si>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</si>
  <si>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</si>
  <si>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</si>
  <si>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</si>
  <si>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</si>
  <si>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</si>
  <si>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</si>
  <si>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</si>
  <si>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</si>
  <si>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</si>
  <si>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</si>
  <si>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</si>
  <si>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</si>
  <si>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</si>
  <si>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</si>
  <si>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</si>
  <si>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</si>
  <si>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</si>
  <si>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</si>
  <si>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</si>
  <si>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</si>
  <si>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</si>
  <si>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</si>
  <si>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</si>
  <si>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</si>
  <si>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</si>
  <si>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</si>
  <si>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</si>
  <si>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</si>
  <si>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</si>
  <si>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</si>
  <si>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</si>
  <si>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</si>
  <si>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</si>
  <si>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</si>
  <si>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</si>
  <si>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</si>
  <si>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</si>
  <si>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</si>
  <si>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</si>
  <si>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</si>
  <si>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</si>
  <si>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</si>
  <si>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</si>
  <si>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</si>
  <si>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</si>
  <si>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</si>
  <si>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</si>
  <si>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</si>
  <si>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</si>
  <si>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</si>
  <si>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</si>
  <si>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</si>
  <si>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</si>
  <si>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</si>
  <si>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</si>
  <si>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</si>
  <si>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</si>
  <si>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</si>
  <si>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</si>
  <si>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</si>
  <si>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</si>
  <si>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</si>
  <si>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</si>
  <si>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</si>
  <si>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</si>
  <si>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</si>
  <si>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</si>
  <si>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</si>
  <si>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</si>
  <si>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</si>
  <si>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</si>
  <si>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</si>
  <si>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</si>
  <si>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</si>
  <si>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</si>
  <si>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</si>
  <si>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</si>
  <si>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</si>
  <si>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</si>
  <si>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</si>
  <si>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</si>
  <si>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</si>
  <si>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</si>
  <si>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</si>
  <si>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</si>
  <si>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</si>
  <si>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</si>
  <si>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</si>
  <si>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</si>
  <si>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</si>
  <si>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</si>
  <si>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</si>
  <si>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</si>
  <si>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</si>
  <si>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</si>
  <si>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</si>
  <si>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</si>
  <si>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</si>
  <si>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</si>
  <si>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</si>
  <si>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</si>
  <si>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</si>
  <si>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</si>
  <si>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</si>
  <si>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</si>
  <si>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</si>
  <si>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</si>
  <si>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</si>
  <si>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</si>
  <si>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</si>
  <si>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</si>
  <si>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</si>
  <si>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</si>
  <si>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</si>
  <si>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</si>
  <si>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</si>
  <si>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</si>
  <si>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</si>
  <si>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</si>
  <si>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</si>
  <si>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</si>
  <si>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</si>
  <si>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</si>
  <si>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</si>
  <si>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</si>
  <si>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</si>
  <si>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</si>
  <si>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</si>
  <si>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</si>
  <si>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</si>
  <si>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</si>
  <si>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</si>
  <si>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</si>
  <si>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</si>
  <si>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</si>
  <si>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</si>
  <si>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</si>
  <si>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</si>
  <si>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</si>
  <si>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</si>
  <si>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</si>
  <si>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</si>
  <si>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</si>
  <si>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</si>
  <si>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</si>
  <si>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</si>
  <si>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</si>
  <si>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</si>
  <si>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</si>
  <si>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</si>
  <si>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</si>
  <si>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</si>
  <si>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</si>
  <si>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</si>
  <si>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</si>
  <si>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</si>
  <si>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</si>
  <si>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</si>
  <si>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</si>
  <si>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</si>
  <si>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</si>
  <si>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</si>
  <si>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</si>
  <si>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</si>
  <si>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</si>
  <si>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</si>
  <si>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</si>
  <si>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</si>
  <si>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</si>
  <si>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</si>
  <si>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</si>
  <si>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</si>
  <si>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</si>
  <si>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</si>
  <si>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</si>
  <si>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</si>
  <si>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</si>
  <si>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</si>
  <si>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</si>
  <si>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</si>
  <si>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</si>
  <si>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</si>
  <si>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</si>
  <si>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</si>
  <si>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</si>
  <si>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</si>
  <si>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</si>
  <si>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</si>
  <si>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</si>
  <si>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</si>
  <si>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</si>
  <si>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</si>
  <si>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</si>
  <si>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</si>
  <si>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</si>
  <si>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</si>
  <si>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</si>
  <si>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</si>
  <si>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</si>
  <si>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</si>
  <si>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</si>
  <si>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</si>
  <si>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</si>
  <si>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</si>
  <si>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</si>
  <si>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</si>
  <si>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</si>
  <si>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</si>
  <si>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</si>
  <si>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</si>
  <si>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</si>
  <si>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</si>
  <si>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</si>
  <si>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</si>
  <si>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</si>
  <si>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</si>
  <si>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</si>
  <si>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</si>
  <si>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</si>
  <si>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</si>
  <si>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</si>
  <si>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</si>
  <si>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</si>
  <si>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</si>
  <si>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</si>
  <si>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</si>
  <si>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</si>
  <si>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</si>
  <si>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</si>
  <si>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</si>
  <si>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</si>
  <si>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</si>
  <si>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</si>
  <si>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</si>
  <si>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</si>
  <si>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</si>
  <si>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</si>
  <si>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</si>
  <si>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</si>
  <si>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</si>
  <si>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</si>
  <si>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</si>
  <si>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</si>
  <si>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</si>
  <si>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</si>
  <si>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</si>
  <si>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</si>
  <si>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</si>
  <si>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</si>
  <si>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</si>
  <si>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</si>
  <si>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</si>
  <si>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</si>
  <si>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</si>
  <si>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</si>
  <si>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</si>
  <si>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</si>
  <si>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</si>
  <si>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</si>
  <si>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</si>
  <si>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</si>
  <si>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</si>
  <si>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</si>
  <si>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</si>
  <si>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</si>
  <si>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</si>
  <si>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</si>
  <si>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</si>
  <si>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</si>
  <si>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</si>
  <si>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</si>
  <si>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</si>
  <si>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</si>
  <si>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</si>
  <si>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</si>
  <si>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</si>
  <si>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</si>
  <si>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</si>
  <si>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</si>
  <si>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</si>
  <si>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</si>
  <si>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</si>
  <si>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</si>
  <si>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</si>
  <si>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</si>
  <si>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</si>
  <si>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</si>
  <si>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</si>
  <si>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</si>
  <si>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</si>
  <si>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</si>
  <si>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</si>
  <si>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</si>
  <si>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</si>
  <si>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</si>
  <si>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</si>
  <si>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</si>
  <si>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</si>
  <si>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</si>
  <si>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</si>
  <si>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</si>
  <si>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</si>
  <si>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</si>
  <si>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</si>
  <si>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</si>
  <si>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</si>
  <si>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</si>
  <si>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</si>
  <si>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</si>
  <si>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</si>
  <si>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</si>
  <si>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</si>
  <si>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</si>
  <si>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</si>
  <si>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</si>
  <si>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</si>
  <si>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</si>
  <si>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</si>
  <si>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</si>
  <si>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</si>
  <si>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</si>
  <si>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</si>
  <si>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</si>
  <si>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</si>
  <si>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</si>
  <si>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</si>
  <si>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</si>
  <si>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</si>
  <si>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</si>
  <si>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</si>
  <si>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</si>
  <si>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</si>
  <si>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</si>
  <si>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</si>
  <si>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</si>
  <si>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</si>
  <si>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</si>
  <si>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</si>
  <si>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</si>
  <si>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</si>
  <si>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</si>
  <si>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</si>
  <si>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</si>
  <si>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</si>
  <si>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</si>
  <si>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</si>
  <si>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</si>
  <si>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</si>
  <si>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</si>
  <si>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</si>
  <si>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</si>
  <si>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</si>
  <si>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</si>
  <si>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</si>
  <si>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</si>
  <si>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</si>
  <si>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</si>
  <si>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</si>
  <si>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</si>
  <si>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</si>
  <si>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</si>
  <si>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</si>
  <si>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</si>
  <si>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</si>
  <si>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</si>
  <si>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</si>
  <si>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</si>
  <si>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</si>
  <si>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</si>
  <si>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</si>
  <si>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</si>
  <si>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</si>
  <si>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</si>
  <si>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</si>
  <si>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</si>
  <si>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</si>
  <si>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</si>
  <si>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</si>
  <si>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</si>
  <si>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</si>
  <si>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</si>
  <si>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</si>
  <si>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</si>
  <si>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</si>
  <si>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</si>
  <si>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</si>
  <si>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</si>
  <si>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</si>
  <si>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</si>
  <si>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</si>
  <si>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</si>
  <si>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</si>
  <si>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</si>
  <si>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</si>
  <si>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</si>
  <si>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</si>
  <si>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</si>
  <si>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</si>
  <si>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</si>
  <si>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</si>
  <si>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</si>
  <si>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</si>
  <si>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</si>
  <si>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</si>
  <si>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</si>
  <si>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</si>
  <si>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</si>
  <si>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</si>
  <si>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</si>
  <si>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</si>
  <si>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</si>
  <si>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</si>
  <si>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</si>
  <si>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</si>
  <si>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</si>
  <si>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</si>
  <si>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</si>
  <si>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</si>
  <si>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</si>
  <si>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</si>
  <si>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</si>
  <si>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</si>
  <si>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</si>
  <si>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</si>
  <si>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</si>
  <si>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</si>
  <si>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</si>
  <si>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</si>
  <si>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</si>
  <si>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</si>
  <si>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</si>
  <si>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</si>
  <si>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</si>
  <si>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</si>
  <si>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</si>
  <si>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</si>
  <si>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</si>
  <si>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</si>
  <si>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</si>
  <si>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</si>
  <si>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</si>
  <si>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</si>
  <si>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</si>
  <si>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</si>
  <si>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</si>
  <si>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</si>
  <si>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</si>
  <si>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</si>
  <si>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</si>
  <si>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</si>
  <si>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</si>
  <si>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</si>
  <si>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</si>
  <si>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</si>
  <si>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</si>
  <si>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</si>
  <si>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</si>
  <si>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</si>
  <si>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</si>
  <si>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</si>
  <si>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</si>
  <si>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</si>
  <si>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</si>
  <si>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</si>
  <si>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</si>
  <si>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</si>
  <si>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</si>
  <si>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</si>
  <si>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</si>
  <si>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</si>
  <si>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</si>
  <si>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</si>
  <si>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</si>
  <si>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</si>
  <si>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</si>
  <si>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</si>
  <si>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</si>
  <si>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</si>
  <si>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</si>
  <si>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</si>
  <si>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</si>
  <si>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</si>
  <si>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</si>
  <si>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</si>
  <si>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</si>
  <si>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</si>
  <si>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</si>
  <si>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</si>
  <si>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</si>
  <si>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</si>
  <si>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</si>
  <si>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</si>
  <si>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</si>
  <si>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</si>
  <si>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</si>
  <si>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</si>
  <si>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</si>
  <si>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</si>
  <si>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</si>
  <si>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</si>
  <si>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</si>
  <si>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</si>
  <si>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</si>
  <si>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</si>
  <si>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</si>
  <si>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</si>
  <si>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</si>
  <si>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</si>
  <si>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</si>
  <si>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</si>
  <si>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</si>
  <si>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</si>
  <si>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</si>
  <si>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</si>
  <si>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</si>
  <si>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</si>
  <si>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</si>
  <si>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</si>
  <si>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</si>
  <si>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</si>
  <si>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</si>
  <si>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</si>
  <si>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</si>
  <si>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</si>
  <si>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</si>
  <si>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</si>
  <si>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</si>
  <si>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</si>
  <si>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</si>
  <si>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</si>
  <si>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</si>
  <si>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</si>
  <si>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</si>
  <si>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</si>
  <si>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</si>
  <si>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</si>
  <si>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</si>
  <si>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</si>
  <si>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</si>
  <si>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</si>
  <si>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</si>
  <si>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</si>
  <si>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</si>
  <si>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</si>
  <si>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</si>
  <si>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</si>
  <si>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</si>
  <si>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</si>
  <si>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</si>
  <si>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</si>
  <si>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</si>
  <si>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</si>
  <si>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</si>
  <si>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</si>
  <si>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</si>
  <si>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</si>
  <si>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</si>
  <si>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</si>
  <si>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</si>
  <si>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</si>
  <si>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</si>
  <si>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</si>
  <si>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</si>
  <si>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</si>
  <si>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</si>
  <si>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</si>
  <si>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</si>
  <si>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</si>
  <si>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</si>
  <si>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</si>
  <si>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</si>
  <si>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</si>
  <si>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</si>
  <si>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</si>
  <si>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</si>
  <si>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</si>
  <si>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</si>
  <si>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</si>
  <si>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</si>
  <si>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</si>
  <si>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</si>
  <si>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</si>
  <si>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</si>
  <si>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</si>
  <si>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</si>
  <si>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</si>
  <si>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</si>
  <si>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</si>
  <si>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</si>
  <si>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</si>
  <si>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</si>
  <si>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</si>
  <si>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</si>
  <si>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</si>
  <si>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</si>
  <si>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</si>
  <si>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</si>
  <si>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</si>
  <si>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</si>
  <si>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</si>
  <si>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</si>
  <si>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</si>
  <si>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</si>
  <si>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</si>
  <si>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</si>
  <si>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</si>
  <si>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</si>
  <si>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</si>
  <si>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</si>
  <si>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</si>
  <si>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</si>
  <si>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</si>
  <si>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</si>
  <si>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</si>
  <si>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</si>
  <si>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</si>
  <si>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</si>
  <si>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</si>
  <si>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</si>
  <si>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</si>
  <si>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</si>
  <si>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</si>
  <si>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</si>
  <si>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</si>
  <si>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</si>
  <si>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</si>
  <si>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</si>
  <si>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</si>
  <si>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</si>
  <si>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</si>
  <si>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</si>
  <si>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</si>
  <si>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</si>
  <si>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</si>
  <si>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</si>
  <si>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</si>
  <si>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</si>
  <si>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</si>
  <si>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</si>
  <si>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</si>
  <si>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</si>
  <si>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</si>
  <si>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</si>
  <si>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</si>
  <si>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</si>
  <si>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</si>
  <si>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</si>
  <si>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</si>
  <si>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</si>
  <si>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</si>
  <si>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</si>
  <si>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</si>
  <si>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</si>
  <si>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</si>
  <si>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</si>
  <si>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</si>
  <si>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</si>
  <si>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</si>
  <si>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</si>
  <si>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</si>
  <si>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</si>
  <si>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</si>
  <si>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</si>
  <si>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</si>
  <si>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</si>
  <si>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</si>
  <si>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</si>
  <si>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</si>
  <si>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</si>
  <si>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</si>
  <si>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</si>
  <si>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</si>
  <si>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</si>
  <si>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</si>
  <si>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</si>
  <si>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</si>
  <si>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</si>
  <si>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</si>
  <si>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</si>
  <si>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</si>
  <si>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</si>
  <si>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</si>
  <si>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</si>
  <si>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</si>
  <si>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</si>
  <si>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</si>
  <si>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</si>
  <si>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</si>
  <si>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</si>
  <si>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</si>
  <si>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</si>
  <si>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</si>
  <si>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</si>
  <si>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</si>
  <si>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</si>
  <si>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</si>
  <si>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</si>
  <si>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</si>
  <si>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</si>
  <si>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</si>
  <si>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</si>
  <si>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</si>
  <si>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</si>
  <si>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</si>
  <si>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</si>
  <si>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</si>
  <si>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</si>
  <si>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</si>
  <si>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</si>
  <si>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</si>
  <si>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</si>
  <si>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</si>
  <si>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</si>
  <si>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</si>
  <si>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</si>
  <si>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</si>
  <si>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</si>
  <si>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</si>
  <si>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</si>
  <si>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</si>
  <si>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</si>
  <si>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</si>
  <si>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</si>
  <si>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</si>
  <si>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</si>
  <si>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</si>
  <si>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</si>
  <si>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</si>
  <si>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</si>
  <si>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</si>
  <si>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</si>
  <si>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</si>
  <si>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</si>
  <si>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</si>
  <si>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</si>
  <si>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</si>
  <si>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</si>
  <si>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</si>
  <si>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</si>
  <si>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</si>
  <si>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</si>
  <si>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</si>
  <si>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</si>
  <si>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</si>
  <si>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</si>
  <si>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</si>
  <si>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</si>
  <si>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</si>
  <si>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</si>
  <si>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</si>
  <si>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</si>
  <si>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</si>
  <si>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</si>
  <si>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</si>
  <si>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</si>
  <si>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</si>
  <si>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</si>
  <si>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</si>
  <si>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</si>
  <si>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</si>
  <si>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</si>
  <si>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</si>
  <si>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</si>
  <si>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</si>
  <si>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</si>
  <si>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</si>
  <si>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</si>
  <si>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</si>
  <si>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</si>
  <si>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</si>
  <si>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</si>
  <si>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</si>
  <si>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</si>
  <si>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</si>
  <si>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</si>
  <si>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</si>
  <si>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</si>
  <si>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</si>
  <si>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</si>
  <si>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</si>
  <si>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</si>
  <si>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</si>
  <si>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</si>
  <si>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</si>
  <si>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</si>
  <si>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</si>
  <si>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</si>
  <si>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</si>
  <si>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</si>
  <si>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</si>
  <si>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</si>
  <si>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</si>
  <si>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</si>
  <si>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</si>
  <si>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</si>
  <si>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</si>
  <si>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</si>
  <si>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</si>
  <si>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</si>
  <si>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</si>
  <si>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</si>
  <si>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</si>
  <si>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</si>
  <si>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</si>
  <si>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</si>
  <si>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</si>
  <si>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</si>
  <si>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</si>
  <si>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</si>
  <si>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</si>
  <si>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</si>
  <si>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</si>
  <si>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</si>
  <si>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</si>
  <si>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</si>
  <si>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</si>
  <si>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</si>
  <si>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</si>
  <si>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</si>
  <si>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 xml:space="preserve">Food Service Audit is in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</si>
</sst>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7"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959</v>
      </c>
      <c r="B2" s="126">
        <f>INDEX('School Tables'!$AH$3:$AH$208,MATCH('DOE25'!A2,'School Tables'!$AJ$3:$AJ$208,0))</f>
        <v>95</v>
      </c>
      <c r="C2" s="126">
        <f>INDEX('School Tables'!$AI$3:$AI$208,MATCH('DOE25'!A2,'School Tables'!$AJ$3:$AJ$208,0))</f>
        <v>95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1007650.59</v>
      </c>
      <c r="G9" s="18">
        <v>20922.82</v>
      </c>
      <c r="H9" s="18">
        <v>34031.269999999997</v>
      </c>
      <c r="I9" s="18">
        <v>0</v>
      </c>
      <c r="J9" s="67">
        <f>SUM(I440)</f>
        <v>455117.75</v>
      </c>
      <c r="K9" s="24" t="s">
        <v>288</v>
      </c>
      <c r="L9" s="24" t="s">
        <v>288</v>
      </c>
      <c r="M9" s="8"/>
      <c r="N9" s="265"/>
    </row>
    <row r="10" spans="1:14" s="3" customFormat="1" ht="12.2" customHeight="1" x14ac:dyDescent="0.15">
      <c r="A10" s="1" t="s">
        <v>562</v>
      </c>
      <c r="B10" s="2" t="s">
        <v>289</v>
      </c>
      <c r="C10" s="6">
        <v>2</v>
      </c>
      <c r="D10" s="2" t="s">
        <v>428</v>
      </c>
      <c r="E10" s="6">
        <v>110</v>
      </c>
      <c r="F10" s="18">
        <v>59523.66</v>
      </c>
      <c r="G10" s="18">
        <v>0</v>
      </c>
      <c r="H10" s="18">
        <v>0</v>
      </c>
      <c r="I10" s="18">
        <v>0</v>
      </c>
      <c r="J10" s="67">
        <f>SUM(I441)</f>
        <v>0</v>
      </c>
      <c r="K10" s="24" t="s">
        <v>288</v>
      </c>
      <c r="L10" s="24" t="s">
        <v>288</v>
      </c>
      <c r="M10" s="8"/>
      <c r="N10" s="265"/>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39125.410000000003</v>
      </c>
      <c r="G12" s="18">
        <v>0</v>
      </c>
      <c r="H12" s="18">
        <v>0</v>
      </c>
      <c r="I12" s="18">
        <v>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125453.99</v>
      </c>
      <c r="G13" s="18">
        <v>53564.5</v>
      </c>
      <c r="H13" s="18">
        <v>50587.64</v>
      </c>
      <c r="I13" s="18">
        <v>0</v>
      </c>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200.54</v>
      </c>
      <c r="G14" s="18">
        <v>169.88</v>
      </c>
      <c r="H14" s="18">
        <v>0</v>
      </c>
      <c r="I14" s="18">
        <v>0</v>
      </c>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5"/>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1231954.19</v>
      </c>
      <c r="G19" s="41">
        <f>SUM(G9:G18)</f>
        <v>74657.200000000012</v>
      </c>
      <c r="H19" s="41">
        <f>SUM(H9:H18)</f>
        <v>84618.91</v>
      </c>
      <c r="I19" s="41">
        <f>SUM(I9:I18)</f>
        <v>0</v>
      </c>
      <c r="J19" s="41">
        <f>SUM(J9:J18)</f>
        <v>455117.75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0</v>
      </c>
      <c r="G22" s="18">
        <v>0</v>
      </c>
      <c r="H22" s="18">
        <v>39125.410000000003</v>
      </c>
      <c r="I22" s="18">
        <v>0</v>
      </c>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3779.38</v>
      </c>
      <c r="G23" s="18">
        <v>0</v>
      </c>
      <c r="H23" s="18">
        <v>370.72</v>
      </c>
      <c r="I23" s="18">
        <v>0</v>
      </c>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50848.17</v>
      </c>
      <c r="G24" s="18">
        <v>0</v>
      </c>
      <c r="H24" s="18">
        <v>11091.51</v>
      </c>
      <c r="I24" s="18">
        <v>0</v>
      </c>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4104.2700000000004</v>
      </c>
      <c r="G28" s="18">
        <v>161.4</v>
      </c>
      <c r="H28" s="18">
        <v>0</v>
      </c>
      <c r="I28" s="18">
        <v>0</v>
      </c>
      <c r="J28" s="24" t="s">
        <v>288</v>
      </c>
      <c r="K28" s="24" t="s">
        <v>288</v>
      </c>
      <c r="L28" s="24" t="s">
        <v>288</v>
      </c>
      <c r="M28" s="8"/>
      <c r="N28" s="265"/>
    </row>
    <row r="29" spans="1:14" s="3" customFormat="1" ht="12.2" customHeight="1" x14ac:dyDescent="0.15">
      <c r="A29" s="1" t="s">
        <v>575</v>
      </c>
      <c r="B29" s="2" t="s">
        <v>289</v>
      </c>
      <c r="C29" s="6">
        <v>19</v>
      </c>
      <c r="D29" s="2" t="s">
        <v>429</v>
      </c>
      <c r="E29" s="6">
        <v>470</v>
      </c>
      <c r="F29" s="18">
        <v>115801.5</v>
      </c>
      <c r="G29" s="18">
        <v>0</v>
      </c>
      <c r="H29" s="18">
        <v>0</v>
      </c>
      <c r="I29" s="18">
        <v>0</v>
      </c>
      <c r="J29" s="24" t="s">
        <v>288</v>
      </c>
      <c r="K29" s="24" t="s">
        <v>288</v>
      </c>
      <c r="L29" s="24" t="s">
        <v>288</v>
      </c>
      <c r="M29" s="8"/>
      <c r="N29" s="265"/>
    </row>
    <row r="30" spans="1:14" s="3" customFormat="1" ht="12.2" customHeight="1" x14ac:dyDescent="0.15">
      <c r="A30" s="1" t="s">
        <v>576</v>
      </c>
      <c r="B30" s="2" t="s">
        <v>289</v>
      </c>
      <c r="C30" s="6">
        <v>20</v>
      </c>
      <c r="D30" s="2" t="s">
        <v>429</v>
      </c>
      <c r="E30" s="6">
        <v>480</v>
      </c>
      <c r="F30" s="18">
        <v>631170</v>
      </c>
      <c r="G30" s="18">
        <v>4888</v>
      </c>
      <c r="H30" s="18">
        <v>0</v>
      </c>
      <c r="I30" s="18">
        <v>0</v>
      </c>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805703.32000000007</v>
      </c>
      <c r="G32" s="41">
        <f>SUM(G22:G31)</f>
        <v>5049.3999999999996</v>
      </c>
      <c r="H32" s="41">
        <f>SUM(H22:H31)</f>
        <v>50587.640000000007</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5"/>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5"/>
    </row>
    <row r="37" spans="1:14" s="3" customFormat="1" ht="12.2" customHeight="1" x14ac:dyDescent="0.15">
      <c r="A37" s="1" t="s">
        <v>852</v>
      </c>
      <c r="B37" s="6">
        <v>1</v>
      </c>
      <c r="C37" s="6">
        <v>25</v>
      </c>
      <c r="D37" s="2" t="s">
        <v>653</v>
      </c>
      <c r="E37" s="6">
        <v>756</v>
      </c>
      <c r="F37" s="18">
        <v>0</v>
      </c>
      <c r="G37" s="18">
        <v>69607.8</v>
      </c>
      <c r="H37" s="18">
        <v>34031.269999999997</v>
      </c>
      <c r="I37" s="18">
        <v>0</v>
      </c>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5"/>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5"/>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v>0</v>
      </c>
      <c r="H48" s="18">
        <v>-1126.25</v>
      </c>
      <c r="I48" s="18">
        <v>0</v>
      </c>
      <c r="J48" s="13">
        <f>SUM(I460)</f>
        <v>455117.75</v>
      </c>
      <c r="K48" s="24" t="s">
        <v>288</v>
      </c>
      <c r="L48" s="24" t="s">
        <v>288</v>
      </c>
      <c r="M48" s="8"/>
      <c r="N48" s="265"/>
    </row>
    <row r="49" spans="1:14" s="3" customFormat="1" ht="12.2" customHeight="1" x14ac:dyDescent="0.15">
      <c r="A49" s="1" t="s">
        <v>859</v>
      </c>
      <c r="B49" s="2" t="s">
        <v>289</v>
      </c>
      <c r="C49" s="6">
        <v>34</v>
      </c>
      <c r="D49" s="2"/>
      <c r="E49" s="6">
        <v>753</v>
      </c>
      <c r="F49" s="18">
        <v>27481.85</v>
      </c>
      <c r="G49" s="18">
        <v>0</v>
      </c>
      <c r="H49" s="18">
        <v>1126.25</v>
      </c>
      <c r="I49" s="18">
        <v>0</v>
      </c>
      <c r="J49" s="13">
        <f>I455</f>
        <v>0</v>
      </c>
      <c r="K49" s="24"/>
      <c r="L49" s="24"/>
      <c r="M49" s="8"/>
      <c r="N49" s="265"/>
    </row>
    <row r="50" spans="1:14" s="3" customFormat="1" ht="12.2" customHeight="1" thickBot="1" x14ac:dyDescent="0.2">
      <c r="A50" s="29" t="s">
        <v>840</v>
      </c>
      <c r="B50" s="2" t="s">
        <v>289</v>
      </c>
      <c r="C50" s="71">
        <v>35</v>
      </c>
      <c r="D50" s="2" t="s">
        <v>653</v>
      </c>
      <c r="E50" s="6">
        <v>770</v>
      </c>
      <c r="F50" s="18">
        <v>398769.02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426250.87</v>
      </c>
      <c r="G51" s="41">
        <f>SUM(G35:G50)</f>
        <v>69607.8</v>
      </c>
      <c r="H51" s="41">
        <f>SUM(H35:H50)</f>
        <v>34031.269999999997</v>
      </c>
      <c r="I51" s="41">
        <f>SUM(I35:I50)</f>
        <v>0</v>
      </c>
      <c r="J51" s="41">
        <f>SUM(J35:J50)</f>
        <v>455117.75</v>
      </c>
      <c r="K51" s="45" t="s">
        <v>288</v>
      </c>
      <c r="L51" s="45" t="s">
        <v>288</v>
      </c>
      <c r="N51" s="263"/>
    </row>
    <row r="52" spans="1:14" s="3" customFormat="1" ht="12.2" customHeight="1" thickTop="1" x14ac:dyDescent="0.15">
      <c r="A52" s="38" t="s">
        <v>455</v>
      </c>
      <c r="B52" s="39" t="s">
        <v>289</v>
      </c>
      <c r="C52" s="6">
        <v>37</v>
      </c>
      <c r="D52" s="39" t="s">
        <v>653</v>
      </c>
      <c r="E52" s="39"/>
      <c r="F52" s="41">
        <f>F51+F32</f>
        <v>1231954.19</v>
      </c>
      <c r="G52" s="41">
        <f>G51+G32</f>
        <v>74657.2</v>
      </c>
      <c r="H52" s="41">
        <f>H51+H32</f>
        <v>84618.91</v>
      </c>
      <c r="I52" s="41">
        <f>I51+I32</f>
        <v>0</v>
      </c>
      <c r="J52" s="41">
        <f>J51+J32</f>
        <v>455117.75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5893426</v>
      </c>
      <c r="G57" s="18">
        <v>0</v>
      </c>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v>0</v>
      </c>
      <c r="G58" s="18">
        <v>0</v>
      </c>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v>0</v>
      </c>
      <c r="G59" s="18">
        <v>0</v>
      </c>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5893426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3000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v>0</v>
      </c>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3000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1357.2</v>
      </c>
      <c r="G96" s="18">
        <v>0</v>
      </c>
      <c r="H96" s="18">
        <v>0</v>
      </c>
      <c r="I96" s="18">
        <v>0</v>
      </c>
      <c r="J96" s="18">
        <v>409.07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7102.74</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v>0</v>
      </c>
      <c r="G102" s="18">
        <v>0</v>
      </c>
      <c r="H102" s="18">
        <v>13109</v>
      </c>
      <c r="I102" s="18">
        <v>0</v>
      </c>
      <c r="J102" s="18"/>
      <c r="K102" s="24" t="s">
        <v>288</v>
      </c>
      <c r="L102" s="24" t="s">
        <v>288</v>
      </c>
      <c r="M102" s="8"/>
      <c r="N102" s="265"/>
    </row>
    <row r="103" spans="1:14" s="3" customFormat="1" ht="12.2" customHeight="1" x14ac:dyDescent="0.15">
      <c r="A103" s="1" t="s">
        <v>507</v>
      </c>
      <c r="B103" s="2" t="s">
        <v>315</v>
      </c>
      <c r="C103" s="6">
        <v>17</v>
      </c>
      <c r="D103" s="2" t="s">
        <v>430</v>
      </c>
      <c r="E103" s="6">
        <v>1930</v>
      </c>
      <c r="F103" s="18">
        <v>0</v>
      </c>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v>0</v>
      </c>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v>121669.14</v>
      </c>
      <c r="G105" s="18">
        <v>0</v>
      </c>
      <c r="H105" s="18">
        <v>0</v>
      </c>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v>0</v>
      </c>
      <c r="G107" s="18">
        <v>0</v>
      </c>
      <c r="H107" s="18">
        <v>0</v>
      </c>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77971.350000000006</v>
      </c>
      <c r="G109" s="18">
        <v>0</v>
      </c>
      <c r="H109" s="18">
        <v>0</v>
      </c>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8649.27</v>
      </c>
      <c r="G110" s="18">
        <v>0</v>
      </c>
      <c r="H110" s="18">
        <v>24000</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209646.96</v>
      </c>
      <c r="G111" s="41">
        <f>SUM(G96:G110)</f>
        <v>7102.74</v>
      </c>
      <c r="H111" s="41">
        <f>SUM(H96:H110)</f>
        <v>37109</v>
      </c>
      <c r="I111" s="41">
        <f>SUM(I96:I110)</f>
        <v>0</v>
      </c>
      <c r="J111" s="41">
        <f>SUM(J96:J110)</f>
        <v>409.07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6106072.96</v>
      </c>
      <c r="G112" s="41">
        <f>G60+G111</f>
        <v>7102.74</v>
      </c>
      <c r="H112" s="41">
        <f>H60+H79+H94+H111</f>
        <v>37109</v>
      </c>
      <c r="I112" s="41">
        <f>I60+I111</f>
        <v>0</v>
      </c>
      <c r="J112" s="41">
        <f>J60+J111</f>
        <v>409.07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937966.82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1100265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6531.92</v>
      </c>
      <c r="G120" s="18">
        <v>0</v>
      </c>
      <c r="H120" s="18">
        <v>0</v>
      </c>
      <c r="I120" s="18">
        <v>0</v>
      </c>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2044763.7399999998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v>0</v>
      </c>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5012.8900000000003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0</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v>0</v>
      </c>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v>0</v>
      </c>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v>0</v>
      </c>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9981.66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5012.8900000000003</v>
      </c>
      <c r="G136" s="41">
        <f>SUM(G123:G135)</f>
        <v>9981.66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2049776.6299999997</v>
      </c>
      <c r="G140" s="41">
        <f>G121+SUM(G136:G137)</f>
        <v>9981.66</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19035.82</v>
      </c>
      <c r="I150" s="18">
        <v>0</v>
      </c>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v>0</v>
      </c>
      <c r="I151" s="18">
        <v>0</v>
      </c>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v>0</v>
      </c>
      <c r="I152" s="18">
        <v>0</v>
      </c>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11420.529999999999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26544.02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189813.81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121464.47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0</v>
      </c>
      <c r="G160" s="24" t="s">
        <v>288</v>
      </c>
      <c r="H160" s="18">
        <v>0</v>
      </c>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17367.650000000001</v>
      </c>
      <c r="G161" s="18"/>
      <c r="H161" s="18">
        <v>0</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v>0</v>
      </c>
      <c r="G162" s="18"/>
      <c r="H162" s="18">
        <v>72310.180000000008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17367.650000000001</v>
      </c>
      <c r="G163" s="41">
        <f>SUM(G150:G162)</f>
        <v>189813.81</v>
      </c>
      <c r="H163" s="41">
        <f>SUM(H150:H162)</f>
        <v>250775.02000000002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17367.650000000001</v>
      </c>
      <c r="G170" s="41">
        <f>G147+G163+SUM(G164:G169)</f>
        <v>189813.81</v>
      </c>
      <c r="H170" s="41">
        <f>H147+H163+SUM(H164:H169)</f>
        <v>250775.02000000002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v>87200</v>
      </c>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87200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87200</v>
      </c>
      <c r="G193" s="41">
        <f>G184+SUM(G189:G192)</f>
        <v>0</v>
      </c>
      <c r="H193" s="41">
        <f>+H184+SUM(H189:H192)</f>
        <v>0</v>
      </c>
      <c r="I193" s="41">
        <f>I178+I184+SUM(I189:I192)</f>
        <v>0</v>
      </c>
      <c r="J193" s="41">
        <f>J184</f>
        <v>15000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8260417.2400000002</v>
      </c>
      <c r="G194" s="47">
        <f>G112+G140+G170+G193</f>
        <v>206898.21</v>
      </c>
      <c r="H194" s="47">
        <f>H112+H140+H170+H193</f>
        <v>287884.02</v>
      </c>
      <c r="I194" s="47">
        <f>I112+I140+I170+I193</f>
        <v>0</v>
      </c>
      <c r="J194" s="47">
        <f>J112+J140+J193</f>
        <v>15409.07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1543415.66</v>
      </c>
      <c r="G198" s="18">
        <v>705005.85</v>
      </c>
      <c r="H198" s="18">
        <v>46489.34</v>
      </c>
      <c r="I198" s="18">
        <v>36321.69</v>
      </c>
      <c r="J198" s="18">
        <v>5749.9500000000007</v>
      </c>
      <c r="K198" s="18">
        <v>4083.63</v>
      </c>
      <c r="L198" s="19">
        <f>SUM(F198:K198)</f>
        <v>2341066.1199999996</v>
      </c>
      <c r="M198" s="8"/>
      <c r="N198" s="265"/>
    </row>
    <row r="199" spans="1:14" s="3" customFormat="1" ht="12.2" customHeight="1" x14ac:dyDescent="0.15">
      <c r="A199" s="1" t="s">
        <v>439</v>
      </c>
      <c r="B199" s="2" t="s">
        <v>341</v>
      </c>
      <c r="C199" s="2" t="s">
        <v>291</v>
      </c>
      <c r="D199" s="2" t="s">
        <v>431</v>
      </c>
      <c r="E199" s="6">
        <v>1200</v>
      </c>
      <c r="F199" s="18">
        <v>606992.37999999989</v>
      </c>
      <c r="G199" s="18">
        <v>402636.5</v>
      </c>
      <c r="H199" s="18">
        <v>182103.73</v>
      </c>
      <c r="I199" s="18">
        <v>372.27</v>
      </c>
      <c r="J199" s="18">
        <v>1100</v>
      </c>
      <c r="K199" s="18">
        <v>0</v>
      </c>
      <c r="L199" s="19">
        <f>SUM(F199:K199)</f>
        <v>1193204.8799999999</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16909.989999999998</v>
      </c>
      <c r="G201" s="18">
        <v>3675.7</v>
      </c>
      <c r="H201" s="18">
        <v>22783</v>
      </c>
      <c r="I201" s="18">
        <v>584.85</v>
      </c>
      <c r="J201" s="18">
        <v>629.54999999999995</v>
      </c>
      <c r="K201" s="18">
        <v>9077</v>
      </c>
      <c r="L201" s="19">
        <f>SUM(F201:K201)</f>
        <v>53660.090000000004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357203.47000000003</v>
      </c>
      <c r="G203" s="18">
        <v>161039.97000000003</v>
      </c>
      <c r="H203" s="18">
        <v>31505.899999999998</v>
      </c>
      <c r="I203" s="18">
        <v>3039.9599999999996</v>
      </c>
      <c r="J203" s="18">
        <v>2103.9699999999998</v>
      </c>
      <c r="K203" s="18">
        <v>180</v>
      </c>
      <c r="L203" s="19">
        <f t="shared" ref="L203:L209" si="0">SUM(F203:K203)</f>
        <v>555073.27</v>
      </c>
      <c r="M203" s="8"/>
      <c r="N203" s="265"/>
    </row>
    <row r="204" spans="1:14" s="3" customFormat="1" ht="12.2" customHeight="1" x14ac:dyDescent="0.15">
      <c r="A204" s="1" t="s">
        <v>443</v>
      </c>
      <c r="B204" s="2" t="s">
        <v>341</v>
      </c>
      <c r="C204" s="2" t="s">
        <v>295</v>
      </c>
      <c r="D204" s="2" t="s">
        <v>431</v>
      </c>
      <c r="E204" s="6">
        <v>2200</v>
      </c>
      <c r="F204" s="18">
        <v>62713.049999999996</v>
      </c>
      <c r="G204" s="18">
        <v>55355.94</v>
      </c>
      <c r="H204" s="18">
        <v>12969.79</v>
      </c>
      <c r="I204" s="18">
        <v>10382.36</v>
      </c>
      <c r="J204" s="18">
        <v>0</v>
      </c>
      <c r="K204" s="18">
        <v>657</v>
      </c>
      <c r="L204" s="19">
        <f t="shared" si="0"/>
        <v>142078.14000000001</v>
      </c>
      <c r="M204" s="8"/>
      <c r="N204" s="265"/>
    </row>
    <row r="205" spans="1:14" s="3" customFormat="1" ht="12.2" customHeight="1" x14ac:dyDescent="0.15">
      <c r="A205" s="1" t="s">
        <v>444</v>
      </c>
      <c r="B205" s="2" t="s">
        <v>341</v>
      </c>
      <c r="C205" s="2" t="s">
        <v>296</v>
      </c>
      <c r="D205" s="2" t="s">
        <v>431</v>
      </c>
      <c r="E205" s="6">
        <v>2300</v>
      </c>
      <c r="F205" s="18">
        <v>7577</v>
      </c>
      <c r="G205" s="18">
        <v>611.48</v>
      </c>
      <c r="H205" s="18">
        <v>516010.25</v>
      </c>
      <c r="I205" s="18">
        <v>399.54</v>
      </c>
      <c r="J205" s="18">
        <v>0</v>
      </c>
      <c r="K205" s="18">
        <v>3414.24</v>
      </c>
      <c r="L205" s="19">
        <f t="shared" si="0"/>
        <v>528012.51</v>
      </c>
      <c r="M205" s="8"/>
      <c r="N205" s="265"/>
    </row>
    <row r="206" spans="1:14" s="3" customFormat="1" ht="12.2" customHeight="1" x14ac:dyDescent="0.15">
      <c r="A206" s="1" t="s">
        <v>445</v>
      </c>
      <c r="B206" s="2" t="s">
        <v>341</v>
      </c>
      <c r="C206" s="2" t="s">
        <v>297</v>
      </c>
      <c r="D206" s="2" t="s">
        <v>431</v>
      </c>
      <c r="E206" s="6">
        <v>2400</v>
      </c>
      <c r="F206" s="18">
        <v>178161.91</v>
      </c>
      <c r="G206" s="18">
        <v>74264.479999999996</v>
      </c>
      <c r="H206" s="18">
        <v>11269.659999999998</v>
      </c>
      <c r="I206" s="18">
        <v>2243.77</v>
      </c>
      <c r="J206" s="18">
        <v>0</v>
      </c>
      <c r="K206" s="18">
        <v>560</v>
      </c>
      <c r="L206" s="19">
        <f t="shared" si="0"/>
        <v>266499.82</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134115.94</v>
      </c>
      <c r="G208" s="18">
        <v>49464.369999999995</v>
      </c>
      <c r="H208" s="18">
        <v>156548.84</v>
      </c>
      <c r="I208" s="18">
        <v>92778.819999999992</v>
      </c>
      <c r="J208" s="18">
        <v>3515.31</v>
      </c>
      <c r="K208" s="18">
        <v>0</v>
      </c>
      <c r="L208" s="19">
        <f t="shared" si="0"/>
        <v>436423.28</v>
      </c>
      <c r="M208" s="8"/>
      <c r="N208" s="265"/>
    </row>
    <row r="209" spans="1:14" s="3" customFormat="1" ht="12.2" customHeight="1" x14ac:dyDescent="0.15">
      <c r="A209" s="1" t="s">
        <v>448</v>
      </c>
      <c r="B209" s="2" t="s">
        <v>341</v>
      </c>
      <c r="C209" s="2" t="s">
        <v>300</v>
      </c>
      <c r="D209" s="2" t="s">
        <v>431</v>
      </c>
      <c r="E209" s="6">
        <v>2700</v>
      </c>
      <c r="F209" s="18">
        <v>0</v>
      </c>
      <c r="G209" s="18">
        <v>0</v>
      </c>
      <c r="H209" s="18">
        <v>303242.74</v>
      </c>
      <c r="I209" s="18">
        <v>0</v>
      </c>
      <c r="J209" s="18">
        <v>0</v>
      </c>
      <c r="K209" s="18">
        <v>0</v>
      </c>
      <c r="L209" s="19">
        <f t="shared" si="0"/>
        <v>303242.74</v>
      </c>
      <c r="M209" s="8"/>
      <c r="N209" s="265"/>
    </row>
    <row r="210" spans="1:14" s="3" customFormat="1" ht="12.2" customHeight="1" x14ac:dyDescent="0.15">
      <c r="A210" s="1" t="s">
        <v>449</v>
      </c>
      <c r="B210" s="2" t="s">
        <v>341</v>
      </c>
      <c r="C210" s="2" t="s">
        <v>343</v>
      </c>
      <c r="D210" s="2" t="s">
        <v>431</v>
      </c>
      <c r="E210" s="6">
        <v>2800</v>
      </c>
      <c r="F210" s="18">
        <v>0</v>
      </c>
      <c r="G210" s="18">
        <v>0</v>
      </c>
      <c r="H210" s="18">
        <v>19434.13</v>
      </c>
      <c r="I210" s="18">
        <v>13444.9</v>
      </c>
      <c r="J210" s="18">
        <v>34744.97</v>
      </c>
      <c r="K210" s="18">
        <v>0</v>
      </c>
      <c r="L210" s="19">
        <f>SUM(F210:K210)</f>
        <v>67624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2907089.4000000004</v>
      </c>
      <c r="G212" s="41">
        <f t="shared" si="1"/>
        <v>1452054.29</v>
      </c>
      <c r="H212" s="41">
        <f t="shared" si="1"/>
        <v>1302357.3799999999</v>
      </c>
      <c r="I212" s="41">
        <f t="shared" si="1"/>
        <v>159568.15999999997</v>
      </c>
      <c r="J212" s="41">
        <f t="shared" si="1"/>
        <v>47843.75</v>
      </c>
      <c r="K212" s="41">
        <f t="shared" si="1"/>
        <v>17971.870000000003</v>
      </c>
      <c r="L212" s="41">
        <f t="shared" si="1"/>
        <v>5886884.8499999996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0</v>
      </c>
      <c r="G234" s="18">
        <v>0</v>
      </c>
      <c r="H234" s="18">
        <v>1737467.53</v>
      </c>
      <c r="I234" s="18">
        <v>0</v>
      </c>
      <c r="J234" s="18">
        <v>0</v>
      </c>
      <c r="K234" s="18">
        <v>0</v>
      </c>
      <c r="L234" s="19">
        <f>SUM(F234:K234)</f>
        <v>1737467.53</v>
      </c>
      <c r="M234" s="8"/>
      <c r="N234" s="265"/>
    </row>
    <row r="235" spans="1:14" s="3" customFormat="1" ht="12.2" customHeight="1" x14ac:dyDescent="0.15">
      <c r="A235" s="1" t="s">
        <v>439</v>
      </c>
      <c r="B235" s="2" t="s">
        <v>350</v>
      </c>
      <c r="C235" s="2" t="s">
        <v>291</v>
      </c>
      <c r="D235" s="2" t="s">
        <v>431</v>
      </c>
      <c r="E235" s="6">
        <v>1200</v>
      </c>
      <c r="F235" s="18">
        <v>0</v>
      </c>
      <c r="G235" s="18">
        <v>0</v>
      </c>
      <c r="H235" s="18">
        <v>435900.58</v>
      </c>
      <c r="I235" s="18">
        <v>0</v>
      </c>
      <c r="J235" s="18">
        <v>0</v>
      </c>
      <c r="K235" s="18">
        <v>0</v>
      </c>
      <c r="L235" s="19">
        <f>SUM(F235:K235)</f>
        <v>435900.58</v>
      </c>
      <c r="M235" s="8"/>
      <c r="N235" s="2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5"/>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5"/>
    </row>
    <row r="245" spans="1:14" s="3" customFormat="1" ht="12.2" customHeight="1" x14ac:dyDescent="0.15">
      <c r="A245" s="1" t="s">
        <v>448</v>
      </c>
      <c r="B245" s="2" t="s">
        <v>350</v>
      </c>
      <c r="C245" s="2" t="s">
        <v>300</v>
      </c>
      <c r="D245" s="2" t="s">
        <v>431</v>
      </c>
      <c r="E245" s="6">
        <v>2700</v>
      </c>
      <c r="F245" s="18">
        <v>0</v>
      </c>
      <c r="G245" s="18">
        <v>0</v>
      </c>
      <c r="H245" s="18">
        <v>121075.88</v>
      </c>
      <c r="I245" s="18">
        <v>0</v>
      </c>
      <c r="J245" s="18">
        <v>0</v>
      </c>
      <c r="K245" s="18">
        <v>0</v>
      </c>
      <c r="L245" s="19">
        <f t="shared" si="4"/>
        <v>121075.88</v>
      </c>
      <c r="M245" s="8"/>
      <c r="N245" s="2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2294443.9899999998</v>
      </c>
      <c r="I248" s="41">
        <f t="shared" si="5"/>
        <v>0</v>
      </c>
      <c r="J248" s="41">
        <f t="shared" si="5"/>
        <v>0</v>
      </c>
      <c r="K248" s="41">
        <f t="shared" si="5"/>
        <v>0</v>
      </c>
      <c r="L248" s="41">
        <f t="shared" si="5"/>
        <v>2294443.9899999998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5"/>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9">
        <f t="shared" si="6"/>
        <v>0</v>
      </c>
      <c r="M252" s="8"/>
      <c r="N252" s="265"/>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5"/>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5"/>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9">
        <f t="shared" si="6"/>
        <v>0</v>
      </c>
      <c r="M255" s="8"/>
      <c r="N255" s="265"/>
    </row>
    <row r="256" spans="1:14" s="3" customFormat="1" ht="12.2" customHeight="1" thickBot="1" x14ac:dyDescent="0.2">
      <c r="A256" s="1" t="s">
        <v>584</v>
      </c>
      <c r="B256" s="2" t="s">
        <v>352</v>
      </c>
      <c r="C256" s="6">
        <v>6</v>
      </c>
      <c r="D256" s="2" t="s">
        <v>431</v>
      </c>
      <c r="E256" s="6">
        <v>4000</v>
      </c>
      <c r="F256" s="18">
        <v>0</v>
      </c>
      <c r="G256" s="18">
        <v>0</v>
      </c>
      <c r="H256" s="18">
        <v>87200</v>
      </c>
      <c r="I256" s="18">
        <v>0</v>
      </c>
      <c r="J256" s="18">
        <v>0</v>
      </c>
      <c r="K256" s="18">
        <v>0</v>
      </c>
      <c r="L256" s="19">
        <f t="shared" si="6"/>
        <v>87200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87200</v>
      </c>
      <c r="I257" s="41">
        <f t="shared" si="7"/>
        <v>0</v>
      </c>
      <c r="J257" s="41">
        <f t="shared" si="7"/>
        <v>0</v>
      </c>
      <c r="K257" s="41">
        <f t="shared" si="7"/>
        <v>0</v>
      </c>
      <c r="L257" s="41">
        <f>SUM(F257:K257)</f>
        <v>87200</v>
      </c>
      <c r="M257" s="8"/>
      <c r="N257" s="265"/>
    </row>
    <row r="258" spans="1:14" s="3" customFormat="1" ht="12.2" customHeight="1" thickTop="1" x14ac:dyDescent="0.15">
      <c r="A258" s="38" t="s">
        <v>462</v>
      </c>
      <c r="B258" s="40">
        <v>10</v>
      </c>
      <c r="C258" s="40">
        <v>8</v>
      </c>
      <c r="D258" s="39" t="s">
        <v>431</v>
      </c>
      <c r="E258" s="40"/>
      <c r="F258" s="41">
        <f t="shared" ref="F258:L258" si="8">F212+F230+F248+F257</f>
        <v>2907089.4000000004</v>
      </c>
      <c r="G258" s="41">
        <f t="shared" si="8"/>
        <v>1452054.29</v>
      </c>
      <c r="H258" s="41">
        <f t="shared" si="8"/>
        <v>3684001.3699999996</v>
      </c>
      <c r="I258" s="41">
        <f t="shared" si="8"/>
        <v>159568.15999999997</v>
      </c>
      <c r="J258" s="41">
        <f t="shared" si="8"/>
        <v>47843.75</v>
      </c>
      <c r="K258" s="41">
        <f t="shared" si="8"/>
        <v>17971.870000000003</v>
      </c>
      <c r="L258" s="41">
        <f t="shared" si="8"/>
        <v>8268528.8399999999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15000</v>
      </c>
      <c r="L267" s="19">
        <f t="shared" si="9"/>
        <v>15000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15000</v>
      </c>
      <c r="L271" s="41">
        <f t="shared" si="9"/>
        <v>15000</v>
      </c>
      <c r="M271" s="8"/>
      <c r="N271" s="265"/>
    </row>
    <row r="272" spans="1:14" s="34" customFormat="1" ht="12.2" customHeight="1" thickTop="1" x14ac:dyDescent="0.2">
      <c r="A272" s="43" t="s">
        <v>464</v>
      </c>
      <c r="B272" s="40">
        <v>10</v>
      </c>
      <c r="C272" s="40">
        <v>18</v>
      </c>
      <c r="D272" s="39" t="s">
        <v>431</v>
      </c>
      <c r="E272" s="40"/>
      <c r="F272" s="42">
        <f t="shared" ref="F272:L272" si="11">F258+F271</f>
        <v>2907089.4000000004</v>
      </c>
      <c r="G272" s="42">
        <f t="shared" si="11"/>
        <v>1452054.29</v>
      </c>
      <c r="H272" s="42">
        <f t="shared" si="11"/>
        <v>3684001.3699999996</v>
      </c>
      <c r="I272" s="42">
        <f t="shared" si="11"/>
        <v>159568.15999999997</v>
      </c>
      <c r="J272" s="42">
        <f t="shared" si="11"/>
        <v>47843.75</v>
      </c>
      <c r="K272" s="42">
        <f t="shared" si="11"/>
        <v>32971.870000000003</v>
      </c>
      <c r="L272" s="42">
        <f t="shared" si="11"/>
        <v>8283528.8399999999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2647.58</v>
      </c>
      <c r="G277" s="18">
        <v>213.66000000000003</v>
      </c>
      <c r="H277" s="18">
        <v>4440</v>
      </c>
      <c r="I277" s="18">
        <v>27090.57</v>
      </c>
      <c r="J277" s="18">
        <v>61194.380000000005</v>
      </c>
      <c r="K277" s="18">
        <v>728</v>
      </c>
      <c r="L277" s="19">
        <f>SUM(F277:K277)</f>
        <v>96314.19</v>
      </c>
      <c r="M277" s="8"/>
      <c r="N277" s="265"/>
    </row>
    <row r="278" spans="1:14" s="3" customFormat="1" ht="12.2" customHeight="1" x14ac:dyDescent="0.15">
      <c r="A278" s="1" t="s">
        <v>439</v>
      </c>
      <c r="B278" s="2" t="s">
        <v>357</v>
      </c>
      <c r="C278" s="2" t="s">
        <v>291</v>
      </c>
      <c r="D278" s="2" t="s">
        <v>431</v>
      </c>
      <c r="E278" s="6">
        <v>1200</v>
      </c>
      <c r="F278" s="18">
        <v>0</v>
      </c>
      <c r="G278" s="18">
        <v>0</v>
      </c>
      <c r="H278" s="18">
        <v>17561.28</v>
      </c>
      <c r="I278" s="18">
        <v>11526.39</v>
      </c>
      <c r="J278" s="18">
        <v>26236.75</v>
      </c>
      <c r="K278" s="18">
        <v>0</v>
      </c>
      <c r="L278" s="19">
        <f>SUM(F278:K278)</f>
        <v>55324.42</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2200</v>
      </c>
      <c r="I280" s="18">
        <v>0</v>
      </c>
      <c r="J280" s="18">
        <v>11412.36</v>
      </c>
      <c r="K280" s="18">
        <v>0</v>
      </c>
      <c r="L280" s="19">
        <f>SUM(F280:K280)</f>
        <v>13612.36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28539.94</v>
      </c>
      <c r="G282" s="18">
        <v>2303.17</v>
      </c>
      <c r="H282" s="18">
        <v>29616.25</v>
      </c>
      <c r="I282" s="18">
        <v>1262.29</v>
      </c>
      <c r="J282" s="18">
        <v>0</v>
      </c>
      <c r="K282" s="18">
        <v>641.47</v>
      </c>
      <c r="L282" s="19">
        <f t="shared" ref="L282:L288" si="12">SUM(F282:K282)</f>
        <v>62363.12</v>
      </c>
      <c r="M282" s="8"/>
      <c r="N282" s="265"/>
    </row>
    <row r="283" spans="1:14" s="3" customFormat="1" ht="12.2" customHeight="1" x14ac:dyDescent="0.15">
      <c r="A283" s="1" t="s">
        <v>443</v>
      </c>
      <c r="B283" s="2" t="s">
        <v>357</v>
      </c>
      <c r="C283" s="2" t="s">
        <v>295</v>
      </c>
      <c r="D283" s="2" t="s">
        <v>431</v>
      </c>
      <c r="E283" s="6">
        <v>2200</v>
      </c>
      <c r="F283" s="18">
        <v>0</v>
      </c>
      <c r="G283" s="18">
        <v>11729</v>
      </c>
      <c r="H283" s="18">
        <v>1758.5</v>
      </c>
      <c r="I283" s="18">
        <v>0</v>
      </c>
      <c r="J283" s="18">
        <v>0</v>
      </c>
      <c r="K283" s="18">
        <v>0</v>
      </c>
      <c r="L283" s="19">
        <f t="shared" si="12"/>
        <v>13487.5</v>
      </c>
      <c r="M283" s="8"/>
      <c r="N283" s="265"/>
    </row>
    <row r="284" spans="1:14" s="3" customFormat="1" ht="12.2" customHeight="1" x14ac:dyDescent="0.15">
      <c r="A284" s="1" t="s">
        <v>444</v>
      </c>
      <c r="B284" s="2" t="s">
        <v>357</v>
      </c>
      <c r="C284" s="2" t="s">
        <v>296</v>
      </c>
      <c r="D284" s="2" t="s">
        <v>431</v>
      </c>
      <c r="E284" s="6">
        <v>2300</v>
      </c>
      <c r="F284" s="18">
        <v>0</v>
      </c>
      <c r="G284" s="18">
        <v>0</v>
      </c>
      <c r="H284" s="18">
        <v>6079.52</v>
      </c>
      <c r="I284" s="18">
        <v>0</v>
      </c>
      <c r="J284" s="18">
        <v>0</v>
      </c>
      <c r="K284" s="18">
        <v>0</v>
      </c>
      <c r="L284" s="19">
        <f t="shared" si="12"/>
        <v>6079.52</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10747.050000000001</v>
      </c>
      <c r="L286" s="19">
        <f t="shared" si="12"/>
        <v>10747.050000000001</v>
      </c>
      <c r="M286" s="8"/>
      <c r="N286" s="265"/>
    </row>
    <row r="287" spans="1:14" s="3" customFormat="1" ht="12.2" customHeight="1" x14ac:dyDescent="0.15">
      <c r="A287" s="1" t="s">
        <v>447</v>
      </c>
      <c r="B287" s="2" t="s">
        <v>357</v>
      </c>
      <c r="C287" s="2" t="s">
        <v>299</v>
      </c>
      <c r="D287" s="2" t="s">
        <v>431</v>
      </c>
      <c r="E287" s="6">
        <v>2600</v>
      </c>
      <c r="F287" s="18">
        <v>0</v>
      </c>
      <c r="G287" s="18">
        <v>0</v>
      </c>
      <c r="H287" s="18">
        <v>1035</v>
      </c>
      <c r="I287" s="18">
        <v>18.13</v>
      </c>
      <c r="J287" s="18">
        <v>0</v>
      </c>
      <c r="K287" s="18">
        <v>0</v>
      </c>
      <c r="L287" s="19">
        <f t="shared" si="12"/>
        <v>1053.1300000000001</v>
      </c>
      <c r="M287" s="8"/>
      <c r="N287" s="265"/>
    </row>
    <row r="288" spans="1:14" s="3" customFormat="1" ht="12.2" customHeight="1" x14ac:dyDescent="0.15">
      <c r="A288" s="1" t="s">
        <v>448</v>
      </c>
      <c r="B288" s="2" t="s">
        <v>357</v>
      </c>
      <c r="C288" s="2" t="s">
        <v>300</v>
      </c>
      <c r="D288" s="2" t="s">
        <v>431</v>
      </c>
      <c r="E288" s="6">
        <v>2700</v>
      </c>
      <c r="F288" s="18">
        <v>0</v>
      </c>
      <c r="G288" s="18">
        <v>0</v>
      </c>
      <c r="H288" s="18">
        <v>1000</v>
      </c>
      <c r="I288" s="18">
        <v>0</v>
      </c>
      <c r="J288" s="18">
        <v>0</v>
      </c>
      <c r="K288" s="18">
        <v>0</v>
      </c>
      <c r="L288" s="19">
        <f t="shared" si="12"/>
        <v>1000</v>
      </c>
      <c r="M288" s="8"/>
      <c r="N288" s="265"/>
    </row>
    <row r="289" spans="1:14" s="3" customFormat="1" ht="12.2" customHeight="1" x14ac:dyDescent="0.15">
      <c r="A289" s="1" t="s">
        <v>449</v>
      </c>
      <c r="B289" s="2" t="s">
        <v>357</v>
      </c>
      <c r="C289" s="2" t="s">
        <v>343</v>
      </c>
      <c r="D289" s="2" t="s">
        <v>431</v>
      </c>
      <c r="E289" s="6">
        <v>2800</v>
      </c>
      <c r="F289" s="18">
        <v>0</v>
      </c>
      <c r="G289" s="18">
        <v>0</v>
      </c>
      <c r="H289" s="18">
        <v>0</v>
      </c>
      <c r="I289" s="18">
        <v>500</v>
      </c>
      <c r="J289" s="18">
        <v>0</v>
      </c>
      <c r="K289" s="18">
        <v>0</v>
      </c>
      <c r="L289" s="19">
        <f>SUM(F289:K289)</f>
        <v>500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31187.519999999997</v>
      </c>
      <c r="G291" s="42">
        <f t="shared" si="13"/>
        <v>14245.83</v>
      </c>
      <c r="H291" s="42">
        <f t="shared" si="13"/>
        <v>63690.55</v>
      </c>
      <c r="I291" s="42">
        <f t="shared" si="13"/>
        <v>40397.379999999997</v>
      </c>
      <c r="J291" s="42">
        <f t="shared" si="13"/>
        <v>98843.49</v>
      </c>
      <c r="K291" s="42">
        <f t="shared" si="13"/>
        <v>12116.52</v>
      </c>
      <c r="L291" s="41">
        <f t="shared" si="13"/>
        <v>260481.28999999995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9">
        <f>SUM(F296:K296)</f>
        <v>0</v>
      </c>
      <c r="M296" s="8"/>
      <c r="N296" s="265"/>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9">
        <f>SUM(F297:K297)</f>
        <v>0</v>
      </c>
      <c r="M297" s="8"/>
      <c r="N297" s="2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5"/>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9">
        <f t="shared" ref="L301:L307" si="14">SUM(F301:K301)</f>
        <v>0</v>
      </c>
      <c r="M301" s="8"/>
      <c r="N301" s="265"/>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9">
        <f t="shared" si="14"/>
        <v>0</v>
      </c>
      <c r="M302" s="8"/>
      <c r="N302" s="2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5"/>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5"/>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9">
        <f>SUM(F315:K315)</f>
        <v>0</v>
      </c>
      <c r="M315" s="8"/>
      <c r="N315" s="265"/>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5"/>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5"/>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5"/>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31187.519999999997</v>
      </c>
      <c r="G339" s="41">
        <f t="shared" si="20"/>
        <v>14245.83</v>
      </c>
      <c r="H339" s="41">
        <f t="shared" si="20"/>
        <v>63690.55</v>
      </c>
      <c r="I339" s="41">
        <f t="shared" si="20"/>
        <v>40397.379999999997</v>
      </c>
      <c r="J339" s="41">
        <f t="shared" si="20"/>
        <v>98843.49</v>
      </c>
      <c r="K339" s="41">
        <f t="shared" si="20"/>
        <v>12116.52</v>
      </c>
      <c r="L339" s="41">
        <f t="shared" si="20"/>
        <v>260481.28999999995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31187.519999999997</v>
      </c>
      <c r="G353" s="41">
        <f>G339</f>
        <v>14245.83</v>
      </c>
      <c r="H353" s="41">
        <f>H339</f>
        <v>63690.55</v>
      </c>
      <c r="I353" s="41">
        <f>I339</f>
        <v>40397.379999999997</v>
      </c>
      <c r="J353" s="41">
        <f>J339</f>
        <v>98843.49</v>
      </c>
      <c r="K353" s="47">
        <f>K339+K352</f>
        <v>12116.52</v>
      </c>
      <c r="L353" s="41">
        <f>L339+L352</f>
        <v>260481.28999999995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50782.59</v>
      </c>
      <c r="G359" s="18">
        <v>6060.85</v>
      </c>
      <c r="H359" s="18">
        <v>7337.9699999999993</v>
      </c>
      <c r="I359" s="18">
        <v>69441.820000000007</v>
      </c>
      <c r="J359" s="18">
        <v>3667.18</v>
      </c>
      <c r="K359" s="18">
        <v>0</v>
      </c>
      <c r="L359" s="13">
        <f>SUM(F359:K359)</f>
        <v>137290.41</v>
      </c>
      <c r="M359" s="8"/>
      <c r="N359" s="265"/>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5"/>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50782.59</v>
      </c>
      <c r="G363" s="47">
        <f t="shared" si="22"/>
        <v>6060.85</v>
      </c>
      <c r="H363" s="47">
        <f t="shared" si="22"/>
        <v>7337.9699999999993</v>
      </c>
      <c r="I363" s="47">
        <f t="shared" si="22"/>
        <v>69441.820000000007</v>
      </c>
      <c r="J363" s="47">
        <f t="shared" si="22"/>
        <v>3667.18</v>
      </c>
      <c r="K363" s="47">
        <f t="shared" si="22"/>
        <v>0</v>
      </c>
      <c r="L363" s="47">
        <f t="shared" si="22"/>
        <v>137290.41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65496.08</v>
      </c>
      <c r="G368" s="18">
        <v>0</v>
      </c>
      <c r="H368" s="18">
        <v>0</v>
      </c>
      <c r="I368" s="56">
        <f>SUM(F368:H368)</f>
        <v>65496.08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3620.74+325</f>
        <v>3945.74</v>
      </c>
      <c r="G369" s="63">
        <v>0</v>
      </c>
      <c r="H369" s="63">
        <v>0</v>
      </c>
      <c r="I369" s="56">
        <f>SUM(F369:H369)</f>
        <v>3945.74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69441.820000000007</v>
      </c>
      <c r="G370" s="47">
        <f>SUM(G368:G369)</f>
        <v>0</v>
      </c>
      <c r="H370" s="47">
        <f>SUM(H368:H369)</f>
        <v>0</v>
      </c>
      <c r="I370" s="47">
        <f>SUM(I368:I369)</f>
        <v>69441.820000000007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5"/>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5"/>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265"/>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5"/>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265"/>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5"/>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10000</v>
      </c>
      <c r="H390" s="18">
        <v>229.89</v>
      </c>
      <c r="I390" s="18"/>
      <c r="J390" s="24" t="s">
        <v>288</v>
      </c>
      <c r="K390" s="24" t="s">
        <v>288</v>
      </c>
      <c r="L390" s="56">
        <f t="shared" si="25"/>
        <v>10229.89</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229.89</v>
      </c>
      <c r="I394" s="65">
        <f>SUM(I388:I393)</f>
        <v>0</v>
      </c>
      <c r="J394" s="45" t="s">
        <v>288</v>
      </c>
      <c r="K394" s="45" t="s">
        <v>288</v>
      </c>
      <c r="L394" s="47">
        <f>SUM(L388:L393)</f>
        <v>10229.89</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5000</v>
      </c>
      <c r="H398" s="18">
        <v>179.18</v>
      </c>
      <c r="I398" s="18"/>
      <c r="J398" s="24" t="s">
        <v>288</v>
      </c>
      <c r="K398" s="24" t="s">
        <v>288</v>
      </c>
      <c r="L398" s="56">
        <f t="shared" si="26"/>
        <v>5179.18</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5000</v>
      </c>
      <c r="H402" s="47">
        <f>SUM(H396:H401)</f>
        <v>179.18</v>
      </c>
      <c r="I402" s="47">
        <f>SUM(I396:I401)</f>
        <v>0</v>
      </c>
      <c r="J402" s="45" t="s">
        <v>288</v>
      </c>
      <c r="K402" s="45" t="s">
        <v>288</v>
      </c>
      <c r="L402" s="47">
        <f>SUM(L396:L401)</f>
        <v>5179.18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15000</v>
      </c>
      <c r="H409" s="47">
        <f>H394+H402+H408</f>
        <v>409.07</v>
      </c>
      <c r="I409" s="47">
        <f>I394+I402+I408</f>
        <v>0</v>
      </c>
      <c r="J409" s="24" t="s">
        <v>288</v>
      </c>
      <c r="K409" s="24" t="s">
        <v>288</v>
      </c>
      <c r="L409" s="47">
        <f>L394+L402+L408</f>
        <v>15409.07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v>87200</v>
      </c>
      <c r="I416" s="18"/>
      <c r="J416" s="18"/>
      <c r="K416" s="18"/>
      <c r="L416" s="56">
        <f t="shared" si="27"/>
        <v>87200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87200</v>
      </c>
      <c r="I420" s="139">
        <f t="shared" si="28"/>
        <v>0</v>
      </c>
      <c r="J420" s="139">
        <f t="shared" si="28"/>
        <v>0</v>
      </c>
      <c r="K420" s="139">
        <f t="shared" si="28"/>
        <v>0</v>
      </c>
      <c r="L420" s="47">
        <f t="shared" si="28"/>
        <v>87200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87200</v>
      </c>
      <c r="I435" s="47">
        <f t="shared" si="32"/>
        <v>0</v>
      </c>
      <c r="J435" s="47">
        <f t="shared" si="32"/>
        <v>0</v>
      </c>
      <c r="K435" s="47">
        <f t="shared" si="32"/>
        <v>0</v>
      </c>
      <c r="L435" s="47">
        <f t="shared" si="32"/>
        <v>87200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234279.23</v>
      </c>
      <c r="G440" s="18">
        <v>220838.52</v>
      </c>
      <c r="H440" s="18"/>
      <c r="I440" s="56">
        <f t="shared" ref="I440:I446" si="33">SUM(F440:H440)</f>
        <v>455117.75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234279.23</v>
      </c>
      <c r="G447" s="13">
        <f>SUM(G440:G446)</f>
        <v>220838.52</v>
      </c>
      <c r="H447" s="13">
        <f>SUM(H440:H446)</f>
        <v>0</v>
      </c>
      <c r="I447" s="13">
        <f>SUM(I440:I446)</f>
        <v>455117.75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234279.23</v>
      </c>
      <c r="G460" s="18">
        <v>220838.52</v>
      </c>
      <c r="H460" s="18"/>
      <c r="I460" s="56">
        <f t="shared" si="34"/>
        <v>455117.75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234279.23</v>
      </c>
      <c r="G461" s="83">
        <f>SUM(G455:G460)</f>
        <v>220838.52</v>
      </c>
      <c r="H461" s="83">
        <f>SUM(H455:H460)</f>
        <v>0</v>
      </c>
      <c r="I461" s="83">
        <f>SUM(I455:I460)</f>
        <v>455117.75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234279.23</v>
      </c>
      <c r="G462" s="42">
        <f>G453+G461</f>
        <v>220838.52</v>
      </c>
      <c r="H462" s="42">
        <f>H453+H461</f>
        <v>0</v>
      </c>
      <c r="I462" s="42">
        <f>I453+I461</f>
        <v>455117.75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449362.47</v>
      </c>
      <c r="G466" s="18">
        <v>0</v>
      </c>
      <c r="H466" s="18">
        <v>6628.54</v>
      </c>
      <c r="I466" s="18">
        <v>0</v>
      </c>
      <c r="J466" s="18">
        <v>526908.68000000005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8260417.2400000002</v>
      </c>
      <c r="G469" s="18">
        <v>206898.21</v>
      </c>
      <c r="H469" s="18">
        <v>287884.02</v>
      </c>
      <c r="I469" s="18">
        <v>0</v>
      </c>
      <c r="J469" s="18">
        <v>15409.07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8260417.2400000002</v>
      </c>
      <c r="G471" s="53">
        <f>SUM(G469:G470)</f>
        <v>206898.21</v>
      </c>
      <c r="H471" s="53">
        <f>SUM(H469:H470)</f>
        <v>287884.02</v>
      </c>
      <c r="I471" s="53">
        <f>SUM(I469:I470)</f>
        <v>0</v>
      </c>
      <c r="J471" s="53">
        <f>SUM(J469:J470)</f>
        <v>15409.07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8283528.8399999961</v>
      </c>
      <c r="G473" s="18">
        <v>137290.40999999997</v>
      </c>
      <c r="H473" s="18">
        <v>260481.28999999995</v>
      </c>
      <c r="I473" s="18">
        <v>0</v>
      </c>
      <c r="J473" s="18">
        <v>87200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8283528.8399999961</v>
      </c>
      <c r="G475" s="53">
        <f>SUM(G473:G474)</f>
        <v>137290.40999999997</v>
      </c>
      <c r="H475" s="53">
        <f>SUM(H473:H474)</f>
        <v>260481.28999999995</v>
      </c>
      <c r="I475" s="53">
        <f>SUM(I473:I474)</f>
        <v>0</v>
      </c>
      <c r="J475" s="53">
        <f>SUM(J473:J474)</f>
        <v>87200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426250.87000000477</v>
      </c>
      <c r="G477" s="53">
        <f>(G466+G471)- G475</f>
        <v>69607.800000000017</v>
      </c>
      <c r="H477" s="53">
        <f>(H466+H471)- H475</f>
        <v>34031.270000000048</v>
      </c>
      <c r="I477" s="53">
        <f>(I466+I471)- I475</f>
        <v>0</v>
      </c>
      <c r="J477" s="53">
        <f>(J466+J471)- J475</f>
        <v>455117.75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537977.44999999995</v>
      </c>
      <c r="G522" s="18">
        <v>359635.3</v>
      </c>
      <c r="H522" s="18">
        <v>199665.01</v>
      </c>
      <c r="I522" s="18">
        <v>11898.66</v>
      </c>
      <c r="J522" s="18">
        <v>27336.75</v>
      </c>
      <c r="K522" s="18">
        <v>0</v>
      </c>
      <c r="L522" s="88">
        <f>SUM(F522:K522)</f>
        <v>1136513.17</v>
      </c>
      <c r="N522" s="264"/>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4"/>
    </row>
    <row r="524" spans="1:14" s="52" customFormat="1" ht="12.2" customHeight="1" thickBot="1" x14ac:dyDescent="0.25">
      <c r="A524" s="22" t="s">
        <v>635</v>
      </c>
      <c r="B524" s="105">
        <v>21</v>
      </c>
      <c r="C524" s="115">
        <v>3</v>
      </c>
      <c r="D524" s="2" t="s">
        <v>432</v>
      </c>
      <c r="E524" s="115"/>
      <c r="F524" s="18">
        <v>0</v>
      </c>
      <c r="G524" s="18">
        <v>0</v>
      </c>
      <c r="H524" s="18">
        <v>435900.58</v>
      </c>
      <c r="I524" s="18">
        <v>0</v>
      </c>
      <c r="J524" s="18">
        <v>0</v>
      </c>
      <c r="K524" s="18">
        <v>0</v>
      </c>
      <c r="L524" s="88">
        <f>SUM(F524:K524)</f>
        <v>435900.58</v>
      </c>
      <c r="N524" s="264"/>
    </row>
    <row r="525" spans="1:14" s="52" customFormat="1" ht="12.2" customHeight="1" thickTop="1" x14ac:dyDescent="0.2">
      <c r="A525" s="139" t="s">
        <v>63</v>
      </c>
      <c r="B525" s="107">
        <v>21</v>
      </c>
      <c r="C525" s="194">
        <v>4</v>
      </c>
      <c r="D525" s="195" t="s">
        <v>432</v>
      </c>
      <c r="E525" s="194"/>
      <c r="F525" s="108">
        <f>SUM(F522:F524)</f>
        <v>537977.44999999995</v>
      </c>
      <c r="G525" s="108">
        <f t="shared" ref="G525:L525" si="36">SUM(G522:G524)</f>
        <v>359635.3</v>
      </c>
      <c r="H525" s="108">
        <f t="shared" si="36"/>
        <v>635565.59000000008</v>
      </c>
      <c r="I525" s="108">
        <f t="shared" si="36"/>
        <v>11898.66</v>
      </c>
      <c r="J525" s="108">
        <f t="shared" si="36"/>
        <v>27336.75</v>
      </c>
      <c r="K525" s="108">
        <f t="shared" si="36"/>
        <v>0</v>
      </c>
      <c r="L525" s="89">
        <f t="shared" si="36"/>
        <v>1572413.75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202375.94</v>
      </c>
      <c r="G527" s="18">
        <v>62688.45</v>
      </c>
      <c r="H527" s="18">
        <v>63898.55</v>
      </c>
      <c r="I527" s="18">
        <v>1479.9499999999998</v>
      </c>
      <c r="J527" s="18">
        <v>1787.27</v>
      </c>
      <c r="K527" s="18">
        <v>0</v>
      </c>
      <c r="L527" s="88">
        <f>SUM(F527:K527)</f>
        <v>332230.16000000003</v>
      </c>
      <c r="M527" s="8"/>
      <c r="N527" s="265"/>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5"/>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5"/>
    </row>
    <row r="530" spans="1:14" s="3" customFormat="1" ht="12.2" customHeight="1" thickTop="1" x14ac:dyDescent="0.15">
      <c r="A530" s="139" t="s">
        <v>65</v>
      </c>
      <c r="B530" s="107">
        <v>21</v>
      </c>
      <c r="C530" s="107">
        <v>8</v>
      </c>
      <c r="D530" s="158" t="s">
        <v>432</v>
      </c>
      <c r="E530" s="107"/>
      <c r="F530" s="89">
        <f>SUM(F527:F529)</f>
        <v>202375.94</v>
      </c>
      <c r="G530" s="89">
        <f t="shared" ref="G530:L530" si="37">SUM(G527:G529)</f>
        <v>62688.45</v>
      </c>
      <c r="H530" s="89">
        <f t="shared" si="37"/>
        <v>63898.55</v>
      </c>
      <c r="I530" s="89">
        <f t="shared" si="37"/>
        <v>1479.9499999999998</v>
      </c>
      <c r="J530" s="89">
        <f t="shared" si="37"/>
        <v>1787.27</v>
      </c>
      <c r="K530" s="89">
        <f t="shared" si="37"/>
        <v>0</v>
      </c>
      <c r="L530" s="89">
        <f t="shared" si="37"/>
        <v>332230.16000000003</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0</v>
      </c>
      <c r="G532" s="18">
        <v>0</v>
      </c>
      <c r="H532" s="18">
        <v>46776</v>
      </c>
      <c r="I532" s="18">
        <v>0</v>
      </c>
      <c r="J532" s="18">
        <v>0</v>
      </c>
      <c r="K532" s="18">
        <v>5679.5300000000007</v>
      </c>
      <c r="L532" s="88">
        <f>SUM(F532:K532)</f>
        <v>52455.53</v>
      </c>
      <c r="M532" s="8"/>
      <c r="N532" s="265"/>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5"/>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46776</v>
      </c>
      <c r="I535" s="89">
        <f t="shared" si="38"/>
        <v>0</v>
      </c>
      <c r="J535" s="89">
        <f t="shared" si="38"/>
        <v>0</v>
      </c>
      <c r="K535" s="89">
        <f t="shared" si="38"/>
        <v>5679.5300000000007</v>
      </c>
      <c r="L535" s="89">
        <f t="shared" si="38"/>
        <v>52455.53</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v>0</v>
      </c>
      <c r="G537" s="18">
        <v>0</v>
      </c>
      <c r="H537" s="18">
        <v>0</v>
      </c>
      <c r="I537" s="18">
        <v>0</v>
      </c>
      <c r="J537" s="18">
        <v>0</v>
      </c>
      <c r="K537" s="18">
        <v>0</v>
      </c>
      <c r="L537" s="88">
        <f>SUM(F537:K537)</f>
        <v>0</v>
      </c>
      <c r="M537" s="8"/>
      <c r="N537" s="265"/>
    </row>
    <row r="538" spans="1:14" s="3" customFormat="1" ht="12.2" customHeight="1" x14ac:dyDescent="0.15">
      <c r="A538" s="22" t="s">
        <v>634</v>
      </c>
      <c r="B538" s="105">
        <v>21</v>
      </c>
      <c r="C538" s="105">
        <v>14</v>
      </c>
      <c r="D538" s="2" t="s">
        <v>432</v>
      </c>
      <c r="E538" s="105"/>
      <c r="F538" s="18">
        <v>0</v>
      </c>
      <c r="G538" s="18">
        <v>0</v>
      </c>
      <c r="H538" s="18">
        <v>0</v>
      </c>
      <c r="I538" s="18">
        <v>0</v>
      </c>
      <c r="J538" s="18">
        <v>0</v>
      </c>
      <c r="K538" s="18">
        <v>0</v>
      </c>
      <c r="L538" s="88">
        <f>SUM(F538:K538)</f>
        <v>0</v>
      </c>
      <c r="M538" s="8"/>
      <c r="N538" s="265"/>
    </row>
    <row r="539" spans="1:14" s="3" customFormat="1" ht="12.2" customHeight="1" thickBot="1" x14ac:dyDescent="0.2">
      <c r="A539" s="22" t="s">
        <v>635</v>
      </c>
      <c r="B539" s="105">
        <v>21</v>
      </c>
      <c r="C539" s="105">
        <v>15</v>
      </c>
      <c r="D539" s="2" t="s">
        <v>432</v>
      </c>
      <c r="E539" s="105"/>
      <c r="F539" s="18">
        <v>0</v>
      </c>
      <c r="G539" s="18">
        <v>0</v>
      </c>
      <c r="H539" s="18">
        <v>0</v>
      </c>
      <c r="I539" s="18">
        <v>0</v>
      </c>
      <c r="J539" s="18">
        <v>0</v>
      </c>
      <c r="K539" s="18">
        <v>0</v>
      </c>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0</v>
      </c>
      <c r="G542" s="18">
        <v>0</v>
      </c>
      <c r="H542" s="18">
        <v>20988.46</v>
      </c>
      <c r="I542" s="18">
        <v>0</v>
      </c>
      <c r="J542" s="18">
        <v>0</v>
      </c>
      <c r="K542" s="18">
        <v>0</v>
      </c>
      <c r="L542" s="88">
        <f>SUM(F542:K542)</f>
        <v>20988.46</v>
      </c>
      <c r="M542" s="8"/>
      <c r="N542" s="265"/>
    </row>
    <row r="543" spans="1:14" s="3" customFormat="1" ht="12.2" customHeight="1" x14ac:dyDescent="0.15">
      <c r="A543" s="22" t="s">
        <v>634</v>
      </c>
      <c r="B543" s="105">
        <v>21</v>
      </c>
      <c r="C543" s="105">
        <v>18</v>
      </c>
      <c r="D543" s="2" t="s">
        <v>432</v>
      </c>
      <c r="E543" s="105"/>
      <c r="F543" s="18">
        <v>0</v>
      </c>
      <c r="G543" s="18">
        <v>0</v>
      </c>
      <c r="H543" s="18">
        <v>0</v>
      </c>
      <c r="I543" s="18">
        <v>0</v>
      </c>
      <c r="J543" s="18">
        <v>0</v>
      </c>
      <c r="K543" s="18">
        <v>0</v>
      </c>
      <c r="L543" s="88">
        <f>SUM(F543:K543)</f>
        <v>0</v>
      </c>
      <c r="M543" s="8"/>
      <c r="N543" s="265"/>
    </row>
    <row r="544" spans="1:14" s="3" customFormat="1" ht="12.2" customHeight="1" thickBot="1" x14ac:dyDescent="0.2">
      <c r="A544" s="22" t="s">
        <v>635</v>
      </c>
      <c r="B544" s="105">
        <v>21</v>
      </c>
      <c r="C544" s="105">
        <v>19</v>
      </c>
      <c r="D544" s="2" t="s">
        <v>432</v>
      </c>
      <c r="E544" s="105"/>
      <c r="F544" s="18">
        <v>0</v>
      </c>
      <c r="G544" s="18">
        <v>0</v>
      </c>
      <c r="H544" s="18">
        <v>21666.86</v>
      </c>
      <c r="I544" s="18">
        <v>0</v>
      </c>
      <c r="J544" s="18">
        <v>0</v>
      </c>
      <c r="K544" s="18">
        <v>0</v>
      </c>
      <c r="L544" s="88">
        <f>SUM(F544:K544)</f>
        <v>21666.86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42655.32</v>
      </c>
      <c r="I545" s="192">
        <f t="shared" si="40"/>
        <v>0</v>
      </c>
      <c r="J545" s="192">
        <f t="shared" si="40"/>
        <v>0</v>
      </c>
      <c r="K545" s="192">
        <f t="shared" si="40"/>
        <v>0</v>
      </c>
      <c r="L545" s="192">
        <f t="shared" si="40"/>
        <v>42655.32</v>
      </c>
      <c r="M545" s="8"/>
      <c r="N545" s="265"/>
    </row>
    <row r="546" spans="1:14" s="3" customFormat="1" ht="12.2" customHeight="1" thickTop="1" x14ac:dyDescent="0.15">
      <c r="A546" s="98" t="s">
        <v>72</v>
      </c>
      <c r="B546" s="107">
        <v>21</v>
      </c>
      <c r="C546" s="107">
        <v>21</v>
      </c>
      <c r="D546" s="158" t="s">
        <v>432</v>
      </c>
      <c r="E546" s="107"/>
      <c r="F546" s="89">
        <f>F525+F530+F535+F540+F545</f>
        <v>740353.3899999999</v>
      </c>
      <c r="G546" s="89">
        <f t="shared" ref="G546:L546" si="41">G525+G530+G535+G540+G545</f>
        <v>422323.75</v>
      </c>
      <c r="H546" s="89">
        <f t="shared" si="41"/>
        <v>788895.46000000008</v>
      </c>
      <c r="I546" s="89">
        <f t="shared" si="41"/>
        <v>13378.61</v>
      </c>
      <c r="J546" s="89">
        <f t="shared" si="41"/>
        <v>29124.02</v>
      </c>
      <c r="K546" s="89">
        <f t="shared" si="41"/>
        <v>5679.5300000000007</v>
      </c>
      <c r="L546" s="89">
        <f t="shared" si="41"/>
        <v>1999754.7600000002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1136513.17</v>
      </c>
      <c r="G550" s="87">
        <f>L527</f>
        <v>332230.16000000003</v>
      </c>
      <c r="H550" s="87">
        <f>L532</f>
        <v>52455.53</v>
      </c>
      <c r="I550" s="87">
        <f>L537</f>
        <v>0</v>
      </c>
      <c r="J550" s="87">
        <f>L542</f>
        <v>20988.46</v>
      </c>
      <c r="K550" s="87">
        <f>SUM(F550:J550)</f>
        <v>1542187.32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435900.58</v>
      </c>
      <c r="G552" s="87">
        <f>L529</f>
        <v>0</v>
      </c>
      <c r="H552" s="87">
        <f>L534</f>
        <v>0</v>
      </c>
      <c r="I552" s="87">
        <f>L539</f>
        <v>0</v>
      </c>
      <c r="J552" s="87">
        <f>L544</f>
        <v>21666.86</v>
      </c>
      <c r="K552" s="87">
        <f>SUM(F552:J552)</f>
        <v>457567.44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1572413.75</v>
      </c>
      <c r="G553" s="89">
        <f t="shared" si="42"/>
        <v>332230.16000000003</v>
      </c>
      <c r="H553" s="89">
        <f t="shared" si="42"/>
        <v>52455.53</v>
      </c>
      <c r="I553" s="89">
        <f t="shared" si="42"/>
        <v>0</v>
      </c>
      <c r="J553" s="89">
        <f t="shared" si="42"/>
        <v>42655.32</v>
      </c>
      <c r="K553" s="89">
        <f t="shared" si="42"/>
        <v>1999754.76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69014.929999999993</v>
      </c>
      <c r="G563" s="18">
        <v>43001.200000000004</v>
      </c>
      <c r="H563" s="18">
        <v>0</v>
      </c>
      <c r="I563" s="18">
        <v>0</v>
      </c>
      <c r="J563" s="18">
        <v>0</v>
      </c>
      <c r="K563" s="18">
        <v>0</v>
      </c>
      <c r="L563" s="88">
        <f>SUM(F563:K563)</f>
        <v>112016.13</v>
      </c>
      <c r="M563" s="8"/>
      <c r="N563" s="265"/>
    </row>
    <row r="564" spans="1:14" s="3" customFormat="1" ht="12.2" customHeight="1" x14ac:dyDescent="0.15">
      <c r="A564" s="22" t="s">
        <v>634</v>
      </c>
      <c r="B564" s="105">
        <v>22</v>
      </c>
      <c r="C564" s="115">
        <v>6</v>
      </c>
      <c r="D564" s="2" t="s">
        <v>432</v>
      </c>
      <c r="E564" s="115"/>
      <c r="F564" s="18">
        <v>0</v>
      </c>
      <c r="G564" s="18">
        <v>0</v>
      </c>
      <c r="H564" s="18">
        <v>0</v>
      </c>
      <c r="I564" s="18">
        <v>0</v>
      </c>
      <c r="J564" s="18">
        <v>0</v>
      </c>
      <c r="K564" s="18">
        <v>0</v>
      </c>
      <c r="L564" s="88">
        <f>SUM(F564:K564)</f>
        <v>0</v>
      </c>
      <c r="M564" s="8"/>
      <c r="N564" s="265"/>
    </row>
    <row r="565" spans="1:14" s="3" customFormat="1" ht="12.2" customHeight="1" thickBot="1" x14ac:dyDescent="0.2">
      <c r="A565" s="22" t="s">
        <v>635</v>
      </c>
      <c r="B565" s="105">
        <v>22</v>
      </c>
      <c r="C565" s="118">
        <v>7</v>
      </c>
      <c r="D565" s="2" t="s">
        <v>432</v>
      </c>
      <c r="E565" s="118"/>
      <c r="F565" s="18">
        <v>0</v>
      </c>
      <c r="G565" s="18">
        <v>0</v>
      </c>
      <c r="H565" s="18">
        <v>0</v>
      </c>
      <c r="I565" s="18">
        <v>0</v>
      </c>
      <c r="J565" s="18">
        <v>0</v>
      </c>
      <c r="K565" s="18">
        <v>0</v>
      </c>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69014.929999999993</v>
      </c>
      <c r="G566" s="89">
        <f t="shared" si="44"/>
        <v>43001.200000000004</v>
      </c>
      <c r="H566" s="89">
        <f t="shared" si="44"/>
        <v>0</v>
      </c>
      <c r="I566" s="89">
        <f t="shared" si="44"/>
        <v>0</v>
      </c>
      <c r="J566" s="89">
        <f t="shared" si="44"/>
        <v>0</v>
      </c>
      <c r="K566" s="89">
        <f t="shared" si="44"/>
        <v>0</v>
      </c>
      <c r="L566" s="89">
        <f t="shared" si="44"/>
        <v>112016.13</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5"/>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5"/>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69014.929999999993</v>
      </c>
      <c r="G572" s="89">
        <f t="shared" ref="G572:L572" si="46">G561+G566+G571</f>
        <v>43001.200000000004</v>
      </c>
      <c r="H572" s="89">
        <f t="shared" si="46"/>
        <v>0</v>
      </c>
      <c r="I572" s="89">
        <f t="shared" si="46"/>
        <v>0</v>
      </c>
      <c r="J572" s="89">
        <f t="shared" si="46"/>
        <v>0</v>
      </c>
      <c r="K572" s="89">
        <f t="shared" si="46"/>
        <v>0</v>
      </c>
      <c r="L572" s="89">
        <f t="shared" si="46"/>
        <v>112016.13</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0</v>
      </c>
      <c r="G576" s="18">
        <v>0</v>
      </c>
      <c r="H576" s="18">
        <v>1737467.53</v>
      </c>
      <c r="I576" s="87">
        <f>SUM(F576:H576)</f>
        <v>1737467.53</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v>27954</v>
      </c>
      <c r="G580" s="18">
        <v>0</v>
      </c>
      <c r="H580" s="18">
        <v>409218.58</v>
      </c>
      <c r="I580" s="87">
        <f t="shared" si="47"/>
        <v>437172.58</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154683.85</v>
      </c>
      <c r="G583" s="18">
        <v>0</v>
      </c>
      <c r="H583" s="18">
        <v>0</v>
      </c>
      <c r="I583" s="87">
        <f t="shared" si="47"/>
        <v>154683.85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v>0</v>
      </c>
      <c r="G585" s="18">
        <v>0</v>
      </c>
      <c r="H585" s="18">
        <v>0</v>
      </c>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275403.11</v>
      </c>
      <c r="I592" s="18">
        <v>0</v>
      </c>
      <c r="J592" s="18">
        <v>99409.02</v>
      </c>
      <c r="K592" s="104">
        <f t="shared" ref="K592:K598" si="48">SUM(H592:J592)</f>
        <v>374812.13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20988.46</v>
      </c>
      <c r="I593" s="18">
        <v>0</v>
      </c>
      <c r="J593" s="18">
        <v>21666.86</v>
      </c>
      <c r="K593" s="104">
        <f t="shared" si="48"/>
        <v>42655.32</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4330.62</v>
      </c>
      <c r="I595" s="18">
        <v>0</v>
      </c>
      <c r="J595" s="18">
        <v>0</v>
      </c>
      <c r="K595" s="104">
        <f t="shared" si="48"/>
        <v>4330.62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2520.5500000000002</v>
      </c>
      <c r="I596" s="18">
        <v>0</v>
      </c>
      <c r="J596" s="18">
        <v>0</v>
      </c>
      <c r="K596" s="104">
        <f t="shared" si="48"/>
        <v>2520.5500000000002</v>
      </c>
      <c r="L596" s="24" t="s">
        <v>288</v>
      </c>
      <c r="M596" s="8"/>
      <c r="N596" s="265"/>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303242.74</v>
      </c>
      <c r="I599" s="108">
        <f>SUM(I592:I598)</f>
        <v>0</v>
      </c>
      <c r="J599" s="108">
        <f>SUM(J592:J598)</f>
        <v>121075.88</v>
      </c>
      <c r="K599" s="108">
        <f>SUM(K592:K598)</f>
        <v>424318.62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146687.24000000002</v>
      </c>
      <c r="I605" s="18">
        <v>0</v>
      </c>
      <c r="J605" s="18">
        <v>0</v>
      </c>
      <c r="K605" s="104">
        <f>SUM(H605:J605)</f>
        <v>146687.24000000002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146687.24000000002</v>
      </c>
      <c r="I606" s="108">
        <f>SUM(I603:I605)</f>
        <v>0</v>
      </c>
      <c r="J606" s="108">
        <f>SUM(J603:J605)</f>
        <v>0</v>
      </c>
      <c r="K606" s="108">
        <f>SUM(K603:K605)</f>
        <v>146687.24000000002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1402.5</v>
      </c>
      <c r="G612" s="18">
        <v>257.7</v>
      </c>
      <c r="H612" s="18">
        <v>0</v>
      </c>
      <c r="I612" s="18">
        <v>0</v>
      </c>
      <c r="J612" s="18">
        <v>0</v>
      </c>
      <c r="K612" s="18">
        <v>0</v>
      </c>
      <c r="L612" s="88">
        <f>SUM(F612:K612)</f>
        <v>1660.2</v>
      </c>
      <c r="M612" s="8"/>
      <c r="N612" s="265"/>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5"/>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1402.5</v>
      </c>
      <c r="G615" s="108">
        <f t="shared" si="49"/>
        <v>257.7</v>
      </c>
      <c r="H615" s="108">
        <f t="shared" si="49"/>
        <v>0</v>
      </c>
      <c r="I615" s="108">
        <f t="shared" si="49"/>
        <v>0</v>
      </c>
      <c r="J615" s="108">
        <f t="shared" si="49"/>
        <v>0</v>
      </c>
      <c r="K615" s="108">
        <f t="shared" si="49"/>
        <v>0</v>
      </c>
      <c r="L615" s="89">
        <f t="shared" si="49"/>
        <v>1660.2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1231954.19</v>
      </c>
      <c r="H618" s="109">
        <f>SUM(F52)</f>
        <v>1231954.19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74657.200000000012</v>
      </c>
      <c r="H619" s="109">
        <f>SUM(G52)</f>
        <v>74657.2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84618.91</v>
      </c>
      <c r="H620" s="109">
        <f>SUM(H52)</f>
        <v>84618.91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455117.75</v>
      </c>
      <c r="H622" s="109">
        <f>SUM(J52)</f>
        <v>455117.75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426250.87</v>
      </c>
      <c r="H623" s="109">
        <f>F477</f>
        <v>426250.87000000477</v>
      </c>
      <c r="I623" s="121" t="s">
        <v>101</v>
      </c>
      <c r="J623" s="109">
        <f t="shared" ref="J623:J656" si="50">G623-H623</f>
        <v>-4.7730281949043274E-9</v>
      </c>
      <c r="K623" s="109"/>
      <c r="L623" s="109"/>
      <c r="M623" s="8"/>
    </row>
    <row r="624" spans="1:14" s="3" customFormat="1" ht="12.2" customHeight="1" x14ac:dyDescent="0.15">
      <c r="A624" s="97"/>
      <c r="B624" s="105"/>
      <c r="C624" s="119"/>
      <c r="D624" s="119"/>
      <c r="E624" s="119"/>
      <c r="F624" s="119" t="s">
        <v>866</v>
      </c>
      <c r="G624" s="109">
        <f>G51</f>
        <v>69607.8</v>
      </c>
      <c r="H624" s="109">
        <f>G477</f>
        <v>69607.800000000017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34031.269999999997</v>
      </c>
      <c r="H625" s="109">
        <f>H477</f>
        <v>34031.270000000048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455117.75</v>
      </c>
      <c r="H627" s="109">
        <f>J477</f>
        <v>455117.75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8260417.2400000002</v>
      </c>
      <c r="H628" s="104">
        <f>SUM(F469)</f>
        <v>8260417.2400000002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206898.21</v>
      </c>
      <c r="H629" s="104">
        <f>SUM(G469)</f>
        <v>206898.21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287884.02</v>
      </c>
      <c r="H630" s="104">
        <f>SUM(H469)</f>
        <v>287884.02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15409.07</v>
      </c>
      <c r="H632" s="104">
        <f>SUM(J469)</f>
        <v>15409.07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8283528.8399999999</v>
      </c>
      <c r="H633" s="104">
        <f>SUM(F473)</f>
        <v>8283528.8399999961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260481.28999999995</v>
      </c>
      <c r="H634" s="104">
        <f>SUM(H473)</f>
        <v>260481.28999999995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69441.820000000007</v>
      </c>
      <c r="H635" s="104">
        <f>I370</f>
        <v>69441.820000000007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137290.41</v>
      </c>
      <c r="H636" s="104">
        <f>SUM(G473)</f>
        <v>137290.40999999997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15409.07</v>
      </c>
      <c r="H638" s="164">
        <f>SUM(J469)</f>
        <v>15409.07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87200</v>
      </c>
      <c r="H639" s="164">
        <f>SUM(J473)</f>
        <v>87200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234279.23</v>
      </c>
      <c r="H640" s="104">
        <f>SUM(F462)</f>
        <v>234279.23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220838.52</v>
      </c>
      <c r="H641" s="104">
        <f>SUM(G462)</f>
        <v>220838.52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455117.75</v>
      </c>
      <c r="H643" s="104">
        <f>SUM(I462)</f>
        <v>455117.75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409.07</v>
      </c>
      <c r="H645" s="104">
        <f>H409</f>
        <v>409.07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15000</v>
      </c>
      <c r="H646" s="104">
        <f>G409</f>
        <v>15000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15409.07</v>
      </c>
      <c r="H647" s="104">
        <f>L409</f>
        <v>15409.07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424318.62</v>
      </c>
      <c r="H648" s="104">
        <f>L209+L227+L245</f>
        <v>424318.62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146687.24000000002</v>
      </c>
      <c r="H649" s="104">
        <f>(J258+J339)-(J256+J337)</f>
        <v>146687.24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303242.74</v>
      </c>
      <c r="H650" s="104">
        <f>H599</f>
        <v>303242.74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121075.88</v>
      </c>
      <c r="H652" s="104">
        <f>J599</f>
        <v>121075.88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15000</v>
      </c>
      <c r="H656" s="104">
        <f>K267+K348</f>
        <v>15000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6284656.5499999998</v>
      </c>
      <c r="G661" s="19">
        <f>(L230+L310+L360)</f>
        <v>0</v>
      </c>
      <c r="H661" s="19">
        <f>(L248+L329+L361)</f>
        <v>2294443.9899999998</v>
      </c>
      <c r="I661" s="19">
        <f>SUM(F661:H661)</f>
        <v>8579100.5399999991</v>
      </c>
      <c r="J661" s="13"/>
      <c r="K661" s="13"/>
      <c r="L661" s="13"/>
      <c r="M661" s="9"/>
    </row>
    <row r="662" spans="1:13" s="3" customFormat="1" ht="12.2" customHeight="1" x14ac:dyDescent="0.2">
      <c r="A662" s="1" t="s">
        <v>127</v>
      </c>
      <c r="F662" s="19">
        <f>(L359/IF(SUM(L359:L361)=0,1,SUM(L359:L361))*(SUM(G97:G110)))</f>
        <v>7102.74</v>
      </c>
      <c r="G662" s="19">
        <f>(L360/IF(SUM(L359:L361)=0,1,SUM(L359:L361))*(SUM(G97:G110)))</f>
        <v>0</v>
      </c>
      <c r="H662" s="19">
        <f>(L361/IF(SUM(L359:L361)=0,1,SUM(L359:L361))*(SUM(G97:G110)))</f>
        <v>0</v>
      </c>
      <c r="I662" s="19">
        <f>SUM(F662:H662)</f>
        <v>7102.74</v>
      </c>
      <c r="J662"/>
      <c r="K662" s="13"/>
      <c r="L662" s="13"/>
      <c r="M662" s="8"/>
    </row>
    <row r="663" spans="1:13" s="3" customFormat="1" ht="12.2" customHeight="1" x14ac:dyDescent="0.2">
      <c r="A663" s="1" t="s">
        <v>128</v>
      </c>
      <c r="F663" s="19">
        <f>(L209+L288)-(J209+J288)</f>
        <v>304242.74</v>
      </c>
      <c r="G663" s="19">
        <f>(L227+L307)-(J227+J307)</f>
        <v>0</v>
      </c>
      <c r="H663" s="19">
        <f>(L245+L326)-(J245+J326)</f>
        <v>121075.88</v>
      </c>
      <c r="I663" s="19">
        <f>SUM(F663:H663)</f>
        <v>425318.62</v>
      </c>
      <c r="J663"/>
      <c r="K663" s="13"/>
      <c r="L663" s="13"/>
      <c r="M663" s="9"/>
    </row>
    <row r="664" spans="1:13" s="3" customFormat="1" ht="12.2" customHeight="1" x14ac:dyDescent="0.15">
      <c r="A664" s="197" t="s">
        <v>129</v>
      </c>
      <c r="B664" s="169"/>
      <c r="C664" s="169"/>
      <c r="D664" s="169"/>
      <c r="E664" s="169"/>
      <c r="F664" s="198">
        <f>SUM(F576:F588)+SUM(H603:H605)+SUM(L612)</f>
        <v>330985.29000000004</v>
      </c>
      <c r="G664" s="198">
        <f>SUM(G576:G588)+SUM(I603:I605)+L613</f>
        <v>0</v>
      </c>
      <c r="H664" s="198">
        <f>SUM(H576:H588)+SUM(J603:J605)+L614</f>
        <v>2146686.11</v>
      </c>
      <c r="I664" s="19">
        <f>SUM(F664:H664)</f>
        <v>2477671.4</v>
      </c>
      <c r="J664" s="13"/>
      <c r="K664" s="13"/>
      <c r="L664" s="13"/>
      <c r="M664" s="9"/>
    </row>
    <row r="665" spans="1:13" s="3" customFormat="1" ht="12.2" customHeight="1" x14ac:dyDescent="0.15">
      <c r="A665" s="1" t="s">
        <v>130</v>
      </c>
      <c r="F665" s="19">
        <f>F661-SUM(F662:F664)</f>
        <v>5642325.7799999993</v>
      </c>
      <c r="G665" s="19">
        <f>G661-SUM(G662:G664)</f>
        <v>0</v>
      </c>
      <c r="H665" s="19">
        <f>H661-SUM(H662:H664)</f>
        <v>26682</v>
      </c>
      <c r="I665" s="19">
        <f>I661-SUM(I662:I664)</f>
        <v>5669007.7799999993</v>
      </c>
      <c r="J665" s="13"/>
      <c r="K665" s="13"/>
      <c r="L665" s="13"/>
      <c r="M665" s="8"/>
    </row>
    <row r="666" spans="1:13" s="3" customFormat="1" ht="12.2" customHeight="1" x14ac:dyDescent="0.2">
      <c r="A666" s="1" t="s">
        <v>131</v>
      </c>
      <c r="F666" s="245">
        <v>273.43</v>
      </c>
      <c r="G666" s="246"/>
      <c r="H666" s="246"/>
      <c r="I666" s="19">
        <f>SUM(F666:H666)</f>
        <v>273.43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20635.36</v>
      </c>
      <c r="G668" s="19" t="e">
        <f>ROUND(G665/G666,2)</f>
        <v>#DIV/0!</v>
      </c>
      <c r="H668" s="19" t="e">
        <f>ROUND(H665/H666,2)</f>
        <v>#DIV/0!</v>
      </c>
      <c r="I668" s="19">
        <f>ROUND(I665/I666,2)</f>
        <v>20732.939999999999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-26682</v>
      </c>
      <c r="I670" s="19">
        <f>SUM(F670:H670)</f>
        <v>-26682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20635.36</v>
      </c>
      <c r="G673" s="19" t="e">
        <f>ROUND((G665+G670)/(G666+G671),2)</f>
        <v>#DIV/0!</v>
      </c>
      <c r="H673" s="19" t="e">
        <f>ROUND((H665+H670)/(H666+H671),2)</f>
        <v>#DIV/0!</v>
      </c>
      <c r="I673" s="19">
        <f>ROUND((I665+I670)/(I666+I671),2)</f>
        <v>20635.36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17" sqref="J17"/>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26544.02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7695.86</v>
      </c>
      <c r="F9" s="349" t="s">
        <v>1644</v>
      </c>
    </row>
    <row r="10" spans="2:8" x14ac:dyDescent="0.25">
      <c r="B10" s="348"/>
      <c r="C10" s="348"/>
      <c r="D10" s="348"/>
      <c r="E10" s="348"/>
      <c r="F10" s="348"/>
    </row>
    <row r="11" spans="2:8" x14ac:dyDescent="0.25">
      <c r="B11" s="348"/>
      <c r="C11" s="352" t="s">
        <v>1648</v>
      </c>
      <c r="D11" s="349" t="s">
        <v>1651</v>
      </c>
      <c r="E11" s="336">
        <v>0</v>
      </c>
      <c r="F11" s="349" t="s">
        <v>1645</v>
      </c>
    </row>
    <row r="12" spans="2:8" x14ac:dyDescent="0.25">
      <c r="B12" s="348"/>
      <c r="C12" s="348"/>
      <c r="D12" s="349"/>
      <c r="E12" s="348"/>
      <c r="F12" s="348"/>
    </row>
    <row r="13" spans="2:8" x14ac:dyDescent="0.25">
      <c r="B13" s="348"/>
      <c r="C13" s="349" t="s">
        <v>1638</v>
      </c>
      <c r="D13" s="349" t="s">
        <v>1652</v>
      </c>
      <c r="E13" s="336">
        <v>18848.16</v>
      </c>
      <c r="F13" s="349" t="s">
        <v>1646</v>
      </c>
    </row>
    <row r="14" spans="2:8" x14ac:dyDescent="0.25">
      <c r="B14" s="348"/>
      <c r="C14" s="348"/>
      <c r="D14" s="349"/>
      <c r="E14" s="348"/>
      <c r="F14" s="348"/>
    </row>
    <row r="15" spans="2:8" x14ac:dyDescent="0.25">
      <c r="B15" s="348"/>
      <c r="C15" s="349" t="s">
        <v>1640</v>
      </c>
      <c r="D15" s="349" t="s">
        <v>1653</v>
      </c>
      <c r="E15" s="336">
        <v>0</v>
      </c>
      <c r="F15" s="349" t="s">
        <v>1647</v>
      </c>
    </row>
    <row r="16" spans="2:8" x14ac:dyDescent="0.25">
      <c r="B16" s="348"/>
      <c r="C16" s="348"/>
      <c r="D16" s="348"/>
      <c r="E16" s="348"/>
      <c r="F16" s="348"/>
    </row>
    <row r="17" spans="2:8" x14ac:dyDescent="0.25">
      <c r="B17" s="348"/>
      <c r="C17" s="349" t="s">
        <v>1639</v>
      </c>
      <c r="D17" s="349" t="s">
        <v>1654</v>
      </c>
      <c r="E17" s="336">
        <v>0</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19035.849999999999</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Chesterfield</v>
      </c>
      <c r="C5" s="375"/>
      <c r="D5" s="375"/>
      <c r="E5" s="375"/>
      <c r="F5" s="375"/>
    </row>
    <row r="8" spans="1:9" ht="18" x14ac:dyDescent="0.25">
      <c r="A8" s="312" t="s">
        <v>1568</v>
      </c>
      <c r="F8" s="319" t="s">
        <v>1586</v>
      </c>
    </row>
    <row r="9" spans="1:9" ht="15" x14ac:dyDescent="0.2">
      <c r="A9" s="310" t="s">
        <v>1569</v>
      </c>
      <c r="B9" s="313">
        <f>'DOE25'!G97</f>
        <v>7102.74</v>
      </c>
      <c r="F9" s="310" t="s">
        <v>1582</v>
      </c>
    </row>
    <row r="10" spans="1:9" ht="15" x14ac:dyDescent="0.2">
      <c r="A10" s="310" t="s">
        <v>1570</v>
      </c>
      <c r="B10" s="313">
        <f>'DOE25'!G112-'DOE25'!G97</f>
        <v>0</v>
      </c>
      <c r="F10" s="310" t="s">
        <v>1583</v>
      </c>
    </row>
    <row r="11" spans="1:9" ht="15" x14ac:dyDescent="0.2">
      <c r="A11" s="310" t="s">
        <v>1571</v>
      </c>
      <c r="B11" s="313">
        <f>'DOE25'!G140</f>
        <v>9981.66</v>
      </c>
      <c r="F11" s="310" t="s">
        <v>1584</v>
      </c>
    </row>
    <row r="12" spans="1:9" ht="15" x14ac:dyDescent="0.2">
      <c r="A12" s="310" t="s">
        <v>1572</v>
      </c>
      <c r="B12" s="313">
        <f>'DOE25'!G170</f>
        <v>189813.81</v>
      </c>
      <c r="F12" s="310" t="s">
        <v>1585</v>
      </c>
    </row>
    <row r="13" spans="1:9" ht="15" x14ac:dyDescent="0.2">
      <c r="A13" s="310" t="s">
        <v>1573</v>
      </c>
      <c r="B13" s="313">
        <f>'DOE25'!G193-'DOE25'!G180</f>
        <v>0</v>
      </c>
      <c r="F13" s="310" t="s">
        <v>1595</v>
      </c>
    </row>
    <row r="14" spans="1:9" ht="18" x14ac:dyDescent="0.25">
      <c r="A14" s="312" t="s">
        <v>732</v>
      </c>
      <c r="B14" s="314">
        <f>SUM(B9:B13)</f>
        <v>206898.21</v>
      </c>
    </row>
    <row r="16" spans="1:9" ht="18" x14ac:dyDescent="0.25">
      <c r="A16" s="312" t="s">
        <v>786</v>
      </c>
      <c r="F16" s="319" t="s">
        <v>1587</v>
      </c>
    </row>
    <row r="17" spans="1:6" ht="15" x14ac:dyDescent="0.2">
      <c r="A17" s="310" t="s">
        <v>1574</v>
      </c>
      <c r="B17" s="313">
        <f>'DOE25'!L363-'DOE25'!L362</f>
        <v>137290.41</v>
      </c>
      <c r="F17" s="310" t="s">
        <v>1588</v>
      </c>
    </row>
    <row r="18" spans="1:6" ht="15" x14ac:dyDescent="0.2">
      <c r="A18" s="310" t="s">
        <v>1575</v>
      </c>
      <c r="B18" s="323"/>
      <c r="F18" s="319" t="s">
        <v>1612</v>
      </c>
    </row>
    <row r="19" spans="1:6" ht="18" x14ac:dyDescent="0.25">
      <c r="A19" s="312" t="s">
        <v>725</v>
      </c>
      <c r="B19" s="314">
        <f>SUM(B17:B18)</f>
        <v>137290.41</v>
      </c>
    </row>
    <row r="21" spans="1:6" ht="18.75" thickBot="1" x14ac:dyDescent="0.3">
      <c r="A21" s="312" t="s">
        <v>1576</v>
      </c>
    </row>
    <row r="22" spans="1:6" ht="18.75" thickTop="1" x14ac:dyDescent="0.25">
      <c r="A22" s="312" t="s">
        <v>1577</v>
      </c>
      <c r="B22" s="318">
        <f>B14-B19</f>
        <v>69607.799999999988</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69607.800000000017</v>
      </c>
      <c r="F33" s="310" t="s">
        <v>1593</v>
      </c>
    </row>
    <row r="36" spans="1:6" ht="15" x14ac:dyDescent="0.2">
      <c r="A36" s="310" t="s">
        <v>1579</v>
      </c>
      <c r="B36" s="324">
        <v>12102.33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29" sqref="J2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Chesterfield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1546063.24</v>
      </c>
      <c r="C9" s="228">
        <f>'DOE25'!G198+'DOE25'!G216+'DOE25'!G234+'DOE25'!G277+'DOE25'!G296+'DOE25'!G315</f>
        <v>705219.51</v>
      </c>
    </row>
    <row r="10" spans="1:3" x14ac:dyDescent="0.2">
      <c r="A10" t="s">
        <v>775</v>
      </c>
      <c r="B10" s="239">
        <v>1508316.95</v>
      </c>
      <c r="C10" s="239">
        <v>704011.84590064152</v>
      </c>
    </row>
    <row r="11" spans="1:3" x14ac:dyDescent="0.2">
      <c r="A11" t="s">
        <v>776</v>
      </c>
      <c r="B11" s="239">
        <v>2647.58</v>
      </c>
      <c r="C11" s="239">
        <v>1207.6640993584454</v>
      </c>
    </row>
    <row r="12" spans="1:3" x14ac:dyDescent="0.2">
      <c r="A12" t="s">
        <v>777</v>
      </c>
      <c r="B12" s="239">
        <v>35098.71</v>
      </c>
      <c r="C12" s="239"/>
    </row>
    <row r="13" spans="1:3" x14ac:dyDescent="0.2">
      <c r="A13" t="str">
        <f>IF(B9=B13,IF(C9=C13,"Check Total OK","Check Total Error"),"Check Total Error")</f>
        <v>Check Total OK</v>
      </c>
      <c r="B13" s="230">
        <f>SUM(B10:B12)</f>
        <v>1546063.24</v>
      </c>
      <c r="C13" s="230">
        <f>SUM(C10:C12)</f>
        <v>705219.51</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606992.37999999989</v>
      </c>
      <c r="C18" s="228">
        <f>'DOE25'!G199+'DOE25'!G217+'DOE25'!G235+'DOE25'!G278+'DOE25'!G297+'DOE25'!G316</f>
        <v>402636.5</v>
      </c>
    </row>
    <row r="19" spans="1:3" x14ac:dyDescent="0.2">
      <c r="A19" t="s">
        <v>775</v>
      </c>
      <c r="B19" s="239">
        <v>261248.41</v>
      </c>
      <c r="C19" s="239">
        <v>173294.01306976043</v>
      </c>
    </row>
    <row r="20" spans="1:3" x14ac:dyDescent="0.2">
      <c r="A20" t="s">
        <v>776</v>
      </c>
      <c r="B20" s="239">
        <v>345743.97</v>
      </c>
      <c r="C20" s="239">
        <v>229342.48693023954</v>
      </c>
    </row>
    <row r="21" spans="1:3" x14ac:dyDescent="0.2">
      <c r="A21" t="s">
        <v>777</v>
      </c>
      <c r="B21" s="239">
        <v>0</v>
      </c>
      <c r="C21" s="239"/>
    </row>
    <row r="22" spans="1:3" x14ac:dyDescent="0.2">
      <c r="A22" t="str">
        <f>IF(B18=B22,IF(C18=C22,"Check Total OK","Check Total Error"),"Check Total Error")</f>
        <v>Check Total OK</v>
      </c>
      <c r="B22" s="230">
        <f>SUM(B19:B21)</f>
        <v>606992.38</v>
      </c>
      <c r="C22" s="230">
        <f>SUM(C19:C21)</f>
        <v>402636.5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v>0</v>
      </c>
      <c r="C28" s="239">
        <v>0</v>
      </c>
    </row>
    <row r="29" spans="1:3" x14ac:dyDescent="0.2">
      <c r="A29" t="s">
        <v>776</v>
      </c>
      <c r="B29" s="239">
        <v>0</v>
      </c>
      <c r="C29" s="239">
        <v>0</v>
      </c>
    </row>
    <row r="30" spans="1:3" x14ac:dyDescent="0.2">
      <c r="A30" t="s">
        <v>777</v>
      </c>
      <c r="B30" s="239">
        <v>0</v>
      </c>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16909.989999999998</v>
      </c>
      <c r="C36" s="234">
        <f>'DOE25'!G201+'DOE25'!G219+'DOE25'!G237+'DOE25'!G280+'DOE25'!G299+'DOE25'!G318</f>
        <v>3675.7</v>
      </c>
    </row>
    <row r="37" spans="1:3" x14ac:dyDescent="0.2">
      <c r="A37" t="s">
        <v>775</v>
      </c>
      <c r="B37" s="239">
        <v>16639.989999999998</v>
      </c>
      <c r="C37" s="239">
        <v>3617.0104916088062</v>
      </c>
    </row>
    <row r="38" spans="1:3" x14ac:dyDescent="0.2">
      <c r="A38" t="s">
        <v>776</v>
      </c>
      <c r="B38" s="239">
        <v>270</v>
      </c>
      <c r="C38" s="239">
        <v>58.68950839119362</v>
      </c>
    </row>
    <row r="39" spans="1:3" x14ac:dyDescent="0.2">
      <c r="A39" t="s">
        <v>777</v>
      </c>
      <c r="B39" s="239">
        <v>0</v>
      </c>
      <c r="C39" s="239"/>
    </row>
    <row r="40" spans="1:3" x14ac:dyDescent="0.2">
      <c r="A40" t="str">
        <f>IF(B36=B40,IF(C36=C40,"Check Total OK","Check Total Error"),"Check Total Error")</f>
        <v>Check Total OK</v>
      </c>
      <c r="B40" s="230">
        <f>SUM(B37:B39)</f>
        <v>16909.989999999998</v>
      </c>
      <c r="C40" s="230">
        <f>SUM(C37:C39)</f>
        <v>3675.7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Chesterfield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5761299.1999999993</v>
      </c>
      <c r="D5" s="20">
        <f>SUM('DOE25'!L198:L201)+SUM('DOE25'!L216:L219)+SUM('DOE25'!L234:L237)-F5-G5-H5</f>
        <v>5740659.0699999994</v>
      </c>
      <c r="E5" s="242"/>
      <c r="F5" s="243"/>
      <c r="G5" s="53">
        <f>SUM('DOE25'!J198:J201)+SUM('DOE25'!J216:J219)+SUM('DOE25'!J234:J237)</f>
        <v>7479.5000000000009</v>
      </c>
      <c r="H5" s="53">
        <f>SUM('DOE25'!K198:K201)+SUM('DOE25'!K216:K219)+SUM('DOE25'!K234:K237)</f>
        <v>13160.630000000001</v>
      </c>
      <c r="I5" s="255"/>
    </row>
    <row r="6" spans="1:9" x14ac:dyDescent="0.2">
      <c r="A6" s="32">
        <v>2100</v>
      </c>
      <c r="B6" t="s">
        <v>796</v>
      </c>
      <c r="C6" s="274">
        <f t="shared" si="0"/>
        <v>555073.27</v>
      </c>
      <c r="D6" s="20">
        <f>'DOE25'!L203+'DOE25'!L221+'DOE25'!L239-F6-G6-H6</f>
        <v>552789.30000000005</v>
      </c>
      <c r="E6" s="242"/>
      <c r="F6" s="243"/>
      <c r="G6" s="53">
        <f>'DOE25'!J203+'DOE25'!J221+'DOE25'!J239</f>
        <v>2103.9699999999998</v>
      </c>
      <c r="H6" s="53">
        <f>'DOE25'!K203+'DOE25'!K221+'DOE25'!K239</f>
        <v>180</v>
      </c>
      <c r="I6" s="255"/>
    </row>
    <row r="7" spans="1:9" x14ac:dyDescent="0.2">
      <c r="A7" s="32">
        <v>2200</v>
      </c>
      <c r="B7" t="s">
        <v>821</v>
      </c>
      <c r="C7" s="274">
        <f t="shared" si="0"/>
        <v>142078.14000000001</v>
      </c>
      <c r="D7" s="20">
        <f>'DOE25'!L204+'DOE25'!L222+'DOE25'!L240-F7-G7-H7</f>
        <v>141421.14000000001</v>
      </c>
      <c r="E7" s="242"/>
      <c r="F7" s="243"/>
      <c r="G7" s="53">
        <f>'DOE25'!J204+'DOE25'!J222+'DOE25'!J240</f>
        <v>0</v>
      </c>
      <c r="H7" s="53">
        <f>'DOE25'!K204+'DOE25'!K222+'DOE25'!K240</f>
        <v>657</v>
      </c>
      <c r="I7" s="255"/>
    </row>
    <row r="8" spans="1:9" x14ac:dyDescent="0.2">
      <c r="A8" s="32">
        <v>2300</v>
      </c>
      <c r="B8" t="s">
        <v>797</v>
      </c>
      <c r="C8" s="274">
        <f t="shared" si="0"/>
        <v>402629</v>
      </c>
      <c r="D8" s="242"/>
      <c r="E8" s="20">
        <f>'DOE25'!L205+'DOE25'!L223+'DOE25'!L241-F8-G8-H8-D9-D11</f>
        <v>399214.76</v>
      </c>
      <c r="F8" s="243"/>
      <c r="G8" s="53">
        <f>'DOE25'!J205+'DOE25'!J223+'DOE25'!J241</f>
        <v>0</v>
      </c>
      <c r="H8" s="53">
        <f>'DOE25'!K205+'DOE25'!K223+'DOE25'!K241</f>
        <v>3414.24</v>
      </c>
      <c r="I8" s="255"/>
    </row>
    <row r="9" spans="1:9" ht="14.25" x14ac:dyDescent="0.2">
      <c r="A9" s="32">
        <v>2310</v>
      </c>
      <c r="B9" s="184" t="s">
        <v>888</v>
      </c>
      <c r="C9" s="274">
        <f t="shared" si="0"/>
        <v>25496.51</v>
      </c>
      <c r="D9" s="243">
        <v>25496.51</v>
      </c>
      <c r="E9" s="242"/>
      <c r="F9" s="252"/>
      <c r="G9" s="252"/>
      <c r="H9" s="252"/>
      <c r="I9" s="255"/>
    </row>
    <row r="10" spans="1:9" ht="14.25" x14ac:dyDescent="0.2">
      <c r="A10" s="32">
        <v>2317</v>
      </c>
      <c r="B10" s="184" t="s">
        <v>889</v>
      </c>
      <c r="C10" s="274">
        <f t="shared" si="0"/>
        <v>11000</v>
      </c>
      <c r="D10" s="242"/>
      <c r="E10" s="243">
        <v>11000</v>
      </c>
      <c r="F10" s="252"/>
      <c r="G10" s="252"/>
      <c r="H10" s="252"/>
      <c r="I10" s="255"/>
    </row>
    <row r="11" spans="1:9" ht="14.25" x14ac:dyDescent="0.2">
      <c r="A11" s="32">
        <v>2321</v>
      </c>
      <c r="B11" s="184" t="s">
        <v>890</v>
      </c>
      <c r="C11" s="274">
        <f t="shared" si="0"/>
        <v>99887</v>
      </c>
      <c r="D11" s="243">
        <v>99887</v>
      </c>
      <c r="E11" s="242"/>
      <c r="F11" s="252"/>
      <c r="G11" s="252"/>
      <c r="H11" s="252"/>
      <c r="I11" s="255"/>
    </row>
    <row r="12" spans="1:9" x14ac:dyDescent="0.2">
      <c r="A12" s="32">
        <v>2400</v>
      </c>
      <c r="B12" t="s">
        <v>711</v>
      </c>
      <c r="C12" s="274">
        <f t="shared" si="0"/>
        <v>266499.82</v>
      </c>
      <c r="D12" s="20">
        <f>'DOE25'!L206+'DOE25'!L224+'DOE25'!L242-F12-G12-H12</f>
        <v>265939.82</v>
      </c>
      <c r="E12" s="242"/>
      <c r="F12" s="243"/>
      <c r="G12" s="53">
        <f>'DOE25'!J206+'DOE25'!J224+'DOE25'!J242</f>
        <v>0</v>
      </c>
      <c r="H12" s="53">
        <f>'DOE25'!K206+'DOE25'!K224+'DOE25'!K242</f>
        <v>560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436423.28</v>
      </c>
      <c r="D14" s="20">
        <f>'DOE25'!L208+'DOE25'!L226+'DOE25'!L244-F14-G14-H14</f>
        <v>309594.97000000003</v>
      </c>
      <c r="E14" s="242"/>
      <c r="F14" s="243">
        <v>123313</v>
      </c>
      <c r="G14" s="53">
        <f>'DOE25'!J208+'DOE25'!J226+'DOE25'!J244</f>
        <v>3515.31</v>
      </c>
      <c r="H14" s="53">
        <f>'DOE25'!K208+'DOE25'!K226+'DOE25'!K244</f>
        <v>0</v>
      </c>
      <c r="I14" s="255"/>
    </row>
    <row r="15" spans="1:9" x14ac:dyDescent="0.2">
      <c r="A15" s="32">
        <v>2700</v>
      </c>
      <c r="B15" t="s">
        <v>799</v>
      </c>
      <c r="C15" s="274">
        <f t="shared" si="0"/>
        <v>424318.62</v>
      </c>
      <c r="D15" s="20">
        <f>'DOE25'!L209+'DOE25'!L227+'DOE25'!L245-F15-G15-H15</f>
        <v>150321.83999999997</v>
      </c>
      <c r="E15" s="242"/>
      <c r="F15" s="243">
        <v>273996.78000000003</v>
      </c>
      <c r="G15" s="53">
        <f>'DOE25'!J209+'DOE25'!J227+'DOE25'!J245</f>
        <v>0</v>
      </c>
      <c r="H15" s="53">
        <f>'DOE25'!K209+'DOE25'!K227+'DOE25'!K245</f>
        <v>0</v>
      </c>
      <c r="I15" s="255"/>
    </row>
    <row r="16" spans="1:9" x14ac:dyDescent="0.2">
      <c r="A16" s="32">
        <v>2800</v>
      </c>
      <c r="B16" t="s">
        <v>800</v>
      </c>
      <c r="C16" s="274">
        <f t="shared" si="0"/>
        <v>67624</v>
      </c>
      <c r="D16" s="242"/>
      <c r="E16" s="20">
        <f>'DOE25'!L210+'DOE25'!L228+'DOE25'!L246-F16-G16-H16</f>
        <v>32879.03</v>
      </c>
      <c r="F16" s="243"/>
      <c r="G16" s="53">
        <f>'DOE25'!J210+'DOE25'!J228+'DOE25'!J246</f>
        <v>34744.97</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87200</v>
      </c>
      <c r="D22" s="242"/>
      <c r="E22" s="242"/>
      <c r="F22" s="242"/>
      <c r="G22" s="53">
        <f>'DOE25'!L256+'DOE25'!L337</f>
        <v>87200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71794.33</v>
      </c>
      <c r="D29" s="282">
        <f>'DOE25'!L359+'DOE25'!L360+'DOE25'!L361-'DOE25'!I368-F29-G29-H29</f>
        <v>68127.150000000009</v>
      </c>
      <c r="E29" s="242"/>
      <c r="F29" s="243"/>
      <c r="G29" s="53">
        <f>'DOE25'!J359+'DOE25'!J360+'DOE25'!J361</f>
        <v>3667.18</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260481.28999999995</v>
      </c>
      <c r="D31" s="20">
        <f>'DOE25'!L291+'DOE25'!L310+'DOE25'!L329+'DOE25'!L334+'DOE25'!L335+'DOE25'!L336-F31-G31-H31</f>
        <v>149521.27999999994</v>
      </c>
      <c r="E31" s="242"/>
      <c r="F31" s="243"/>
      <c r="G31" s="53">
        <f>'DOE25'!J291+'DOE25'!J310+'DOE25'!J329+'DOE25'!J334+'DOE25'!J335+'DOE25'!J336</f>
        <v>98843.49</v>
      </c>
      <c r="H31" s="53">
        <f>'DOE25'!K291+'DOE25'!K310+'DOE25'!K329+'DOE25'!K334+'DOE25'!K335+'DOE25'!K336</f>
        <v>12116.52</v>
      </c>
      <c r="I31" s="255"/>
    </row>
    <row r="32" spans="1:9" ht="12" thickBot="1" x14ac:dyDescent="0.25">
      <c r="C32" s="275"/>
      <c r="G32" s="250"/>
      <c r="H32" s="250"/>
      <c r="I32" s="257"/>
    </row>
    <row r="33" spans="1:9" ht="12" thickTop="1" x14ac:dyDescent="0.2">
      <c r="B33" t="s">
        <v>809</v>
      </c>
      <c r="D33" s="244">
        <f t="shared" ref="D33:I33" si="1">SUM(D5:D31)</f>
        <v>7503758.0799999991</v>
      </c>
      <c r="E33" s="244">
        <f t="shared" si="1"/>
        <v>443093.79000000004</v>
      </c>
      <c r="F33" s="244">
        <f t="shared" si="1"/>
        <v>397309.78</v>
      </c>
      <c r="G33" s="244">
        <f t="shared" si="1"/>
        <v>237554.41999999998</v>
      </c>
      <c r="H33" s="244">
        <f t="shared" si="1"/>
        <v>30088.390000000003</v>
      </c>
      <c r="I33" s="244">
        <f t="shared" si="1"/>
        <v>0</v>
      </c>
    </row>
    <row r="35" spans="1:9" ht="12" thickBot="1" x14ac:dyDescent="0.25">
      <c r="B35" s="250" t="s">
        <v>831</v>
      </c>
      <c r="D35" s="251">
        <f>E33</f>
        <v>443093.79000000004</v>
      </c>
      <c r="E35" s="247"/>
      <c r="F35" s="328" t="s">
        <v>1617</v>
      </c>
      <c r="G35" s="329"/>
      <c r="H35" s="329"/>
      <c r="I35" s="329"/>
    </row>
    <row r="36" spans="1:9" ht="12" thickTop="1" x14ac:dyDescent="0.2">
      <c r="B36" t="s">
        <v>810</v>
      </c>
      <c r="D36" s="20">
        <f>D33</f>
        <v>7503758.0799999991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K14" sqref="K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Chesterfield</v>
      </c>
      <c r="B2" s="126">
        <f>'DOE25'!B2</f>
        <v>95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6147366.1399999997</v>
      </c>
      <c r="G4" s="299">
        <f>'DOE25'!L212+'DOE25'!L291</f>
        <v>6147366.1399999997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Chesterfield Central School</v>
      </c>
      <c r="B6" s="300">
        <f>IFERROR(VLOOKUP(A6,'School Tables'!$C$3:$D$365,2,FALSE),"")</f>
        <v>21140</v>
      </c>
      <c r="C6" s="293" t="str">
        <f>IFERROR(INDEX('School Tables'!$B$3:$B$365,MATCH('School Level Expenditures'!B6,'School Tables'!$D$3:$D$365,0)),"")</f>
        <v>Chesterfield</v>
      </c>
      <c r="D6" s="290">
        <v>5896591.1200000001</v>
      </c>
      <c r="E6" s="290">
        <v>250775.02</v>
      </c>
      <c r="F6" s="303">
        <f t="shared" ref="F6:F20" si="0">D6+E6</f>
        <v>6147366.1399999997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5896591.1200000001</v>
      </c>
      <c r="E21" s="338">
        <f>SUM(E5:E20)</f>
        <v>250775.02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v>0</v>
      </c>
      <c r="E25" s="290">
        <v>0</v>
      </c>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2294443.9900000002</v>
      </c>
      <c r="G36" s="299">
        <f>'DOE25'!L248+'DOE25'!L329</f>
        <v>2294443.9899999998</v>
      </c>
      <c r="H36" s="340">
        <f>F36-G36</f>
        <v>0</v>
      </c>
      <c r="I36" s="383" t="str">
        <f>IF(H36=0,"","ISSUES!! Please review page 9 and 13 totals in comparison with total on this page")</f>
        <v/>
      </c>
      <c r="N36"/>
    </row>
    <row r="37" spans="1:14" x14ac:dyDescent="0.2">
      <c r="A37" s="126" t="s">
        <v>1548</v>
      </c>
      <c r="B37" s="300">
        <v>99999</v>
      </c>
      <c r="C37" s="293" t="s">
        <v>1548</v>
      </c>
      <c r="D37" s="290">
        <v>2294443.9900000002</v>
      </c>
      <c r="E37" s="290"/>
      <c r="F37" s="303">
        <f t="shared" ref="F37:F42" si="2">D37+E37</f>
        <v>2294443.9900000002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2294443.9900000002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Chesterfield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1007650.59</v>
      </c>
      <c r="D8" s="95">
        <f>'DOE25'!G9</f>
        <v>20922.82</v>
      </c>
      <c r="E8" s="95">
        <f>'DOE25'!H9</f>
        <v>34031.269999999997</v>
      </c>
      <c r="F8" s="95">
        <f>'DOE25'!I9</f>
        <v>0</v>
      </c>
      <c r="G8" s="95">
        <f>'DOE25'!J9</f>
        <v>455117.75</v>
      </c>
      <c r="H8" s="124">
        <f>SUM(C8:G8)</f>
        <v>1517722.43</v>
      </c>
      <c r="I8" s="124"/>
    </row>
    <row r="9" spans="1:9" x14ac:dyDescent="0.2">
      <c r="A9" s="1" t="s">
        <v>140</v>
      </c>
      <c r="B9" s="6">
        <v>110</v>
      </c>
      <c r="C9" s="95">
        <f>'DOE25'!F10</f>
        <v>59523.66</v>
      </c>
      <c r="D9" s="95">
        <f>'DOE25'!G10</f>
        <v>0</v>
      </c>
      <c r="E9" s="95">
        <f>'DOE25'!H10</f>
        <v>0</v>
      </c>
      <c r="F9" s="95">
        <f>'DOE25'!I10</f>
        <v>0</v>
      </c>
      <c r="G9" s="95">
        <f>'DOE25'!J10</f>
        <v>0</v>
      </c>
      <c r="H9" s="124">
        <f t="shared" ref="H9:H18" si="0">SUM(C9:G9)</f>
        <v>59523.66</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39125.410000000003</v>
      </c>
      <c r="D11" s="95">
        <f>'DOE25'!G12</f>
        <v>0</v>
      </c>
      <c r="E11" s="95">
        <f>'DOE25'!H12</f>
        <v>0</v>
      </c>
      <c r="F11" s="95">
        <f>'DOE25'!I12</f>
        <v>0</v>
      </c>
      <c r="G11" s="95">
        <f>'DOE25'!J12</f>
        <v>0</v>
      </c>
      <c r="H11" s="124">
        <f t="shared" si="0"/>
        <v>39125.410000000003</v>
      </c>
      <c r="I11" s="124"/>
    </row>
    <row r="12" spans="1:9" x14ac:dyDescent="0.2">
      <c r="A12" s="1" t="s">
        <v>143</v>
      </c>
      <c r="B12" s="6">
        <v>140</v>
      </c>
      <c r="C12" s="95">
        <f>'DOE25'!F13</f>
        <v>125453.99</v>
      </c>
      <c r="D12" s="95">
        <f>'DOE25'!G13</f>
        <v>53564.5</v>
      </c>
      <c r="E12" s="95">
        <f>'DOE25'!H13</f>
        <v>50587.64</v>
      </c>
      <c r="F12" s="95">
        <f>'DOE25'!I13</f>
        <v>0</v>
      </c>
      <c r="G12" s="95">
        <f>'DOE25'!J13</f>
        <v>0</v>
      </c>
      <c r="H12" s="124">
        <f t="shared" si="0"/>
        <v>229606.13</v>
      </c>
      <c r="I12" s="124"/>
    </row>
    <row r="13" spans="1:9" x14ac:dyDescent="0.2">
      <c r="A13" s="1" t="s">
        <v>144</v>
      </c>
      <c r="B13" s="6">
        <v>150</v>
      </c>
      <c r="C13" s="95">
        <f>'DOE25'!F14</f>
        <v>200.54</v>
      </c>
      <c r="D13" s="95">
        <f>'DOE25'!G14</f>
        <v>169.88</v>
      </c>
      <c r="E13" s="95">
        <f>'DOE25'!H14</f>
        <v>0</v>
      </c>
      <c r="F13" s="95">
        <f>'DOE25'!I14</f>
        <v>0</v>
      </c>
      <c r="G13" s="95">
        <f>'DOE25'!J14</f>
        <v>0</v>
      </c>
      <c r="H13" s="124">
        <f t="shared" si="0"/>
        <v>370.41999999999996</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1231954.19</v>
      </c>
      <c r="D18" s="41">
        <f>SUM(D8:D17)</f>
        <v>74657.200000000012</v>
      </c>
      <c r="E18" s="41">
        <f>SUM(E8:E17)</f>
        <v>84618.91</v>
      </c>
      <c r="F18" s="41">
        <f>SUM(F8:F17)</f>
        <v>0</v>
      </c>
      <c r="G18" s="41">
        <f>SUM(G8:G17)</f>
        <v>455117.75</v>
      </c>
      <c r="H18" s="41">
        <f t="shared" si="0"/>
        <v>1846348.0499999998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39125.410000000003</v>
      </c>
      <c r="F21" s="95">
        <f>'DOE25'!I22</f>
        <v>0</v>
      </c>
      <c r="G21" s="95">
        <f>'DOE25'!J22</f>
        <v>0</v>
      </c>
      <c r="H21" s="124">
        <f t="shared" ref="H21:H31" si="1">SUM(C21:G21)</f>
        <v>39125.410000000003</v>
      </c>
      <c r="I21" s="124"/>
    </row>
    <row r="22" spans="1:9" x14ac:dyDescent="0.2">
      <c r="A22" s="1" t="s">
        <v>151</v>
      </c>
      <c r="B22" s="6">
        <v>410</v>
      </c>
      <c r="C22" s="95">
        <f>'DOE25'!F23</f>
        <v>3779.38</v>
      </c>
      <c r="D22" s="95">
        <f>'DOE25'!G23</f>
        <v>0</v>
      </c>
      <c r="E22" s="95">
        <f>'DOE25'!H23</f>
        <v>370.72</v>
      </c>
      <c r="F22" s="95">
        <f>'DOE25'!I23</f>
        <v>0</v>
      </c>
      <c r="G22" s="95">
        <f>'DOE25'!J23</f>
        <v>0</v>
      </c>
      <c r="H22" s="124">
        <f t="shared" si="1"/>
        <v>4150.1000000000004</v>
      </c>
      <c r="I22" s="124"/>
    </row>
    <row r="23" spans="1:9" x14ac:dyDescent="0.2">
      <c r="A23" s="1" t="s">
        <v>152</v>
      </c>
      <c r="B23" s="6">
        <v>420</v>
      </c>
      <c r="C23" s="95">
        <f>'DOE25'!F24</f>
        <v>50848.17</v>
      </c>
      <c r="D23" s="95">
        <f>'DOE25'!G24</f>
        <v>0</v>
      </c>
      <c r="E23" s="95">
        <f>'DOE25'!H24</f>
        <v>11091.51</v>
      </c>
      <c r="F23" s="95">
        <f>'DOE25'!I24</f>
        <v>0</v>
      </c>
      <c r="G23" s="95">
        <f>'DOE25'!J24</f>
        <v>0</v>
      </c>
      <c r="H23" s="124">
        <f t="shared" si="1"/>
        <v>61939.68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4104.2700000000004</v>
      </c>
      <c r="D27" s="95">
        <f>'DOE25'!G28</f>
        <v>161.4</v>
      </c>
      <c r="E27" s="95">
        <f>'DOE25'!H28</f>
        <v>0</v>
      </c>
      <c r="F27" s="95">
        <f>'DOE25'!I28</f>
        <v>0</v>
      </c>
      <c r="G27" s="24" t="s">
        <v>288</v>
      </c>
      <c r="H27" s="124">
        <f t="shared" si="1"/>
        <v>4265.67</v>
      </c>
      <c r="I27" s="124"/>
    </row>
    <row r="28" spans="1:9" x14ac:dyDescent="0.2">
      <c r="A28" s="1" t="s">
        <v>157</v>
      </c>
      <c r="B28" s="6">
        <v>470</v>
      </c>
      <c r="C28" s="95">
        <f>'DOE25'!F29</f>
        <v>115801.5</v>
      </c>
      <c r="D28" s="95">
        <f>'DOE25'!G29</f>
        <v>0</v>
      </c>
      <c r="E28" s="95">
        <f>'DOE25'!H29</f>
        <v>0</v>
      </c>
      <c r="F28" s="95">
        <f>'DOE25'!I29</f>
        <v>0</v>
      </c>
      <c r="G28" s="24" t="s">
        <v>288</v>
      </c>
      <c r="H28" s="124">
        <f t="shared" si="1"/>
        <v>115801.5</v>
      </c>
      <c r="I28" s="124"/>
    </row>
    <row r="29" spans="1:9" x14ac:dyDescent="0.2">
      <c r="A29" s="1" t="s">
        <v>158</v>
      </c>
      <c r="B29" s="6">
        <v>480</v>
      </c>
      <c r="C29" s="95">
        <f>'DOE25'!F30</f>
        <v>631170</v>
      </c>
      <c r="D29" s="95">
        <f>'DOE25'!G30</f>
        <v>4888</v>
      </c>
      <c r="E29" s="95">
        <f>'DOE25'!H30</f>
        <v>0</v>
      </c>
      <c r="F29" s="95">
        <f>'DOE25'!I30</f>
        <v>0</v>
      </c>
      <c r="G29" s="24" t="s">
        <v>288</v>
      </c>
      <c r="H29" s="124">
        <f t="shared" si="1"/>
        <v>636058</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805703.32000000007</v>
      </c>
      <c r="D31" s="41">
        <f>SUM(D21:D30)</f>
        <v>5049.3999999999996</v>
      </c>
      <c r="E31" s="41">
        <f>SUM(E21:E30)</f>
        <v>50587.640000000007</v>
      </c>
      <c r="F31" s="41">
        <f>SUM(F21:F30)</f>
        <v>0</v>
      </c>
      <c r="G31" s="41">
        <f>SUM(G21:G30)</f>
        <v>0</v>
      </c>
      <c r="H31" s="41">
        <f t="shared" si="1"/>
        <v>861340.3600000001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69607.8</v>
      </c>
      <c r="E36" s="95">
        <f>'DOE25'!H37</f>
        <v>34031.269999999997</v>
      </c>
      <c r="F36" s="95">
        <f>'DOE25'!I37</f>
        <v>0</v>
      </c>
      <c r="G36" s="95">
        <f>'DOE25'!J37</f>
        <v>0</v>
      </c>
      <c r="H36" s="124">
        <f t="shared" si="2"/>
        <v>103639.07</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-1126.25</v>
      </c>
      <c r="F47" s="95">
        <f>'DOE25'!I48</f>
        <v>0</v>
      </c>
      <c r="G47" s="95">
        <f>'DOE25'!J48</f>
        <v>455117.75</v>
      </c>
      <c r="H47" s="124">
        <f t="shared" si="2"/>
        <v>453991.5</v>
      </c>
      <c r="I47" s="124"/>
    </row>
    <row r="48" spans="1:9" x14ac:dyDescent="0.2">
      <c r="A48" s="1" t="s">
        <v>882</v>
      </c>
      <c r="B48" s="6">
        <v>753</v>
      </c>
      <c r="C48" s="95">
        <f>'DOE25'!F49</f>
        <v>27481.85</v>
      </c>
      <c r="D48" s="95">
        <f>'DOE25'!G49</f>
        <v>0</v>
      </c>
      <c r="E48" s="95">
        <f>'DOE25'!H49</f>
        <v>1126.25</v>
      </c>
      <c r="F48" s="95">
        <f>'DOE25'!I49</f>
        <v>0</v>
      </c>
      <c r="G48" s="95">
        <f>'DOE25'!J49</f>
        <v>0</v>
      </c>
      <c r="H48" s="124">
        <f t="shared" si="2"/>
        <v>28608.1</v>
      </c>
      <c r="I48" s="124"/>
    </row>
    <row r="49" spans="1:9" ht="12" thickBot="1" x14ac:dyDescent="0.25">
      <c r="A49" s="29" t="s">
        <v>883</v>
      </c>
      <c r="B49" s="71">
        <v>770</v>
      </c>
      <c r="C49" s="95">
        <f>'DOE25'!F50</f>
        <v>398769.02</v>
      </c>
      <c r="D49" s="24" t="s">
        <v>288</v>
      </c>
      <c r="E49" s="24" t="s">
        <v>288</v>
      </c>
      <c r="F49" s="24" t="s">
        <v>288</v>
      </c>
      <c r="G49" s="24" t="s">
        <v>288</v>
      </c>
      <c r="H49" s="124">
        <f t="shared" si="2"/>
        <v>398769.02</v>
      </c>
      <c r="I49" s="124"/>
    </row>
    <row r="50" spans="1:9" ht="12.75" thickTop="1" thickBot="1" x14ac:dyDescent="0.25">
      <c r="A50" s="38" t="s">
        <v>884</v>
      </c>
      <c r="B50" s="48"/>
      <c r="C50" s="41">
        <f>SUM(C34:C49)</f>
        <v>426250.87</v>
      </c>
      <c r="D50" s="41">
        <f>SUM(D34:D49)</f>
        <v>69607.8</v>
      </c>
      <c r="E50" s="41">
        <f>SUM(E34:E49)</f>
        <v>34031.269999999997</v>
      </c>
      <c r="F50" s="41">
        <f>SUM(F34:F49)</f>
        <v>0</v>
      </c>
      <c r="G50" s="41">
        <f>SUM(G34:G49)</f>
        <v>455117.75</v>
      </c>
      <c r="H50" s="41">
        <f t="shared" si="2"/>
        <v>985007.69</v>
      </c>
      <c r="I50" s="124"/>
    </row>
    <row r="51" spans="1:9" ht="12" thickTop="1" x14ac:dyDescent="0.2">
      <c r="A51" s="38" t="s">
        <v>885</v>
      </c>
      <c r="B51" s="2"/>
      <c r="C51" s="41">
        <f>C50+C31</f>
        <v>1231954.19</v>
      </c>
      <c r="D51" s="41">
        <f>D50+D31</f>
        <v>74657.2</v>
      </c>
      <c r="E51" s="41">
        <f>E50+E31</f>
        <v>84618.91</v>
      </c>
      <c r="F51" s="41">
        <f>F50+F31</f>
        <v>0</v>
      </c>
      <c r="G51" s="41">
        <f>G50+G31</f>
        <v>455117.75</v>
      </c>
      <c r="H51" s="41">
        <f t="shared" si="2"/>
        <v>1846348.0499999998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5893426</v>
      </c>
      <c r="D56" s="95">
        <f>'DOE25'!G60</f>
        <v>0</v>
      </c>
      <c r="E56" s="95">
        <f>'DOE25'!H60</f>
        <v>0</v>
      </c>
      <c r="F56" s="95">
        <f>'DOE25'!I60</f>
        <v>0</v>
      </c>
      <c r="G56" s="95">
        <f>'DOE25'!J60</f>
        <v>0</v>
      </c>
      <c r="H56" s="124">
        <f t="shared" ref="H56:H63" si="3">SUM(C56:G56)</f>
        <v>5893426</v>
      </c>
      <c r="I56"/>
    </row>
    <row r="57" spans="1:9" x14ac:dyDescent="0.2">
      <c r="A57" s="1" t="s">
        <v>164</v>
      </c>
      <c r="B57" s="6" t="s">
        <v>165</v>
      </c>
      <c r="C57" s="95">
        <f>'DOE25'!F79</f>
        <v>3000</v>
      </c>
      <c r="D57" s="24" t="s">
        <v>288</v>
      </c>
      <c r="E57" s="95">
        <f>'DOE25'!H79</f>
        <v>0</v>
      </c>
      <c r="F57" s="24" t="s">
        <v>288</v>
      </c>
      <c r="G57" s="24" t="s">
        <v>288</v>
      </c>
      <c r="H57" s="124">
        <f t="shared" si="3"/>
        <v>3000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1357.2</v>
      </c>
      <c r="D59" s="95">
        <f>'DOE25'!G96</f>
        <v>0</v>
      </c>
      <c r="E59" s="95">
        <f>'DOE25'!H96</f>
        <v>0</v>
      </c>
      <c r="F59" s="95">
        <f>'DOE25'!I96</f>
        <v>0</v>
      </c>
      <c r="G59" s="95">
        <f>'DOE25'!J96</f>
        <v>409.07</v>
      </c>
      <c r="H59" s="124">
        <f t="shared" si="3"/>
        <v>1766.27</v>
      </c>
      <c r="I59"/>
    </row>
    <row r="60" spans="1:9" x14ac:dyDescent="0.2">
      <c r="A60" s="1" t="s">
        <v>170</v>
      </c>
      <c r="B60" s="118" t="s">
        <v>171</v>
      </c>
      <c r="C60" s="24" t="s">
        <v>288</v>
      </c>
      <c r="D60" s="95">
        <f>'DOE25'!G97</f>
        <v>7102.74</v>
      </c>
      <c r="E60" s="24" t="s">
        <v>288</v>
      </c>
      <c r="F60" s="24" t="s">
        <v>288</v>
      </c>
      <c r="G60" s="24" t="s">
        <v>288</v>
      </c>
      <c r="H60" s="124">
        <f t="shared" si="3"/>
        <v>7102.74</v>
      </c>
      <c r="I60"/>
    </row>
    <row r="61" spans="1:9" ht="12" thickBot="1" x14ac:dyDescent="0.25">
      <c r="A61" s="1" t="s">
        <v>172</v>
      </c>
      <c r="B61" s="118" t="s">
        <v>173</v>
      </c>
      <c r="C61" s="95">
        <f>SUM('DOE25'!F98:F110)</f>
        <v>208289.75999999998</v>
      </c>
      <c r="D61" s="95">
        <f>SUM('DOE25'!G98:G110)</f>
        <v>0</v>
      </c>
      <c r="E61" s="95">
        <f>SUM('DOE25'!H98:H110)</f>
        <v>37109</v>
      </c>
      <c r="F61" s="95">
        <f>SUM('DOE25'!I98:I110)</f>
        <v>0</v>
      </c>
      <c r="G61" s="95">
        <f>SUM('DOE25'!J98:J110)</f>
        <v>0</v>
      </c>
      <c r="H61" s="124">
        <f t="shared" si="3"/>
        <v>245398.75999999998</v>
      </c>
      <c r="I61"/>
    </row>
    <row r="62" spans="1:9" ht="12.75" thickTop="1" thickBot="1" x14ac:dyDescent="0.25">
      <c r="A62" s="29" t="s">
        <v>174</v>
      </c>
      <c r="B62" s="6"/>
      <c r="C62" s="130">
        <f>SUM(C57:C61)</f>
        <v>212646.96</v>
      </c>
      <c r="D62" s="130">
        <f>SUM(D57:D61)</f>
        <v>7102.74</v>
      </c>
      <c r="E62" s="130">
        <f>SUM(E57:E61)</f>
        <v>37109</v>
      </c>
      <c r="F62" s="130">
        <f>SUM(F57:F61)</f>
        <v>0</v>
      </c>
      <c r="G62" s="130">
        <f>SUM(G57:G61)</f>
        <v>409.07</v>
      </c>
      <c r="H62" s="124">
        <f t="shared" si="3"/>
        <v>257267.77</v>
      </c>
      <c r="I62"/>
    </row>
    <row r="63" spans="1:9" ht="12" thickTop="1" x14ac:dyDescent="0.2">
      <c r="A63" s="29" t="s">
        <v>175</v>
      </c>
      <c r="B63" s="6"/>
      <c r="C63" s="22">
        <f>C56+C62</f>
        <v>6106072.96</v>
      </c>
      <c r="D63" s="22">
        <f>D56+D62</f>
        <v>7102.74</v>
      </c>
      <c r="E63" s="22">
        <f>E56+E62</f>
        <v>37109</v>
      </c>
      <c r="F63" s="22">
        <f>F56+F62</f>
        <v>0</v>
      </c>
      <c r="G63" s="22">
        <f>G56+G62</f>
        <v>409.07</v>
      </c>
      <c r="H63" s="124">
        <f t="shared" si="3"/>
        <v>6150693.7700000005</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937966.82</v>
      </c>
      <c r="D66" s="24" t="s">
        <v>288</v>
      </c>
      <c r="E66" s="24" t="s">
        <v>288</v>
      </c>
      <c r="F66" s="24" t="s">
        <v>288</v>
      </c>
      <c r="G66" s="24" t="s">
        <v>288</v>
      </c>
      <c r="H66" s="124">
        <f t="shared" ref="H66:H81" si="4">SUM(C66:G66)</f>
        <v>937966.82</v>
      </c>
      <c r="I66"/>
    </row>
    <row r="67" spans="1:9" x14ac:dyDescent="0.2">
      <c r="A67" s="1" t="s">
        <v>770</v>
      </c>
      <c r="B67" s="6">
        <v>3112</v>
      </c>
      <c r="C67" s="95">
        <f>'DOE25'!F118</f>
        <v>1100265</v>
      </c>
      <c r="D67" s="24"/>
      <c r="E67" s="24"/>
      <c r="F67" s="24"/>
      <c r="G67" s="24"/>
      <c r="H67" s="124">
        <f t="shared" si="4"/>
        <v>1100265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6531.92</v>
      </c>
      <c r="D69" s="95">
        <f>'DOE25'!G120</f>
        <v>0</v>
      </c>
      <c r="E69" s="95">
        <f>'DOE25'!H120</f>
        <v>0</v>
      </c>
      <c r="F69" s="95">
        <f>'DOE25'!I120</f>
        <v>0</v>
      </c>
      <c r="G69" s="95">
        <f>'DOE25'!J120</f>
        <v>0</v>
      </c>
      <c r="H69" s="124">
        <f t="shared" si="4"/>
        <v>6531.92</v>
      </c>
      <c r="I69"/>
    </row>
    <row r="70" spans="1:9" ht="12" thickTop="1" x14ac:dyDescent="0.2">
      <c r="A70" s="29" t="s">
        <v>252</v>
      </c>
      <c r="B70" s="2"/>
      <c r="C70" s="139">
        <f>SUM(C66:C69)</f>
        <v>2044763.7399999998</v>
      </c>
      <c r="D70" s="139">
        <f>D69</f>
        <v>0</v>
      </c>
      <c r="E70" s="139">
        <f>E69</f>
        <v>0</v>
      </c>
      <c r="F70" s="139">
        <f>F69</f>
        <v>0</v>
      </c>
      <c r="G70" s="139">
        <f>G69</f>
        <v>0</v>
      </c>
      <c r="H70" s="124">
        <f t="shared" si="4"/>
        <v>2044763.7399999998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5012.8900000000003</v>
      </c>
      <c r="D75" s="24" t="s">
        <v>288</v>
      </c>
      <c r="E75" s="24" t="s">
        <v>288</v>
      </c>
      <c r="F75" s="24" t="s">
        <v>288</v>
      </c>
      <c r="G75" s="24" t="s">
        <v>288</v>
      </c>
      <c r="H75" s="124">
        <f t="shared" si="4"/>
        <v>5012.8900000000003</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9981.66</v>
      </c>
      <c r="E77" s="95">
        <f>SUM('DOE25'!H131:H135)</f>
        <v>0</v>
      </c>
      <c r="F77" s="95">
        <f>SUM('DOE25'!I131:I135)</f>
        <v>0</v>
      </c>
      <c r="G77" s="95">
        <f>SUM('DOE25'!J131:J135)</f>
        <v>0</v>
      </c>
      <c r="H77" s="124">
        <f t="shared" si="4"/>
        <v>9981.66</v>
      </c>
      <c r="I77"/>
    </row>
    <row r="78" spans="1:9" ht="12.75" thickTop="1" thickBot="1" x14ac:dyDescent="0.25">
      <c r="A78" s="29" t="s">
        <v>259</v>
      </c>
      <c r="B78" s="6"/>
      <c r="C78" s="130">
        <f>SUM(C72:C77)</f>
        <v>5012.8900000000003</v>
      </c>
      <c r="D78" s="130">
        <f>SUM(D72:D77)</f>
        <v>9981.66</v>
      </c>
      <c r="E78" s="130">
        <f>SUM(E72:E77)</f>
        <v>0</v>
      </c>
      <c r="F78" s="130">
        <f>SUM(F72:F77)</f>
        <v>0</v>
      </c>
      <c r="G78" s="130">
        <f>SUM(G72:G77)</f>
        <v>0</v>
      </c>
      <c r="H78" s="124">
        <f t="shared" si="4"/>
        <v>14994.55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2049776.6299999997</v>
      </c>
      <c r="D81" s="130">
        <f>SUM(D79:D80)+D78+D70</f>
        <v>9981.66</v>
      </c>
      <c r="E81" s="130">
        <f>SUM(E79:E80)+E78+E70</f>
        <v>0</v>
      </c>
      <c r="F81" s="130">
        <f>SUM(F79:F80)+F78+F70</f>
        <v>0</v>
      </c>
      <c r="G81" s="130">
        <f>SUM(G79:G80)+G78+G70</f>
        <v>0</v>
      </c>
      <c r="H81" s="130">
        <f t="shared" si="4"/>
        <v>2059758.2899999996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19035.82</v>
      </c>
      <c r="F87" s="95">
        <f>SUM('DOE25'!I149:I152)</f>
        <v>0</v>
      </c>
      <c r="G87" s="24" t="s">
        <v>288</v>
      </c>
      <c r="H87" s="124">
        <f t="shared" si="5"/>
        <v>19035.82</v>
      </c>
    </row>
    <row r="88" spans="1:9" x14ac:dyDescent="0.2">
      <c r="A88" s="287" t="s">
        <v>747</v>
      </c>
      <c r="B88" s="325" t="s">
        <v>184</v>
      </c>
      <c r="C88" s="326">
        <f>SUM('DOE25'!F153:F162)</f>
        <v>17367.650000000001</v>
      </c>
      <c r="D88" s="326">
        <f>SUM('DOE25'!G153:G162)</f>
        <v>189813.81</v>
      </c>
      <c r="E88" s="326">
        <f>SUM('DOE25'!H153:H162)</f>
        <v>231739.2</v>
      </c>
      <c r="F88" s="326">
        <f>SUM('DOE25'!I153:I162)</f>
        <v>0</v>
      </c>
      <c r="G88" s="24" t="s">
        <v>288</v>
      </c>
      <c r="H88" s="124">
        <f t="shared" si="5"/>
        <v>438920.66000000003</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17367.650000000001</v>
      </c>
      <c r="D91" s="131">
        <f>SUM(D85:D90)</f>
        <v>189813.81</v>
      </c>
      <c r="E91" s="131">
        <f>SUM(E85:E90)</f>
        <v>250775.02000000002</v>
      </c>
      <c r="F91" s="131">
        <f>SUM(F85:F90)</f>
        <v>0</v>
      </c>
      <c r="G91" s="24" t="s">
        <v>288</v>
      </c>
      <c r="H91" s="124">
        <f t="shared" si="5"/>
        <v>457956.48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15000</v>
      </c>
      <c r="H96" s="124">
        <f t="shared" si="5"/>
        <v>15000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87200</v>
      </c>
      <c r="D99" s="95">
        <f>'DOE25'!G186</f>
        <v>0</v>
      </c>
      <c r="E99" s="95">
        <f>'DOE25'!H186</f>
        <v>0</v>
      </c>
      <c r="F99" s="95">
        <f>'DOE25'!I186</f>
        <v>0</v>
      </c>
      <c r="G99" s="24" t="s">
        <v>288</v>
      </c>
      <c r="H99" s="124">
        <f t="shared" si="5"/>
        <v>87200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87200</v>
      </c>
      <c r="D103" s="86">
        <f>SUM(D93:D102)</f>
        <v>0</v>
      </c>
      <c r="E103" s="86">
        <f>SUM(E93:E102)</f>
        <v>0</v>
      </c>
      <c r="F103" s="86">
        <f>SUM(F93:F102)</f>
        <v>0</v>
      </c>
      <c r="G103" s="86">
        <f>SUM(G93:G102)</f>
        <v>15000</v>
      </c>
      <c r="H103" s="86">
        <f t="shared" si="5"/>
        <v>102200</v>
      </c>
    </row>
    <row r="104" spans="1:8" ht="12.75" thickTop="1" thickBot="1" x14ac:dyDescent="0.25">
      <c r="A104" s="33" t="s">
        <v>761</v>
      </c>
      <c r="C104" s="86">
        <f>C63+C81+C91+C103</f>
        <v>8260417.2400000002</v>
      </c>
      <c r="D104" s="86">
        <f>D63+D81+D91+D103</f>
        <v>206898.21</v>
      </c>
      <c r="E104" s="86">
        <f>E63+E81+E91+E103</f>
        <v>287884.02</v>
      </c>
      <c r="F104" s="86">
        <f>F63+F81+F91+F103</f>
        <v>0</v>
      </c>
      <c r="G104" s="86">
        <f>G63+G81+G103</f>
        <v>15409.07</v>
      </c>
      <c r="H104" s="86">
        <f t="shared" si="5"/>
        <v>8770608.540000001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4078533.6499999994</v>
      </c>
      <c r="D109" s="24" t="s">
        <v>288</v>
      </c>
      <c r="E109" s="95">
        <f>('DOE25'!L277)+('DOE25'!L296)+('DOE25'!L315)</f>
        <v>96314.19</v>
      </c>
      <c r="F109" s="24" t="s">
        <v>288</v>
      </c>
      <c r="G109" s="24" t="s">
        <v>288</v>
      </c>
      <c r="H109" s="124">
        <f t="shared" ref="H109:H115" si="6">SUM(C109:G109)</f>
        <v>4174847.8399999994</v>
      </c>
    </row>
    <row r="110" spans="1:8" x14ac:dyDescent="0.2">
      <c r="A110" t="s">
        <v>198</v>
      </c>
      <c r="B110" s="32" t="s">
        <v>199</v>
      </c>
      <c r="C110" s="95">
        <f>('DOE25'!L199)+('DOE25'!L217)+('DOE25'!L235)</f>
        <v>1629105.46</v>
      </c>
      <c r="D110" s="24" t="s">
        <v>288</v>
      </c>
      <c r="E110" s="95">
        <f>('DOE25'!L278)+('DOE25'!L297)+('DOE25'!L316)</f>
        <v>55324.42</v>
      </c>
      <c r="F110" s="24" t="s">
        <v>288</v>
      </c>
      <c r="G110" s="24" t="s">
        <v>288</v>
      </c>
      <c r="H110" s="124">
        <f t="shared" si="6"/>
        <v>1684429.88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53660.090000000004</v>
      </c>
      <c r="D112" s="24" t="s">
        <v>288</v>
      </c>
      <c r="E112" s="95">
        <f>+('DOE25'!L280)+('DOE25'!L299)+('DOE25'!L318)</f>
        <v>13612.36</v>
      </c>
      <c r="F112" s="24" t="s">
        <v>288</v>
      </c>
      <c r="G112" s="24" t="s">
        <v>288</v>
      </c>
      <c r="H112" s="124">
        <f t="shared" si="6"/>
        <v>67272.450000000012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5761299.1999999993</v>
      </c>
      <c r="D115" s="86">
        <f>SUM(D109:D114)</f>
        <v>0</v>
      </c>
      <c r="E115" s="86">
        <f>SUM(E109:E114)</f>
        <v>165250.96999999997</v>
      </c>
      <c r="F115" s="86">
        <f>SUM(F109:F114)</f>
        <v>0</v>
      </c>
      <c r="G115" s="86">
        <f>SUM(G109:G114)</f>
        <v>0</v>
      </c>
      <c r="H115" s="86">
        <f t="shared" si="6"/>
        <v>5926550.169999999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555073.27</v>
      </c>
      <c r="D118" s="24" t="s">
        <v>288</v>
      </c>
      <c r="E118" s="95">
        <f>+('DOE25'!L282)+('DOE25'!L301)+('DOE25'!L320)</f>
        <v>62363.12</v>
      </c>
      <c r="F118" s="24" t="s">
        <v>288</v>
      </c>
      <c r="G118" s="24" t="s">
        <v>288</v>
      </c>
      <c r="H118" s="124">
        <f t="shared" ref="H118:H145" si="7">SUM(C118:G118)</f>
        <v>617436.39</v>
      </c>
    </row>
    <row r="119" spans="1:8" x14ac:dyDescent="0.2">
      <c r="A119" t="s">
        <v>208</v>
      </c>
      <c r="B119" s="32" t="s">
        <v>209</v>
      </c>
      <c r="C119" s="95">
        <f>('DOE25'!L204)+('DOE25'!L222)+('DOE25'!L240)</f>
        <v>142078.14000000001</v>
      </c>
      <c r="D119" s="24" t="s">
        <v>288</v>
      </c>
      <c r="E119" s="95">
        <f>+('DOE25'!L283)+('DOE25'!L302)+('DOE25'!L321)</f>
        <v>13487.5</v>
      </c>
      <c r="F119" s="24" t="s">
        <v>288</v>
      </c>
      <c r="G119" s="24" t="s">
        <v>288</v>
      </c>
      <c r="H119" s="124">
        <f t="shared" si="7"/>
        <v>155565.64000000001</v>
      </c>
    </row>
    <row r="120" spans="1:8" x14ac:dyDescent="0.2">
      <c r="A120" t="s">
        <v>210</v>
      </c>
      <c r="B120" s="32" t="s">
        <v>211</v>
      </c>
      <c r="C120" s="95">
        <f>('DOE25'!L205)+('DOE25'!L223)+('DOE25'!L241)</f>
        <v>528012.51</v>
      </c>
      <c r="D120" s="24" t="s">
        <v>288</v>
      </c>
      <c r="E120" s="95">
        <f>+('DOE25'!L284)+('DOE25'!L303)+('DOE25'!L322)</f>
        <v>6079.52</v>
      </c>
      <c r="F120" s="24" t="s">
        <v>288</v>
      </c>
      <c r="G120" s="24" t="s">
        <v>288</v>
      </c>
      <c r="H120" s="124">
        <f t="shared" si="7"/>
        <v>534092.03</v>
      </c>
    </row>
    <row r="121" spans="1:8" x14ac:dyDescent="0.2">
      <c r="A121" t="s">
        <v>212</v>
      </c>
      <c r="B121" s="32" t="s">
        <v>213</v>
      </c>
      <c r="C121" s="95">
        <f>('DOE25'!L206)+('DOE25'!L224)+('DOE25'!L242)</f>
        <v>266499.82</v>
      </c>
      <c r="D121" s="24" t="s">
        <v>288</v>
      </c>
      <c r="E121" s="95">
        <f>+('DOE25'!L285)+('DOE25'!L304)+('DOE25'!L323)</f>
        <v>0</v>
      </c>
      <c r="F121" s="24" t="s">
        <v>288</v>
      </c>
      <c r="G121" s="24" t="s">
        <v>288</v>
      </c>
      <c r="H121" s="124">
        <f t="shared" si="7"/>
        <v>266499.82</v>
      </c>
    </row>
    <row r="122" spans="1:8" x14ac:dyDescent="0.2">
      <c r="A122" t="s">
        <v>214</v>
      </c>
      <c r="B122" s="32" t="s">
        <v>215</v>
      </c>
      <c r="C122" s="95">
        <f>('DOE25'!L207)+('DOE25'!L225)+('DOE25'!L243)</f>
        <v>0</v>
      </c>
      <c r="D122" s="24" t="s">
        <v>288</v>
      </c>
      <c r="E122" s="95">
        <f>+('DOE25'!L286)+('DOE25'!L305)+('DOE25'!L324)</f>
        <v>10747.050000000001</v>
      </c>
      <c r="F122" s="24" t="s">
        <v>288</v>
      </c>
      <c r="G122" s="24" t="s">
        <v>288</v>
      </c>
      <c r="H122" s="124">
        <f t="shared" si="7"/>
        <v>10747.050000000001</v>
      </c>
    </row>
    <row r="123" spans="1:8" x14ac:dyDescent="0.2">
      <c r="A123" t="s">
        <v>216</v>
      </c>
      <c r="B123" s="32" t="s">
        <v>217</v>
      </c>
      <c r="C123" s="95">
        <f>('DOE25'!L208)+('DOE25'!L226)+('DOE25'!L244)</f>
        <v>436423.28</v>
      </c>
      <c r="D123" s="24" t="s">
        <v>288</v>
      </c>
      <c r="E123" s="95">
        <f>+('DOE25'!L287)+('DOE25'!L306)+('DOE25'!L325)</f>
        <v>1053.1300000000001</v>
      </c>
      <c r="F123" s="24" t="s">
        <v>288</v>
      </c>
      <c r="G123" s="24" t="s">
        <v>288</v>
      </c>
      <c r="H123" s="124">
        <f t="shared" si="7"/>
        <v>437476.41000000003</v>
      </c>
    </row>
    <row r="124" spans="1:8" x14ac:dyDescent="0.2">
      <c r="A124" t="s">
        <v>218</v>
      </c>
      <c r="B124" s="32" t="s">
        <v>219</v>
      </c>
      <c r="C124" s="95">
        <f>('DOE25'!L209)+('DOE25'!L227)+('DOE25'!L245+'DOE25'!L255)</f>
        <v>424318.62</v>
      </c>
      <c r="D124" s="24" t="s">
        <v>288</v>
      </c>
      <c r="E124" s="95">
        <f>+('DOE25'!L288)+('DOE25'!L307)+('DOE25'!L326)</f>
        <v>1000</v>
      </c>
      <c r="F124" s="24" t="s">
        <v>288</v>
      </c>
      <c r="G124" s="24" t="s">
        <v>288</v>
      </c>
      <c r="H124" s="124">
        <f t="shared" si="7"/>
        <v>425318.62</v>
      </c>
    </row>
    <row r="125" spans="1:8" x14ac:dyDescent="0.2">
      <c r="A125" t="s">
        <v>220</v>
      </c>
      <c r="B125" s="32" t="s">
        <v>221</v>
      </c>
      <c r="C125" s="95">
        <f>('DOE25'!L210)+('DOE25'!L228)+('DOE25'!L246)</f>
        <v>67624</v>
      </c>
      <c r="D125" s="24" t="s">
        <v>288</v>
      </c>
      <c r="E125" s="95">
        <f>+('DOE25'!L289)+('DOE25'!L308)+('DOE25'!L327)</f>
        <v>500</v>
      </c>
      <c r="F125" s="24" t="s">
        <v>288</v>
      </c>
      <c r="G125" s="24" t="s">
        <v>288</v>
      </c>
      <c r="H125" s="124">
        <f t="shared" si="7"/>
        <v>68124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137290.41</v>
      </c>
      <c r="E127" s="24" t="s">
        <v>288</v>
      </c>
      <c r="F127" s="24" t="s">
        <v>288</v>
      </c>
      <c r="G127" s="24" t="s">
        <v>288</v>
      </c>
      <c r="H127" s="124">
        <f t="shared" si="7"/>
        <v>137290.41</v>
      </c>
    </row>
    <row r="128" spans="1:8" ht="12.75" thickTop="1" thickBot="1" x14ac:dyDescent="0.25">
      <c r="A128" s="33" t="s">
        <v>226</v>
      </c>
      <c r="C128" s="86">
        <f>SUM(C118:C127)</f>
        <v>2420029.64</v>
      </c>
      <c r="D128" s="86">
        <f>SUM(D118:D127)</f>
        <v>137290.41</v>
      </c>
      <c r="E128" s="86">
        <f>SUM(E118:E127)</f>
        <v>95230.32</v>
      </c>
      <c r="F128" s="86">
        <f>SUM(F118:F127)</f>
        <v>0</v>
      </c>
      <c r="G128" s="86">
        <f>SUM(G118:G127)</f>
        <v>0</v>
      </c>
      <c r="H128" s="86">
        <f t="shared" si="7"/>
        <v>2652550.37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87200</v>
      </c>
      <c r="D130" s="24" t="s">
        <v>288</v>
      </c>
      <c r="E130" s="129">
        <f>'DOE25'!L337</f>
        <v>0</v>
      </c>
      <c r="F130" s="129">
        <f>SUM('DOE25'!L375:'DOE25'!L381)</f>
        <v>0</v>
      </c>
      <c r="G130" s="24" t="s">
        <v>288</v>
      </c>
      <c r="H130" s="124">
        <f t="shared" si="7"/>
        <v>87200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10229.89</v>
      </c>
      <c r="D138" s="24" t="s">
        <v>288</v>
      </c>
      <c r="E138" s="24" t="s">
        <v>288</v>
      </c>
      <c r="F138" s="24" t="s">
        <v>288</v>
      </c>
      <c r="G138" s="24" t="s">
        <v>288</v>
      </c>
      <c r="H138" s="124">
        <f t="shared" si="7"/>
        <v>10229.89</v>
      </c>
    </row>
    <row r="139" spans="1:8" x14ac:dyDescent="0.2">
      <c r="A139" t="s">
        <v>239</v>
      </c>
      <c r="B139" s="32">
        <v>5252</v>
      </c>
      <c r="C139" s="95">
        <f>'DOE25'!L402</f>
        <v>5179.18</v>
      </c>
      <c r="D139" s="24" t="s">
        <v>288</v>
      </c>
      <c r="E139" s="24" t="s">
        <v>288</v>
      </c>
      <c r="F139" s="24" t="s">
        <v>288</v>
      </c>
      <c r="G139" s="24" t="s">
        <v>288</v>
      </c>
      <c r="H139" s="124">
        <f t="shared" si="7"/>
        <v>5179.18</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-409.06999999999971</v>
      </c>
      <c r="D141" s="24" t="s">
        <v>288</v>
      </c>
      <c r="E141" s="24" t="s">
        <v>288</v>
      </c>
      <c r="F141" s="24" t="s">
        <v>288</v>
      </c>
      <c r="G141" s="24" t="s">
        <v>288</v>
      </c>
      <c r="H141" s="124">
        <f t="shared" si="7"/>
        <v>-409.06999999999971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102200</v>
      </c>
      <c r="D144" s="141">
        <f>SUM(D130:D143)</f>
        <v>0</v>
      </c>
      <c r="E144" s="141">
        <f>SUM(E130:E143)</f>
        <v>0</v>
      </c>
      <c r="F144" s="141">
        <f>SUM(F130:F143)</f>
        <v>0</v>
      </c>
      <c r="G144" s="141">
        <f>SUM(G130:G143)</f>
        <v>0</v>
      </c>
      <c r="H144" s="141">
        <f t="shared" si="7"/>
        <v>102200</v>
      </c>
    </row>
    <row r="145" spans="1:9" ht="12.75" thickTop="1" thickBot="1" x14ac:dyDescent="0.25">
      <c r="A145" s="33" t="s">
        <v>244</v>
      </c>
      <c r="C145" s="86">
        <f>(C115+C128+C144)</f>
        <v>8283528.8399999999</v>
      </c>
      <c r="D145" s="86">
        <f>(D115+D128+D144)</f>
        <v>137290.41</v>
      </c>
      <c r="E145" s="86">
        <f>(E115+E128+E144)</f>
        <v>260481.28999999998</v>
      </c>
      <c r="F145" s="86">
        <f>(F115+F128+F144)</f>
        <v>0</v>
      </c>
      <c r="G145" s="86">
        <f>(G115+G128+G144)</f>
        <v>0</v>
      </c>
      <c r="H145" s="86">
        <f t="shared" si="7"/>
        <v>8681300.5399999991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R51" sqref="R5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Chesterfield</v>
      </c>
    </row>
    <row r="3" spans="1:4" x14ac:dyDescent="0.2">
      <c r="B3" s="187" t="s">
        <v>1799</v>
      </c>
    </row>
    <row r="4" spans="1:4" x14ac:dyDescent="0.2">
      <c r="B4" t="s">
        <v>61</v>
      </c>
      <c r="C4" s="178">
        <f>IF('DOE25'!F666+'DOE25'!F671=0,0,ROUND('DOE25'!F673,0))</f>
        <v>20635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20635</v>
      </c>
    </row>
    <row r="9" spans="1:4" x14ac:dyDescent="0.2">
      <c r="A9" s="186" t="s">
        <v>94</v>
      </c>
      <c r="B9" s="187" t="s">
        <v>1800</v>
      </c>
      <c r="C9" s="180" t="s">
        <v>720</v>
      </c>
      <c r="D9" s="180" t="s">
        <v>721</v>
      </c>
    </row>
    <row r="10" spans="1:4" x14ac:dyDescent="0.2">
      <c r="A10">
        <v>1100</v>
      </c>
      <c r="B10" t="s">
        <v>702</v>
      </c>
      <c r="C10" s="178">
        <f>ROUND('DOE25'!L198+'DOE25'!L216+'DOE25'!L234+'DOE25'!L277+'DOE25'!L296+'DOE25'!L315,0)</f>
        <v>4174848</v>
      </c>
      <c r="D10" s="181">
        <f>ROUND((C10/$C$28)*100,1)</f>
        <v>48.7</v>
      </c>
    </row>
    <row r="11" spans="1:4" x14ac:dyDescent="0.2">
      <c r="A11">
        <v>1200</v>
      </c>
      <c r="B11" t="s">
        <v>703</v>
      </c>
      <c r="C11" s="178">
        <f>ROUND('DOE25'!L199+'DOE25'!L217+'DOE25'!L235+'DOE25'!L278+'DOE25'!L297+'DOE25'!L316,0)</f>
        <v>1684430</v>
      </c>
      <c r="D11" s="181">
        <f>ROUND((C11/$C$28)*100,1)</f>
        <v>19.7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67272</v>
      </c>
      <c r="D13" s="181">
        <f>ROUND((C13/$C$28)*100,1)</f>
        <v>0.8</v>
      </c>
    </row>
    <row r="14" spans="1:4" x14ac:dyDescent="0.2">
      <c r="D14" s="181"/>
    </row>
    <row r="15" spans="1:4" x14ac:dyDescent="0.2">
      <c r="A15">
        <v>2100</v>
      </c>
      <c r="B15" t="s">
        <v>706</v>
      </c>
      <c r="C15" s="178">
        <f>ROUND('DOE25'!L203+'DOE25'!L221+'DOE25'!L239+'DOE25'!L282+'DOE25'!L301+'DOE25'!L320,0)</f>
        <v>617436</v>
      </c>
      <c r="D15" s="181">
        <f t="shared" ref="D15:D27" si="0">ROUND((C15/$C$28)*100,1)</f>
        <v>7.2</v>
      </c>
    </row>
    <row r="16" spans="1:4" x14ac:dyDescent="0.2">
      <c r="A16">
        <v>2200</v>
      </c>
      <c r="B16" t="s">
        <v>707</v>
      </c>
      <c r="C16" s="178">
        <f>ROUND('DOE25'!L204+'DOE25'!L222+'DOE25'!L240+'DOE25'!L283+'DOE25'!L302+'DOE25'!L321,0)</f>
        <v>155566</v>
      </c>
      <c r="D16" s="181">
        <f t="shared" si="0"/>
        <v>1.8</v>
      </c>
    </row>
    <row r="17" spans="1:4" x14ac:dyDescent="0.2">
      <c r="A17" s="182" t="s">
        <v>723</v>
      </c>
      <c r="B17" t="s">
        <v>738</v>
      </c>
      <c r="C17" s="178">
        <f>ROUND('DOE25'!L205+'DOE25'!L210+'DOE25'!L223+'DOE25'!L228+'DOE25'!L241+'DOE25'!L246+'DOE25'!L284+'DOE25'!L289+'DOE25'!L303+'DOE25'!L308+'DOE25'!L322+'DOE25'!L327,0)</f>
        <v>602216</v>
      </c>
      <c r="D17" s="181">
        <f t="shared" si="0"/>
        <v>7</v>
      </c>
    </row>
    <row r="18" spans="1:4" x14ac:dyDescent="0.2">
      <c r="A18">
        <v>2400</v>
      </c>
      <c r="B18" t="s">
        <v>711</v>
      </c>
      <c r="C18" s="178">
        <f>ROUND('DOE25'!L206+'DOE25'!L224+'DOE25'!L242+'DOE25'!L285+'DOE25'!L304+'DOE25'!L323,0)</f>
        <v>266500</v>
      </c>
      <c r="D18" s="181">
        <f t="shared" si="0"/>
        <v>3.1</v>
      </c>
    </row>
    <row r="19" spans="1:4" x14ac:dyDescent="0.2">
      <c r="A19">
        <v>2500</v>
      </c>
      <c r="B19" t="s">
        <v>708</v>
      </c>
      <c r="C19" s="178">
        <f>ROUND('DOE25'!L207+'DOE25'!L225+'DOE25'!L243+'DOE25'!L286+'DOE25'!L305+'DOE25'!L324,0)</f>
        <v>10747</v>
      </c>
      <c r="D19" s="181">
        <f t="shared" si="0"/>
        <v>0.1</v>
      </c>
    </row>
    <row r="20" spans="1:4" x14ac:dyDescent="0.2">
      <c r="A20">
        <v>2600</v>
      </c>
      <c r="B20" t="s">
        <v>709</v>
      </c>
      <c r="C20" s="178">
        <f>ROUND('DOE25'!L208+'DOE25'!L226+'DOE25'!L244+'DOE25'!L287+'DOE25'!L306+'DOE25'!L325,0)</f>
        <v>437476</v>
      </c>
      <c r="D20" s="181">
        <f t="shared" si="0"/>
        <v>5.0999999999999996</v>
      </c>
    </row>
    <row r="21" spans="1:4" x14ac:dyDescent="0.2">
      <c r="A21">
        <v>2700</v>
      </c>
      <c r="B21" t="s">
        <v>710</v>
      </c>
      <c r="C21" s="178">
        <f>ROUND('DOE25'!L209+'DOE25'!L227+'DOE25'!L245+'DOE25'!L288+'DOE25'!L307+'DOE25'!L326,0)</f>
        <v>425319</v>
      </c>
      <c r="D21" s="181">
        <f t="shared" si="0"/>
        <v>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130187.26</v>
      </c>
      <c r="D27" s="181">
        <f t="shared" si="0"/>
        <v>1.5</v>
      </c>
    </row>
    <row r="28" spans="1:4" x14ac:dyDescent="0.2">
      <c r="B28" s="186" t="s">
        <v>719</v>
      </c>
      <c r="C28" s="179">
        <f>SUM(C10:C27)</f>
        <v>8571997.2599999998</v>
      </c>
      <c r="D28" s="183">
        <f>ROUND(SUM(D10:D27),0)</f>
        <v>100</v>
      </c>
    </row>
    <row r="29" spans="1:4" x14ac:dyDescent="0.2">
      <c r="A29">
        <v>4000</v>
      </c>
      <c r="B29" t="s">
        <v>724</v>
      </c>
      <c r="C29" s="178">
        <f>ROUND('DOE25'!L256+'DOE25'!L337+'DOE25'!L375+'DOE25'!L376+'DOE25'!L377+'DOE25'!L378+'DOE25'!L379+'DOE25'!L380+'DOE25'!L381,0)</f>
        <v>87200</v>
      </c>
    </row>
    <row r="30" spans="1:4" x14ac:dyDescent="0.2">
      <c r="B30" s="186" t="s">
        <v>725</v>
      </c>
      <c r="C30" s="179">
        <f>SUM(C28:C29)</f>
        <v>8659197.2599999998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5893426</v>
      </c>
      <c r="D35" s="181">
        <f t="shared" ref="D35:D40" si="1">ROUND((C35/$C$41)*100,1)</f>
        <v>68</v>
      </c>
    </row>
    <row r="36" spans="1:4" x14ac:dyDescent="0.2">
      <c r="B36" s="184" t="s">
        <v>739</v>
      </c>
      <c r="C36" s="178">
        <f>SUM('DOE25'!F112:J112)-SUM('DOE25'!G97:G110)+('DOE25'!F175+'DOE25'!F176+'DOE25'!I175+'DOE25'!I176)-C35</f>
        <v>250165.03000000026</v>
      </c>
      <c r="D36" s="181">
        <f t="shared" si="1"/>
        <v>2.9</v>
      </c>
    </row>
    <row r="37" spans="1:4" x14ac:dyDescent="0.2">
      <c r="A37" s="182" t="s">
        <v>835</v>
      </c>
      <c r="B37" s="184" t="s">
        <v>728</v>
      </c>
      <c r="C37" s="178">
        <f>ROUND('DOE25'!F117+'DOE25'!F118,0)</f>
        <v>2038232</v>
      </c>
      <c r="D37" s="181">
        <f t="shared" si="1"/>
        <v>23.5</v>
      </c>
    </row>
    <row r="38" spans="1:4" x14ac:dyDescent="0.2">
      <c r="A38" s="182" t="s">
        <v>734</v>
      </c>
      <c r="B38" s="184" t="s">
        <v>729</v>
      </c>
      <c r="C38" s="178">
        <f>ROUND(SUM('DOE25'!F140:J140)-SUM('DOE25'!F117:F119),0)</f>
        <v>21526</v>
      </c>
      <c r="D38" s="181">
        <f t="shared" si="1"/>
        <v>0.2</v>
      </c>
    </row>
    <row r="39" spans="1:4" x14ac:dyDescent="0.2">
      <c r="A39">
        <v>4000</v>
      </c>
      <c r="B39" s="184" t="s">
        <v>730</v>
      </c>
      <c r="C39" s="178">
        <f>ROUND('DOE25'!F170+'DOE25'!G170+'DOE25'!H170+'DOE25'!I170,0)</f>
        <v>457956</v>
      </c>
      <c r="D39" s="181">
        <f t="shared" si="1"/>
        <v>5.3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8661305.0300000012</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1" sqref="C41:M41"/>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Chesterfield</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v>3</v>
      </c>
      <c r="B4" s="218">
        <v>5</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45</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f>IF('School Level Expenditures'!$B$2=A48,'School Tables'!H48,"")</f>
        <v>45</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2022-12-28T12:52:26Z</dcterms:modified>
</cp:coreProperties>
</file>