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99799A82-92E1-4CF2-A296-7DBCBB58CD55}"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27" i="1" l="1"/>
  <c r="H534" i="1" l="1"/>
  <c r="H532" i="1"/>
  <c r="F15" i="13"/>
  <c r="J469" i="1"/>
  <c r="J466" i="1"/>
  <c r="G399" i="1"/>
  <c r="J180" i="1"/>
  <c r="G440" i="1"/>
  <c r="H241" i="1"/>
  <c r="H235" i="1"/>
  <c r="H234" i="1"/>
  <c r="H209" i="1"/>
  <c r="H205" i="1"/>
  <c r="G205" i="1"/>
  <c r="F205" i="1"/>
  <c r="H203" i="1"/>
  <c r="H198" i="1"/>
  <c r="F50" i="1"/>
  <c r="H135" i="2"/>
  <c r="H136" i="2"/>
  <c r="H137" i="2"/>
  <c r="H138" i="2"/>
  <c r="H140" i="2"/>
  <c r="H143" i="2"/>
  <c r="H132" i="2"/>
  <c r="H131" i="2"/>
  <c r="H127" i="2"/>
  <c r="H119" i="2"/>
  <c r="H121" i="2"/>
  <c r="H122" i="2"/>
  <c r="H123" i="2"/>
  <c r="H125" i="2"/>
  <c r="H111" i="2"/>
  <c r="H112" i="2"/>
  <c r="H113" i="2"/>
  <c r="H114" i="2"/>
  <c r="H97" i="2"/>
  <c r="H98" i="2"/>
  <c r="H99" i="2"/>
  <c r="H101" i="2"/>
  <c r="H102" i="2"/>
  <c r="H94" i="2"/>
  <c r="H93" i="2"/>
  <c r="H88" i="2"/>
  <c r="H89" i="2"/>
  <c r="H90" i="2"/>
  <c r="H91" i="2"/>
  <c r="H87" i="2"/>
  <c r="H85" i="2"/>
  <c r="H73" i="2"/>
  <c r="H74" i="2"/>
  <c r="H75" i="2"/>
  <c r="H76" i="2"/>
  <c r="H77" i="2"/>
  <c r="H78" i="2"/>
  <c r="H79" i="2"/>
  <c r="H80" i="2"/>
  <c r="H72" i="2"/>
  <c r="H69" i="2"/>
  <c r="H57" i="2"/>
  <c r="H58" i="2"/>
  <c r="H60" i="2"/>
  <c r="H61" i="2"/>
  <c r="H48" i="2"/>
  <c r="H43" i="2"/>
  <c r="H44" i="2"/>
  <c r="H45" i="2"/>
  <c r="H42" i="2"/>
  <c r="H40" i="2"/>
  <c r="H39" i="2"/>
  <c r="H38" i="2"/>
  <c r="H36" i="2"/>
  <c r="H35" i="2"/>
  <c r="H34" i="2"/>
  <c r="H22" i="2"/>
  <c r="H24" i="2"/>
  <c r="H25" i="2"/>
  <c r="H26" i="2"/>
  <c r="H27" i="2"/>
  <c r="H28" i="2"/>
  <c r="H29" i="2"/>
  <c r="H30" i="2"/>
  <c r="H21" i="2"/>
  <c r="H9" i="2"/>
  <c r="H10" i="2"/>
  <c r="H11" i="2"/>
  <c r="H13" i="2"/>
  <c r="H14" i="2"/>
  <c r="H15"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H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G62" i="2" s="1"/>
  <c r="H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H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C61" i="2"/>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C110" i="2"/>
  <c r="H110" i="2" s="1"/>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J652" i="1" l="1"/>
  <c r="H8" i="2"/>
  <c r="D6" i="13"/>
  <c r="C6" i="13" s="1"/>
  <c r="E119" i="2"/>
  <c r="H409" i="1"/>
  <c r="H645" i="1" s="1"/>
  <c r="G339" i="1"/>
  <c r="G353" i="1" s="1"/>
  <c r="J258" i="1"/>
  <c r="J272" i="1" s="1"/>
  <c r="E123" i="2"/>
  <c r="E110" i="2"/>
  <c r="K339" i="1"/>
  <c r="K353" i="1" s="1"/>
  <c r="J656" i="1"/>
  <c r="J572" i="1"/>
  <c r="D50" i="2"/>
  <c r="E131" i="2"/>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F661" i="1" s="1"/>
  <c r="H648" i="1"/>
  <c r="J645" i="1"/>
  <c r="G626" i="1"/>
  <c r="L530" i="1"/>
  <c r="H546" i="1"/>
  <c r="G164" i="2"/>
  <c r="G161" i="2"/>
  <c r="G157" i="2"/>
  <c r="G156" i="2"/>
  <c r="G81" i="2"/>
  <c r="C78" i="2"/>
  <c r="C81" i="2" s="1"/>
  <c r="H81"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E115" i="2" s="1"/>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H124" i="2" s="1"/>
  <c r="C122" i="2"/>
  <c r="C118" i="2"/>
  <c r="H118" i="2" s="1"/>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H50" i="2"/>
  <c r="H18" i="2"/>
  <c r="G144" i="2"/>
  <c r="G145" i="2" s="1"/>
  <c r="H134" i="2"/>
  <c r="F194" i="1"/>
  <c r="F144" i="2"/>
  <c r="H130" i="2"/>
  <c r="H661" i="1"/>
  <c r="H665" i="1" s="1"/>
  <c r="H668" i="1" s="1"/>
  <c r="H194" i="1"/>
  <c r="G630" i="1" s="1"/>
  <c r="J630" i="1" s="1"/>
  <c r="H649" i="1"/>
  <c r="J649" i="1" s="1"/>
  <c r="C14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51" i="2" l="1"/>
  <c r="C144" i="2"/>
  <c r="H144"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<sst xmlns="http://schemas.openxmlformats.org/spreadsheetml/2006/main" count="6529" uniqueCount="1802">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</sst>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I660" sqref="I66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1775</v>
      </c>
      <c r="B2" s="126">
        <f>INDEX('School Tables'!$AH$3:$AH$208,MATCH('DOE25'!A2,'School Tables'!$AJ$3:$AJ$208,0))</f>
        <v>103</v>
      </c>
      <c r="C2" s="126">
        <f>INDEX('School Tables'!$AI$3:$AI$208,MATCH('DOE25'!A2,'School Tables'!$AJ$3:$AJ$208,0))</f>
        <v>103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21391.89</v>
      </c>
      <c r="G9" s="18"/>
      <c r="H9" s="18"/>
      <c r="I9" s="18"/>
      <c r="J9" s="67">
        <f>SUM(I440)</f>
        <v>62932.93</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13000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21391.89</v>
      </c>
      <c r="G19" s="41">
        <f>SUM(G9:G18)</f>
        <v>0</v>
      </c>
      <c r="H19" s="41">
        <f>SUM(H9:H18)</f>
        <v>0</v>
      </c>
      <c r="I19" s="41">
        <f>SUM(I9:I18)</f>
        <v>0</v>
      </c>
      <c r="J19" s="41">
        <f>SUM(J9:J18)</f>
        <v>75932.929999999993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18697.32</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18697.32</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75932.929999999993</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1775.08+919.49</f>
        <v>2694.5699999999997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2694.5699999999997</v>
      </c>
      <c r="G51" s="41">
        <f>SUM(G35:G50)</f>
        <v>0</v>
      </c>
      <c r="H51" s="41">
        <f>SUM(H35:H50)</f>
        <v>0</v>
      </c>
      <c r="I51" s="41">
        <f>SUM(I35:I50)</f>
        <v>0</v>
      </c>
      <c r="J51" s="41">
        <f>SUM(J35:J50)</f>
        <v>75932.929999999993</v>
      </c>
      <c r="K51" s="45" t="s">
        <v>288</v>
      </c>
      <c r="L51" s="45" t="s">
        <v>288</v>
      </c>
      <c r="N51" s="263"/>
    </row>
    <row r="52" spans="1:14" s="3" customFormat="1" ht="12.2" customHeight="1" thickTop="1" x14ac:dyDescent="0.15">
      <c r="A52" s="38" t="s">
        <v>455</v>
      </c>
      <c r="B52" s="39" t="s">
        <v>289</v>
      </c>
      <c r="C52" s="6">
        <v>37</v>
      </c>
      <c r="D52" s="39" t="s">
        <v>653</v>
      </c>
      <c r="E52" s="39"/>
      <c r="F52" s="41">
        <f>F51+F32</f>
        <v>21391.89</v>
      </c>
      <c r="G52" s="41">
        <f>G51+G32</f>
        <v>0</v>
      </c>
      <c r="H52" s="41">
        <f>H51+H32</f>
        <v>0</v>
      </c>
      <c r="I52" s="41">
        <f>I51+I32</f>
        <v>0</v>
      </c>
      <c r="J52" s="41">
        <f>J51+J32</f>
        <v>75932.929999999993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402392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402392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v>871.1</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871.1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402392</v>
      </c>
      <c r="G112" s="41">
        <f>G60+G111</f>
        <v>0</v>
      </c>
      <c r="H112" s="41">
        <f>H60+H79+H94+H111</f>
        <v>0</v>
      </c>
      <c r="I112" s="41">
        <f>I60+I111</f>
        <v>0</v>
      </c>
      <c r="J112" s="41">
        <f>J60+J111</f>
        <v>871.1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85838.9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95947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181785.9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181785.9</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f>13000</f>
        <v>13000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13000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24000</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24000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24000</v>
      </c>
      <c r="G193" s="41">
        <f>G184+SUM(G189:G192)</f>
        <v>0</v>
      </c>
      <c r="H193" s="41">
        <f>+H184+SUM(H189:H192)</f>
        <v>0</v>
      </c>
      <c r="I193" s="41">
        <f>I178+I184+SUM(I189:I192)</f>
        <v>0</v>
      </c>
      <c r="J193" s="41">
        <f>J184</f>
        <v>13000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608177.9</v>
      </c>
      <c r="G194" s="47">
        <f>G112+G140+G170+G193</f>
        <v>0</v>
      </c>
      <c r="H194" s="47">
        <f>H112+H140+H170+H193</f>
        <v>0</v>
      </c>
      <c r="I194" s="47">
        <f>I112+I140+I170+I193</f>
        <v>0</v>
      </c>
      <c r="J194" s="47">
        <f>J112+J140+J193</f>
        <v>13871.1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f>282942.24</f>
        <v>282942.24</v>
      </c>
      <c r="I198" s="18"/>
      <c r="J198" s="18"/>
      <c r="K198" s="18"/>
      <c r="L198" s="19">
        <f>SUM(F198:K198)</f>
        <v>282942.24</v>
      </c>
      <c r="M198" s="8"/>
      <c r="N198" s="265"/>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f>4845.39</f>
        <v>4845.3900000000003</v>
      </c>
      <c r="I203" s="18"/>
      <c r="J203" s="18"/>
      <c r="K203" s="18"/>
      <c r="L203" s="19">
        <f t="shared" ref="L203:L209" si="0">SUM(F203:K203)</f>
        <v>4845.3900000000003</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f>1828.12</f>
        <v>1828.12</v>
      </c>
      <c r="G205" s="18">
        <f>379.87</f>
        <v>379.87</v>
      </c>
      <c r="H205" s="18">
        <f>25824.52+1084.5</f>
        <v>26909.02</v>
      </c>
      <c r="I205" s="18">
        <v>23.07</v>
      </c>
      <c r="J205" s="18"/>
      <c r="K205" s="18">
        <v>1126.6600000000001</v>
      </c>
      <c r="L205" s="19">
        <f t="shared" si="0"/>
        <v>30266.74</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f>29033.5</f>
        <v>29033.5</v>
      </c>
      <c r="I209" s="18"/>
      <c r="J209" s="18"/>
      <c r="K209" s="18"/>
      <c r="L209" s="19">
        <f t="shared" si="0"/>
        <v>29033.5</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1828.12</v>
      </c>
      <c r="G212" s="41">
        <f t="shared" si="1"/>
        <v>379.87</v>
      </c>
      <c r="H212" s="41">
        <f t="shared" si="1"/>
        <v>343730.15</v>
      </c>
      <c r="I212" s="41">
        <f t="shared" si="1"/>
        <v>23.07</v>
      </c>
      <c r="J212" s="41">
        <f t="shared" si="1"/>
        <v>0</v>
      </c>
      <c r="K212" s="41">
        <f t="shared" si="1"/>
        <v>1126.6600000000001</v>
      </c>
      <c r="L212" s="41">
        <f t="shared" si="1"/>
        <v>347087.87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f>187590.44</f>
        <v>187590.44</v>
      </c>
      <c r="I234" s="18"/>
      <c r="J234" s="18"/>
      <c r="K234" s="18"/>
      <c r="L234" s="19">
        <f>SUM(F234:K234)</f>
        <v>187590.44</v>
      </c>
      <c r="M234" s="8"/>
      <c r="N234" s="265"/>
    </row>
    <row r="235" spans="1:14" s="3" customFormat="1" ht="12.2" customHeight="1" x14ac:dyDescent="0.15">
      <c r="A235" s="1" t="s">
        <v>439</v>
      </c>
      <c r="B235" s="2" t="s">
        <v>350</v>
      </c>
      <c r="C235" s="2" t="s">
        <v>291</v>
      </c>
      <c r="D235" s="2" t="s">
        <v>431</v>
      </c>
      <c r="E235" s="6">
        <v>1200</v>
      </c>
      <c r="F235" s="18"/>
      <c r="G235" s="18"/>
      <c r="H235" s="18">
        <f>19732.46</f>
        <v>19732.46</v>
      </c>
      <c r="I235" s="18"/>
      <c r="J235" s="18"/>
      <c r="K235" s="18"/>
      <c r="L235" s="19">
        <f>SUM(F235:K235)</f>
        <v>19732.46</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1781.37</v>
      </c>
      <c r="I239" s="18"/>
      <c r="J239" s="18">
        <v>152.5</v>
      </c>
      <c r="K239" s="18"/>
      <c r="L239" s="19">
        <f t="shared" ref="L239:L245" si="4">SUM(F239:K239)</f>
        <v>1933.87</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984.38</v>
      </c>
      <c r="G241" s="18">
        <v>235.31</v>
      </c>
      <c r="H241" s="18">
        <f>12246.81+751</f>
        <v>12997.81</v>
      </c>
      <c r="I241" s="18">
        <v>168.9</v>
      </c>
      <c r="J241" s="18"/>
      <c r="K241" s="18">
        <v>1151.0999999999999</v>
      </c>
      <c r="L241" s="19">
        <f t="shared" si="4"/>
        <v>15537.5</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19355.63</v>
      </c>
      <c r="I245" s="18"/>
      <c r="J245" s="18"/>
      <c r="K245" s="18"/>
      <c r="L245" s="19">
        <f t="shared" si="4"/>
        <v>19355.63</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984.38</v>
      </c>
      <c r="G248" s="41">
        <f t="shared" si="5"/>
        <v>235.31</v>
      </c>
      <c r="H248" s="41">
        <f t="shared" si="5"/>
        <v>241457.71</v>
      </c>
      <c r="I248" s="41">
        <f t="shared" si="5"/>
        <v>168.9</v>
      </c>
      <c r="J248" s="41">
        <f t="shared" si="5"/>
        <v>152.5</v>
      </c>
      <c r="K248" s="41">
        <f t="shared" si="5"/>
        <v>1151.0999999999999</v>
      </c>
      <c r="L248" s="41">
        <f t="shared" si="5"/>
        <v>244149.9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2812.5</v>
      </c>
      <c r="G258" s="41">
        <f t="shared" si="8"/>
        <v>615.18000000000006</v>
      </c>
      <c r="H258" s="41">
        <f t="shared" si="8"/>
        <v>585187.86</v>
      </c>
      <c r="I258" s="41">
        <f t="shared" si="8"/>
        <v>191.97</v>
      </c>
      <c r="J258" s="41">
        <f t="shared" si="8"/>
        <v>152.5</v>
      </c>
      <c r="K258" s="41">
        <f t="shared" si="8"/>
        <v>2277.7600000000002</v>
      </c>
      <c r="L258" s="41">
        <f t="shared" si="8"/>
        <v>591237.77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13000</v>
      </c>
      <c r="L267" s="19">
        <f t="shared" si="9"/>
        <v>13000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3020.64</v>
      </c>
      <c r="L269" s="19">
        <f t="shared" si="9"/>
        <v>3020.64</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16020.64</v>
      </c>
      <c r="L271" s="41">
        <f t="shared" si="9"/>
        <v>16020.64</v>
      </c>
      <c r="M271" s="8"/>
      <c r="N271" s="265"/>
    </row>
    <row r="272" spans="1:14" s="34" customFormat="1" ht="12.2" customHeight="1" thickTop="1" x14ac:dyDescent="0.2">
      <c r="A272" s="43" t="s">
        <v>464</v>
      </c>
      <c r="B272" s="40">
        <v>10</v>
      </c>
      <c r="C272" s="40">
        <v>18</v>
      </c>
      <c r="D272" s="39" t="s">
        <v>431</v>
      </c>
      <c r="E272" s="40"/>
      <c r="F272" s="42">
        <f t="shared" ref="F272:L272" si="11">F258+F271</f>
        <v>2812.5</v>
      </c>
      <c r="G272" s="42">
        <f t="shared" si="11"/>
        <v>615.18000000000006</v>
      </c>
      <c r="H272" s="42">
        <f t="shared" si="11"/>
        <v>585187.86</v>
      </c>
      <c r="I272" s="42">
        <f t="shared" si="11"/>
        <v>191.97</v>
      </c>
      <c r="J272" s="42">
        <f t="shared" si="11"/>
        <v>152.5</v>
      </c>
      <c r="K272" s="42">
        <f t="shared" si="11"/>
        <v>18298.400000000001</v>
      </c>
      <c r="L272" s="42">
        <f t="shared" si="11"/>
        <v>607258.41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f>13000</f>
        <v>13000</v>
      </c>
      <c r="H399" s="18">
        <v>871.1</v>
      </c>
      <c r="I399" s="18"/>
      <c r="J399" s="24" t="s">
        <v>288</v>
      </c>
      <c r="K399" s="24" t="s">
        <v>288</v>
      </c>
      <c r="L399" s="56">
        <f t="shared" si="26"/>
        <v>13871.1</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13000</v>
      </c>
      <c r="H402" s="47">
        <f>SUM(H396:H401)</f>
        <v>871.1</v>
      </c>
      <c r="I402" s="47">
        <f>SUM(I396:I401)</f>
        <v>0</v>
      </c>
      <c r="J402" s="45" t="s">
        <v>288</v>
      </c>
      <c r="K402" s="45" t="s">
        <v>288</v>
      </c>
      <c r="L402" s="47">
        <f>SUM(L396:L401)</f>
        <v>13871.1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13000</v>
      </c>
      <c r="H409" s="47">
        <f>H394+H402+H408</f>
        <v>871.1</v>
      </c>
      <c r="I409" s="47">
        <f>I394+I402+I408</f>
        <v>0</v>
      </c>
      <c r="J409" s="24" t="s">
        <v>288</v>
      </c>
      <c r="K409" s="24" t="s">
        <v>288</v>
      </c>
      <c r="L409" s="47">
        <f>L394+L402+L408</f>
        <v>13871.1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v>24000</v>
      </c>
      <c r="L425" s="56">
        <f t="shared" si="29"/>
        <v>24000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24000</v>
      </c>
      <c r="L428" s="47">
        <f t="shared" si="30"/>
        <v>24000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24000</v>
      </c>
      <c r="L435" s="47">
        <f t="shared" si="32"/>
        <v>24000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f>62932.93</f>
        <v>62932.93</v>
      </c>
      <c r="H440" s="18"/>
      <c r="I440" s="56">
        <f t="shared" ref="I440:I446" si="33">SUM(F440:H440)</f>
        <v>62932.93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13000</v>
      </c>
      <c r="H443" s="18"/>
      <c r="I443" s="56">
        <f t="shared" si="33"/>
        <v>13000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75932.929999999993</v>
      </c>
      <c r="H447" s="13">
        <f>SUM(H440:H446)</f>
        <v>0</v>
      </c>
      <c r="I447" s="13">
        <f>SUM(I440:I446)</f>
        <v>75932.929999999993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75932.929999999993</v>
      </c>
      <c r="H460" s="18"/>
      <c r="I460" s="56">
        <f t="shared" si="34"/>
        <v>75932.929999999993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75932.929999999993</v>
      </c>
      <c r="H461" s="83">
        <f>SUM(H455:H460)</f>
        <v>0</v>
      </c>
      <c r="I461" s="83">
        <f>SUM(I455:I460)</f>
        <v>75932.929999999993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75932.929999999993</v>
      </c>
      <c r="H462" s="42">
        <f>H453+H461</f>
        <v>0</v>
      </c>
      <c r="I462" s="42">
        <f>I453+I461</f>
        <v>75932.929999999993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1775.08</v>
      </c>
      <c r="G466" s="18"/>
      <c r="H466" s="18"/>
      <c r="I466" s="18"/>
      <c r="J466" s="18">
        <f>86061.83</f>
        <v>86061.83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608177.9</v>
      </c>
      <c r="G469" s="18"/>
      <c r="H469" s="18"/>
      <c r="I469" s="18"/>
      <c r="J469" s="18">
        <f>871.1+13000</f>
        <v>13871.1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608177.9</v>
      </c>
      <c r="G471" s="53">
        <f>SUM(G469:G470)</f>
        <v>0</v>
      </c>
      <c r="H471" s="53">
        <f>SUM(H469:H470)</f>
        <v>0</v>
      </c>
      <c r="I471" s="53">
        <f>SUM(I469:I470)</f>
        <v>0</v>
      </c>
      <c r="J471" s="53">
        <f>SUM(J469:J470)</f>
        <v>13871.1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607258.41</v>
      </c>
      <c r="G473" s="18"/>
      <c r="H473" s="18"/>
      <c r="I473" s="18"/>
      <c r="J473" s="18">
        <v>24000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607258.41</v>
      </c>
      <c r="G475" s="53">
        <f>SUM(G473:G474)</f>
        <v>0</v>
      </c>
      <c r="H475" s="53">
        <f>SUM(H473:H474)</f>
        <v>0</v>
      </c>
      <c r="I475" s="53">
        <f>SUM(I473:I474)</f>
        <v>0</v>
      </c>
      <c r="J475" s="53">
        <f>SUM(J473:J474)</f>
        <v>24000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2694.5699999999488</v>
      </c>
      <c r="G477" s="53">
        <f>(G466+G471)- G475</f>
        <v>0</v>
      </c>
      <c r="H477" s="53">
        <f>(H466+H471)- H475</f>
        <v>0</v>
      </c>
      <c r="I477" s="53">
        <f>(I466+I471)- I475</f>
        <v>0</v>
      </c>
      <c r="J477" s="53">
        <f>(J466+J471)- J475</f>
        <v>75932.930000000008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19732.46</v>
      </c>
      <c r="I524" s="18"/>
      <c r="J524" s="18"/>
      <c r="K524" s="18"/>
      <c r="L524" s="88">
        <f>SUM(F524:K524)</f>
        <v>19732.46</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19732.46</v>
      </c>
      <c r="I525" s="108">
        <f t="shared" si="36"/>
        <v>0</v>
      </c>
      <c r="J525" s="108">
        <f t="shared" si="36"/>
        <v>0</v>
      </c>
      <c r="K525" s="108">
        <f t="shared" si="36"/>
        <v>0</v>
      </c>
      <c r="L525" s="89">
        <f t="shared" si="36"/>
        <v>19732.46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f>4358.14+4296.65</f>
        <v>8654.7900000000009</v>
      </c>
      <c r="I527" s="18"/>
      <c r="J527" s="18"/>
      <c r="K527" s="18"/>
      <c r="L527" s="88">
        <f>SUM(F527:K527)</f>
        <v>8654.7900000000009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1781.37</v>
      </c>
      <c r="I529" s="18"/>
      <c r="J529" s="18">
        <v>152.5</v>
      </c>
      <c r="K529" s="18"/>
      <c r="L529" s="88">
        <f>SUM(F529:K529)</f>
        <v>1933.87</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10436.16</v>
      </c>
      <c r="I530" s="89">
        <f t="shared" si="37"/>
        <v>0</v>
      </c>
      <c r="J530" s="89">
        <f t="shared" si="37"/>
        <v>152.5</v>
      </c>
      <c r="K530" s="89">
        <f t="shared" si="37"/>
        <v>0</v>
      </c>
      <c r="L530" s="89">
        <f t="shared" si="37"/>
        <v>10588.66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f>2172.91</f>
        <v>2172.91</v>
      </c>
      <c r="I532" s="18"/>
      <c r="J532" s="18"/>
      <c r="K532" s="18"/>
      <c r="L532" s="88">
        <f>SUM(F532:K532)</f>
        <v>2172.91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f>724.3</f>
        <v>724.3</v>
      </c>
      <c r="I534" s="18"/>
      <c r="J534" s="18"/>
      <c r="K534" s="18"/>
      <c r="L534" s="88">
        <f>SUM(F534:K534)</f>
        <v>724.3</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2897.21</v>
      </c>
      <c r="I535" s="89">
        <f t="shared" si="38"/>
        <v>0</v>
      </c>
      <c r="J535" s="89">
        <f t="shared" si="38"/>
        <v>0</v>
      </c>
      <c r="K535" s="89">
        <f t="shared" si="38"/>
        <v>0</v>
      </c>
      <c r="L535" s="89">
        <f t="shared" si="38"/>
        <v>2897.21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33065.83</v>
      </c>
      <c r="I546" s="89">
        <f t="shared" si="41"/>
        <v>0</v>
      </c>
      <c r="J546" s="89">
        <f t="shared" si="41"/>
        <v>152.5</v>
      </c>
      <c r="K546" s="89">
        <f t="shared" si="41"/>
        <v>0</v>
      </c>
      <c r="L546" s="89">
        <f t="shared" si="41"/>
        <v>33218.33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8654.7900000000009</v>
      </c>
      <c r="H550" s="87">
        <f>L532</f>
        <v>2172.91</v>
      </c>
      <c r="I550" s="87">
        <f>L537</f>
        <v>0</v>
      </c>
      <c r="J550" s="87">
        <f>L542</f>
        <v>0</v>
      </c>
      <c r="K550" s="87">
        <f>SUM(F550:J550)</f>
        <v>10827.7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19732.46</v>
      </c>
      <c r="G552" s="87">
        <f>L529</f>
        <v>1933.87</v>
      </c>
      <c r="H552" s="87">
        <f>L534</f>
        <v>724.3</v>
      </c>
      <c r="I552" s="87">
        <f>L539</f>
        <v>0</v>
      </c>
      <c r="J552" s="87">
        <f>L544</f>
        <v>0</v>
      </c>
      <c r="K552" s="87">
        <f>SUM(F552:J552)</f>
        <v>22390.629999999997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19732.46</v>
      </c>
      <c r="G553" s="89">
        <f t="shared" si="42"/>
        <v>10588.66</v>
      </c>
      <c r="H553" s="89">
        <f t="shared" si="42"/>
        <v>2897.21</v>
      </c>
      <c r="I553" s="89">
        <f t="shared" si="42"/>
        <v>0</v>
      </c>
      <c r="J553" s="89">
        <f t="shared" si="42"/>
        <v>0</v>
      </c>
      <c r="K553" s="89">
        <f t="shared" si="42"/>
        <v>33218.33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282942.24</v>
      </c>
      <c r="G576" s="18"/>
      <c r="H576" s="18">
        <v>171146</v>
      </c>
      <c r="I576" s="87">
        <f>SUM(F576:H576)</f>
        <v>454088.24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16444.439999999999</v>
      </c>
      <c r="I577" s="87">
        <f t="shared" ref="I577:I588" si="47">SUM(F577:H577)</f>
        <v>16444.439999999999</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29033.5</v>
      </c>
      <c r="I592" s="18"/>
      <c r="J592" s="18">
        <v>19355.63</v>
      </c>
      <c r="K592" s="104">
        <f t="shared" ref="K592:K598" si="48">SUM(H592:J592)</f>
        <v>48389.130000000005</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29033.5</v>
      </c>
      <c r="I599" s="108">
        <f>SUM(I592:I598)</f>
        <v>0</v>
      </c>
      <c r="J599" s="108">
        <f>SUM(J592:J598)</f>
        <v>19355.63</v>
      </c>
      <c r="K599" s="108">
        <f>SUM(K592:K598)</f>
        <v>48389.130000000005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v>152.5</v>
      </c>
      <c r="K605" s="104">
        <f>SUM(H605:J605)</f>
        <v>152.5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152.5</v>
      </c>
      <c r="K606" s="108">
        <f>SUM(K603:K605)</f>
        <v>152.5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21391.89</v>
      </c>
      <c r="H618" s="109">
        <f>SUM(F52)</f>
        <v>21391.89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75932.929999999993</v>
      </c>
      <c r="H622" s="109">
        <f>SUM(J52)</f>
        <v>75932.929999999993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2694.5699999999997</v>
      </c>
      <c r="H623" s="109">
        <f>F477</f>
        <v>2694.5699999999488</v>
      </c>
      <c r="I623" s="121" t="s">
        <v>101</v>
      </c>
      <c r="J623" s="109">
        <f t="shared" ref="J623:J656" si="50">G623-H623</f>
        <v>5.0931703299283981E-11</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75932.929999999993</v>
      </c>
      <c r="H627" s="109">
        <f>J477</f>
        <v>75932.930000000008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608177.9</v>
      </c>
      <c r="H628" s="104">
        <f>SUM(F469)</f>
        <v>608177.9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13871.1</v>
      </c>
      <c r="H632" s="104">
        <f>SUM(J469)</f>
        <v>13871.1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607258.41</v>
      </c>
      <c r="H633" s="104">
        <f>SUM(F473)</f>
        <v>607258.41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13871.1</v>
      </c>
      <c r="H638" s="164">
        <f>SUM(J469)</f>
        <v>13871.1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24000</v>
      </c>
      <c r="H639" s="164">
        <f>SUM(J473)</f>
        <v>24000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75932.929999999993</v>
      </c>
      <c r="H641" s="104">
        <f>SUM(G462)</f>
        <v>75932.929999999993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75932.929999999993</v>
      </c>
      <c r="H643" s="104">
        <f>SUM(I462)</f>
        <v>75932.929999999993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871.1</v>
      </c>
      <c r="H645" s="104">
        <f>H409</f>
        <v>871.1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13000</v>
      </c>
      <c r="H646" s="104">
        <f>G409</f>
        <v>13000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13871.1</v>
      </c>
      <c r="H647" s="104">
        <f>L409</f>
        <v>13871.1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48389.130000000005</v>
      </c>
      <c r="H648" s="104">
        <f>L209+L227+L245</f>
        <v>48389.130000000005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152.5</v>
      </c>
      <c r="H649" s="104">
        <f>(J258+J339)-(J256+J337)</f>
        <v>152.5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29033.5</v>
      </c>
      <c r="H650" s="104">
        <f>H599</f>
        <v>29033.5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19355.63</v>
      </c>
      <c r="H652" s="104">
        <f>J599</f>
        <v>19355.63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13000</v>
      </c>
      <c r="H656" s="104">
        <f>K267+K348</f>
        <v>13000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347087.87</v>
      </c>
      <c r="G661" s="19">
        <f>(L230+L310+L360)</f>
        <v>0</v>
      </c>
      <c r="H661" s="19">
        <f>(L248+L329+L361)</f>
        <v>244149.9</v>
      </c>
      <c r="I661" s="19">
        <f>SUM(F661:H661)</f>
        <v>591237.77</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29033.5</v>
      </c>
      <c r="G663" s="19">
        <f>(L227+L307)-(J227+J307)</f>
        <v>0</v>
      </c>
      <c r="H663" s="19">
        <f>(L245+L326)-(J245+J326)</f>
        <v>19355.63</v>
      </c>
      <c r="I663" s="19">
        <f>SUM(F663:H663)</f>
        <v>48389.130000000005</v>
      </c>
      <c r="J663"/>
      <c r="K663" s="13"/>
      <c r="L663" s="13"/>
      <c r="M663" s="9"/>
    </row>
    <row r="664" spans="1:13" s="3" customFormat="1" ht="12.2" customHeight="1" x14ac:dyDescent="0.15">
      <c r="A664" s="197" t="s">
        <v>129</v>
      </c>
      <c r="B664" s="169"/>
      <c r="C664" s="169"/>
      <c r="D664" s="169"/>
      <c r="E664" s="169"/>
      <c r="F664" s="198">
        <f>SUM(F576:F588)+SUM(H603:H605)+SUM(L612)</f>
        <v>282942.24</v>
      </c>
      <c r="G664" s="198">
        <f>SUM(G576:G588)+SUM(I603:I605)+L613</f>
        <v>0</v>
      </c>
      <c r="H664" s="198">
        <f>SUM(H576:H588)+SUM(J603:J605)+L614</f>
        <v>187742.94</v>
      </c>
      <c r="I664" s="19">
        <f>SUM(F664:H664)</f>
        <v>470685.18</v>
      </c>
      <c r="J664" s="13"/>
      <c r="K664" s="13"/>
      <c r="L664" s="13"/>
      <c r="M664" s="9"/>
    </row>
    <row r="665" spans="1:13" s="3" customFormat="1" ht="12.2" customHeight="1" x14ac:dyDescent="0.15">
      <c r="A665" s="1" t="s">
        <v>130</v>
      </c>
      <c r="F665" s="19">
        <f>F661-SUM(F662:F664)</f>
        <v>35112.130000000005</v>
      </c>
      <c r="G665" s="19">
        <f>G661-SUM(G662:G664)</f>
        <v>0</v>
      </c>
      <c r="H665" s="19">
        <f>H661-SUM(H662:H664)</f>
        <v>37051.329999999987</v>
      </c>
      <c r="I665" s="19">
        <f>I661-SUM(I662:I664)</f>
        <v>72163.460000000021</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-35112.129999999997</v>
      </c>
      <c r="G670" s="18"/>
      <c r="H670" s="18">
        <v>-37051.33</v>
      </c>
      <c r="I670" s="19">
        <f>SUM(F670:H670)</f>
        <v>-72163.459999999992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Clarksville</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7" sqref="B7:C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Clarksville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Clarksville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490265.14</v>
      </c>
      <c r="D5" s="20">
        <f>SUM('DOE25'!L198:L201)+SUM('DOE25'!L216:L219)+SUM('DOE25'!L234:L237)-F5-G5-H5</f>
        <v>490265.14</v>
      </c>
      <c r="E5" s="242"/>
      <c r="F5" s="243"/>
      <c r="G5" s="53">
        <f>SUM('DOE25'!J198:J201)+SUM('DOE25'!J216:J219)+SUM('DOE25'!J234:J237)</f>
        <v>0</v>
      </c>
      <c r="H5" s="53">
        <f>SUM('DOE25'!K198:K201)+SUM('DOE25'!K216:K219)+SUM('DOE25'!K234:K237)</f>
        <v>0</v>
      </c>
      <c r="I5" s="255"/>
    </row>
    <row r="6" spans="1:9" x14ac:dyDescent="0.2">
      <c r="A6" s="32">
        <v>2100</v>
      </c>
      <c r="B6" t="s">
        <v>796</v>
      </c>
      <c r="C6" s="274">
        <f t="shared" si="0"/>
        <v>6779.26</v>
      </c>
      <c r="D6" s="20">
        <f>'DOE25'!L203+'DOE25'!L221+'DOE25'!L239-F6-G6-H6</f>
        <v>6626.76</v>
      </c>
      <c r="E6" s="242"/>
      <c r="F6" s="243"/>
      <c r="G6" s="53">
        <f>'DOE25'!J203+'DOE25'!J221+'DOE25'!J239</f>
        <v>152.5</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28106</v>
      </c>
      <c r="D8" s="242"/>
      <c r="E8" s="20">
        <f>'DOE25'!L205+'DOE25'!L223+'DOE25'!L241-F8-G8-H8-D9-D11</f>
        <v>25828.240000000002</v>
      </c>
      <c r="F8" s="243"/>
      <c r="G8" s="53">
        <f>'DOE25'!J205+'DOE25'!J223+'DOE25'!J241</f>
        <v>0</v>
      </c>
      <c r="H8" s="53">
        <f>'DOE25'!K205+'DOE25'!K223+'DOE25'!K241</f>
        <v>2277.7600000000002</v>
      </c>
      <c r="I8" s="255"/>
    </row>
    <row r="9" spans="1:9" ht="14.25" x14ac:dyDescent="0.2">
      <c r="A9" s="32">
        <v>2310</v>
      </c>
      <c r="B9" s="184" t="s">
        <v>888</v>
      </c>
      <c r="C9" s="274">
        <f t="shared" si="0"/>
        <v>8845.4</v>
      </c>
      <c r="D9" s="243">
        <v>8845.4</v>
      </c>
      <c r="E9" s="242"/>
      <c r="F9" s="252"/>
      <c r="G9" s="252"/>
      <c r="H9" s="252"/>
      <c r="I9" s="255"/>
    </row>
    <row r="10" spans="1:9" ht="14.25" x14ac:dyDescent="0.2">
      <c r="A10" s="32">
        <v>2317</v>
      </c>
      <c r="B10" s="184" t="s">
        <v>889</v>
      </c>
      <c r="C10" s="274">
        <f t="shared" si="0"/>
        <v>215.3</v>
      </c>
      <c r="D10" s="242"/>
      <c r="E10" s="243">
        <v>215.3</v>
      </c>
      <c r="F10" s="252"/>
      <c r="G10" s="252"/>
      <c r="H10" s="252"/>
      <c r="I10" s="255"/>
    </row>
    <row r="11" spans="1:9" ht="14.25" x14ac:dyDescent="0.2">
      <c r="A11" s="32">
        <v>2321</v>
      </c>
      <c r="B11" s="184" t="s">
        <v>890</v>
      </c>
      <c r="C11" s="274">
        <f t="shared" si="0"/>
        <v>8852.84</v>
      </c>
      <c r="D11" s="243">
        <v>8852.84</v>
      </c>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48389.130000000005</v>
      </c>
      <c r="D15" s="20">
        <f>'DOE25'!L209+'DOE25'!L227+'DOE25'!L245-F15-G15-H15</f>
        <v>25000.000000000007</v>
      </c>
      <c r="E15" s="242"/>
      <c r="F15" s="243">
        <f>48389.13-25000</f>
        <v>23389.129999999997</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0</v>
      </c>
      <c r="D31" s="20">
        <f>'DOE25'!L291+'DOE25'!L310+'DOE25'!L329+'DOE25'!L334+'DOE25'!L335+'DOE25'!L336-F31-G31-H31</f>
        <v>0</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539590.14000000013</v>
      </c>
      <c r="E33" s="244">
        <f t="shared" si="1"/>
        <v>26043.54</v>
      </c>
      <c r="F33" s="244">
        <f t="shared" si="1"/>
        <v>23389.129999999997</v>
      </c>
      <c r="G33" s="244">
        <f t="shared" si="1"/>
        <v>152.5</v>
      </c>
      <c r="H33" s="244">
        <f t="shared" si="1"/>
        <v>2277.7600000000002</v>
      </c>
      <c r="I33" s="244">
        <f t="shared" si="1"/>
        <v>0</v>
      </c>
    </row>
    <row r="35" spans="1:9" ht="12" thickBot="1" x14ac:dyDescent="0.25">
      <c r="B35" s="250" t="s">
        <v>831</v>
      </c>
      <c r="D35" s="251">
        <f>E33</f>
        <v>26043.54</v>
      </c>
      <c r="E35" s="247"/>
      <c r="F35" s="328" t="s">
        <v>1617</v>
      </c>
      <c r="G35" s="329"/>
      <c r="H35" s="329"/>
      <c r="I35" s="329"/>
    </row>
    <row r="36" spans="1:9" ht="12" thickTop="1" x14ac:dyDescent="0.2">
      <c r="B36" t="s">
        <v>810</v>
      </c>
      <c r="D36" s="20">
        <f>D33</f>
        <v>539590.14000000013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Clarksville</v>
      </c>
      <c r="B2" s="126">
        <f>'DOE25'!B2</f>
        <v>103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347087.87</v>
      </c>
      <c r="G4" s="299">
        <f>'DOE25'!L212+'DOE25'!L291</f>
        <v>347087.87</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347087.87</v>
      </c>
      <c r="E5" s="290"/>
      <c r="F5" s="303">
        <f>D5+E5</f>
        <v>347087.87</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347087.87</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244149.9</v>
      </c>
      <c r="G36" s="299">
        <f>'DOE25'!L248+'DOE25'!L329</f>
        <v>244149.9</v>
      </c>
      <c r="H36" s="340">
        <f>F36-G36</f>
        <v>0</v>
      </c>
      <c r="I36" s="383" t="str">
        <f>IF(H36=0,"","ISSUES!! Please review page 9 and 13 totals in comparison with total on this page")</f>
        <v/>
      </c>
      <c r="N36"/>
    </row>
    <row r="37" spans="1:14" x14ac:dyDescent="0.2">
      <c r="A37" s="126" t="s">
        <v>1548</v>
      </c>
      <c r="B37" s="300">
        <v>99999</v>
      </c>
      <c r="C37" s="293" t="s">
        <v>1548</v>
      </c>
      <c r="D37" s="290">
        <v>244149.9</v>
      </c>
      <c r="E37" s="290"/>
      <c r="F37" s="303">
        <f t="shared" ref="F37:F42" si="2">D37+E37</f>
        <v>244149.9</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244149.9</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Clarksville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21391.89</v>
      </c>
      <c r="D8" s="95">
        <f>'DOE25'!G9</f>
        <v>0</v>
      </c>
      <c r="E8" s="95">
        <f>'DOE25'!H9</f>
        <v>0</v>
      </c>
      <c r="F8" s="95">
        <f>'DOE25'!I9</f>
        <v>0</v>
      </c>
      <c r="G8" s="95">
        <f>'DOE25'!J9</f>
        <v>62932.93</v>
      </c>
      <c r="H8" s="124">
        <f>SUM(C8:G8)</f>
        <v>84324.82</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13000</v>
      </c>
      <c r="H12" s="124">
        <f t="shared" si="0"/>
        <v>13000</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21391.89</v>
      </c>
      <c r="D18" s="41">
        <f>SUM(D8:D17)</f>
        <v>0</v>
      </c>
      <c r="E18" s="41">
        <f>SUM(E8:E17)</f>
        <v>0</v>
      </c>
      <c r="F18" s="41">
        <f>SUM(F8:F17)</f>
        <v>0</v>
      </c>
      <c r="G18" s="41">
        <f>SUM(G8:G17)</f>
        <v>75932.929999999993</v>
      </c>
      <c r="H18" s="41">
        <f t="shared" si="0"/>
        <v>97324.819999999992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18697.32</v>
      </c>
      <c r="D23" s="95">
        <f>'DOE25'!G24</f>
        <v>0</v>
      </c>
      <c r="E23" s="95">
        <f>'DOE25'!H24</f>
        <v>0</v>
      </c>
      <c r="F23" s="95">
        <f>'DOE25'!I24</f>
        <v>0</v>
      </c>
      <c r="G23" s="95">
        <f>'DOE25'!J24</f>
        <v>0</v>
      </c>
      <c r="H23" s="124">
        <f t="shared" si="1"/>
        <v>18697.32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18697.32</v>
      </c>
      <c r="D31" s="41">
        <f>SUM(D21:D30)</f>
        <v>0</v>
      </c>
      <c r="E31" s="41">
        <f>SUM(E21:E30)</f>
        <v>0</v>
      </c>
      <c r="F31" s="41">
        <f>SUM(F21:F30)</f>
        <v>0</v>
      </c>
      <c r="G31" s="41">
        <f>SUM(G21:G30)</f>
        <v>0</v>
      </c>
      <c r="H31" s="41">
        <f t="shared" si="1"/>
        <v>18697.32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75932.929999999993</v>
      </c>
      <c r="H47" s="124">
        <f t="shared" si="2"/>
        <v>75932.929999999993</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2694.5699999999997</v>
      </c>
      <c r="D49" s="24" t="s">
        <v>288</v>
      </c>
      <c r="E49" s="24" t="s">
        <v>288</v>
      </c>
      <c r="F49" s="24" t="s">
        <v>288</v>
      </c>
      <c r="G49" s="24" t="s">
        <v>288</v>
      </c>
      <c r="H49" s="124">
        <f t="shared" si="2"/>
        <v>2694.5699999999997</v>
      </c>
      <c r="I49" s="124"/>
    </row>
    <row r="50" spans="1:9" ht="12.75" thickTop="1" thickBot="1" x14ac:dyDescent="0.25">
      <c r="A50" s="38" t="s">
        <v>884</v>
      </c>
      <c r="B50" s="48"/>
      <c r="C50" s="41">
        <f>SUM(C34:C49)</f>
        <v>2694.5699999999997</v>
      </c>
      <c r="D50" s="41">
        <f>SUM(D34:D49)</f>
        <v>0</v>
      </c>
      <c r="E50" s="41">
        <f>SUM(E34:E49)</f>
        <v>0</v>
      </c>
      <c r="F50" s="41">
        <f>SUM(F34:F49)</f>
        <v>0</v>
      </c>
      <c r="G50" s="41">
        <f>SUM(G34:G49)</f>
        <v>75932.929999999993</v>
      </c>
      <c r="H50" s="41">
        <f t="shared" si="2"/>
        <v>78627.5</v>
      </c>
      <c r="I50" s="124"/>
    </row>
    <row r="51" spans="1:9" ht="12" thickTop="1" x14ac:dyDescent="0.2">
      <c r="A51" s="38" t="s">
        <v>885</v>
      </c>
      <c r="B51" s="2"/>
      <c r="C51" s="41">
        <f>C50+C31</f>
        <v>21391.89</v>
      </c>
      <c r="D51" s="41">
        <f>D50+D31</f>
        <v>0</v>
      </c>
      <c r="E51" s="41">
        <f>E50+E31</f>
        <v>0</v>
      </c>
      <c r="F51" s="41">
        <f>F50+F31</f>
        <v>0</v>
      </c>
      <c r="G51" s="41">
        <f>G50+G31</f>
        <v>75932.929999999993</v>
      </c>
      <c r="H51" s="41">
        <f t="shared" si="2"/>
        <v>97324.819999999992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402392</v>
      </c>
      <c r="D56" s="95">
        <f>'DOE25'!G60</f>
        <v>0</v>
      </c>
      <c r="E56" s="95">
        <f>'DOE25'!H60</f>
        <v>0</v>
      </c>
      <c r="F56" s="95">
        <f>'DOE25'!I60</f>
        <v>0</v>
      </c>
      <c r="G56" s="95">
        <f>'DOE25'!J60</f>
        <v>0</v>
      </c>
      <c r="H56" s="124">
        <f t="shared" ref="H56:H63" si="3">SUM(C56:G56)</f>
        <v>402392</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871.1</v>
      </c>
      <c r="H59" s="124">
        <f t="shared" si="3"/>
        <v>871.1</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0</v>
      </c>
      <c r="D62" s="130">
        <f>SUM(D57:D61)</f>
        <v>0</v>
      </c>
      <c r="E62" s="130">
        <f>SUM(E57:E61)</f>
        <v>0</v>
      </c>
      <c r="F62" s="130">
        <f>SUM(F57:F61)</f>
        <v>0</v>
      </c>
      <c r="G62" s="130">
        <f>SUM(G57:G61)</f>
        <v>871.1</v>
      </c>
      <c r="H62" s="124">
        <f t="shared" si="3"/>
        <v>871.1</v>
      </c>
      <c r="I62"/>
    </row>
    <row r="63" spans="1:9" ht="12" thickTop="1" x14ac:dyDescent="0.2">
      <c r="A63" s="29" t="s">
        <v>175</v>
      </c>
      <c r="B63" s="6"/>
      <c r="C63" s="22">
        <f>C56+C62</f>
        <v>402392</v>
      </c>
      <c r="D63" s="22">
        <f>D56+D62</f>
        <v>0</v>
      </c>
      <c r="E63" s="22">
        <f>E56+E62</f>
        <v>0</v>
      </c>
      <c r="F63" s="22">
        <f>F56+F62</f>
        <v>0</v>
      </c>
      <c r="G63" s="22">
        <f>G56+G62</f>
        <v>871.1</v>
      </c>
      <c r="H63" s="124">
        <f t="shared" si="3"/>
        <v>403263.1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85838.9</v>
      </c>
      <c r="D66" s="24" t="s">
        <v>288</v>
      </c>
      <c r="E66" s="24" t="s">
        <v>288</v>
      </c>
      <c r="F66" s="24" t="s">
        <v>288</v>
      </c>
      <c r="G66" s="24" t="s">
        <v>288</v>
      </c>
      <c r="H66" s="124">
        <f t="shared" ref="H66:H81" si="4">SUM(C66:G66)</f>
        <v>85838.9</v>
      </c>
      <c r="I66"/>
    </row>
    <row r="67" spans="1:9" x14ac:dyDescent="0.2">
      <c r="A67" s="1" t="s">
        <v>770</v>
      </c>
      <c r="B67" s="6">
        <v>3112</v>
      </c>
      <c r="C67" s="95">
        <f>'DOE25'!F118</f>
        <v>95947</v>
      </c>
      <c r="D67" s="24"/>
      <c r="E67" s="24"/>
      <c r="F67" s="24"/>
      <c r="G67" s="24"/>
      <c r="H67" s="124">
        <f t="shared" si="4"/>
        <v>95947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181785.9</v>
      </c>
      <c r="D70" s="139">
        <f>D69</f>
        <v>0</v>
      </c>
      <c r="E70" s="139">
        <f>E69</f>
        <v>0</v>
      </c>
      <c r="F70" s="139">
        <f>F69</f>
        <v>0</v>
      </c>
      <c r="G70" s="139">
        <f>G69</f>
        <v>0</v>
      </c>
      <c r="H70" s="124">
        <f t="shared" si="4"/>
        <v>181785.9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181785.9</v>
      </c>
      <c r="D81" s="130">
        <f>SUM(D79:D80)+D78+D70</f>
        <v>0</v>
      </c>
      <c r="E81" s="130">
        <f>SUM(E79:E80)+E78+E70</f>
        <v>0</v>
      </c>
      <c r="F81" s="130">
        <f>SUM(F79:F80)+F78+F70</f>
        <v>0</v>
      </c>
      <c r="G81" s="130">
        <f>SUM(G79:G80)+G78+G70</f>
        <v>0</v>
      </c>
      <c r="H81" s="130">
        <f t="shared" si="4"/>
        <v>181785.9</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0</v>
      </c>
      <c r="E88" s="326">
        <f>SUM('DOE25'!H153:H162)</f>
        <v>0</v>
      </c>
      <c r="F88" s="326">
        <f>SUM('DOE25'!I153:I162)</f>
        <v>0</v>
      </c>
      <c r="G88" s="24" t="s">
        <v>288</v>
      </c>
      <c r="H88" s="124">
        <f t="shared" si="5"/>
        <v>0</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0</v>
      </c>
      <c r="E91" s="131">
        <f>SUM(E85:E90)</f>
        <v>0</v>
      </c>
      <c r="F91" s="131">
        <f>SUM(F85:F90)</f>
        <v>0</v>
      </c>
      <c r="G91" s="24" t="s">
        <v>288</v>
      </c>
      <c r="H91" s="124">
        <f t="shared" si="5"/>
        <v>0</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13000</v>
      </c>
      <c r="H96" s="124">
        <f t="shared" si="5"/>
        <v>13000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24000</v>
      </c>
      <c r="D100" s="95">
        <f>SUM('DOE25'!G187:G188)</f>
        <v>0</v>
      </c>
      <c r="E100" s="95">
        <f>SUM('DOE25'!H187:H188)</f>
        <v>0</v>
      </c>
      <c r="F100" s="95">
        <f>SUM('DOE25'!I187:I188)</f>
        <v>0</v>
      </c>
      <c r="G100" s="24" t="s">
        <v>288</v>
      </c>
      <c r="H100" s="124">
        <f t="shared" si="5"/>
        <v>24000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24000</v>
      </c>
      <c r="D103" s="86">
        <f>SUM(D93:D102)</f>
        <v>0</v>
      </c>
      <c r="E103" s="86">
        <f>SUM(E93:E102)</f>
        <v>0</v>
      </c>
      <c r="F103" s="86">
        <f>SUM(F93:F102)</f>
        <v>0</v>
      </c>
      <c r="G103" s="86">
        <f>SUM(G93:G102)</f>
        <v>13000</v>
      </c>
      <c r="H103" s="86">
        <f t="shared" si="5"/>
        <v>37000</v>
      </c>
    </row>
    <row r="104" spans="1:8" ht="12.75" thickTop="1" thickBot="1" x14ac:dyDescent="0.25">
      <c r="A104" s="33" t="s">
        <v>761</v>
      </c>
      <c r="C104" s="86">
        <f>C63+C81+C91+C103</f>
        <v>608177.9</v>
      </c>
      <c r="D104" s="86">
        <f>D63+D81+D91+D103</f>
        <v>0</v>
      </c>
      <c r="E104" s="86">
        <f>E63+E81+E91+E103</f>
        <v>0</v>
      </c>
      <c r="F104" s="86">
        <f>F63+F81+F91+F103</f>
        <v>0</v>
      </c>
      <c r="G104" s="86">
        <f>G63+G81+G103</f>
        <v>13871.1</v>
      </c>
      <c r="H104" s="86">
        <f t="shared" si="5"/>
        <v>622049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470532.68</v>
      </c>
      <c r="D109" s="24" t="s">
        <v>288</v>
      </c>
      <c r="E109" s="95">
        <f>('DOE25'!L277)+('DOE25'!L296)+('DOE25'!L315)</f>
        <v>0</v>
      </c>
      <c r="F109" s="24" t="s">
        <v>288</v>
      </c>
      <c r="G109" s="24" t="s">
        <v>288</v>
      </c>
      <c r="H109" s="124">
        <f t="shared" ref="H109:H115" si="6">SUM(C109:G109)</f>
        <v>470532.68</v>
      </c>
    </row>
    <row r="110" spans="1:8" x14ac:dyDescent="0.2">
      <c r="A110" t="s">
        <v>198</v>
      </c>
      <c r="B110" s="32" t="s">
        <v>199</v>
      </c>
      <c r="C110" s="95">
        <f>('DOE25'!L199)+('DOE25'!L217)+('DOE25'!L235)</f>
        <v>19732.46</v>
      </c>
      <c r="D110" s="24" t="s">
        <v>288</v>
      </c>
      <c r="E110" s="95">
        <f>('DOE25'!L278)+('DOE25'!L297)+('DOE25'!L316)</f>
        <v>0</v>
      </c>
      <c r="F110" s="24" t="s">
        <v>288</v>
      </c>
      <c r="G110" s="24" t="s">
        <v>288</v>
      </c>
      <c r="H110" s="124">
        <f t="shared" si="6"/>
        <v>19732.46</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490265.14</v>
      </c>
      <c r="D115" s="86">
        <f>SUM(D109:D114)</f>
        <v>0</v>
      </c>
      <c r="E115" s="86">
        <f>SUM(E109:E114)</f>
        <v>0</v>
      </c>
      <c r="F115" s="86">
        <f>SUM(F109:F114)</f>
        <v>0</v>
      </c>
      <c r="G115" s="86">
        <f>SUM(G109:G114)</f>
        <v>0</v>
      </c>
      <c r="H115" s="86">
        <f t="shared" si="6"/>
        <v>490265.14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6779.26</v>
      </c>
      <c r="D118" s="24" t="s">
        <v>288</v>
      </c>
      <c r="E118" s="95">
        <f>+('DOE25'!L282)+('DOE25'!L301)+('DOE25'!L320)</f>
        <v>0</v>
      </c>
      <c r="F118" s="24" t="s">
        <v>288</v>
      </c>
      <c r="G118" s="24" t="s">
        <v>288</v>
      </c>
      <c r="H118" s="124">
        <f t="shared" ref="H118:H145" si="7">SUM(C118:G118)</f>
        <v>6779.26</v>
      </c>
    </row>
    <row r="119" spans="1:8" x14ac:dyDescent="0.2">
      <c r="A119" t="s">
        <v>208</v>
      </c>
      <c r="B119" s="32" t="s">
        <v>209</v>
      </c>
      <c r="C119" s="95">
        <f>('DOE25'!L204)+('DOE25'!L222)+('DOE25'!L240)</f>
        <v>0</v>
      </c>
      <c r="D119" s="24" t="s">
        <v>288</v>
      </c>
      <c r="E119" s="95">
        <f>+('DOE25'!L283)+('DOE25'!L302)+('DOE25'!L321)</f>
        <v>0</v>
      </c>
      <c r="F119" s="24" t="s">
        <v>288</v>
      </c>
      <c r="G119" s="24" t="s">
        <v>288</v>
      </c>
      <c r="H119" s="124">
        <f t="shared" si="7"/>
        <v>0</v>
      </c>
    </row>
    <row r="120" spans="1:8" x14ac:dyDescent="0.2">
      <c r="A120" t="s">
        <v>210</v>
      </c>
      <c r="B120" s="32" t="s">
        <v>211</v>
      </c>
      <c r="C120" s="95">
        <f>('DOE25'!L205)+('DOE25'!L223)+('DOE25'!L241)</f>
        <v>45804.240000000005</v>
      </c>
      <c r="D120" s="24" t="s">
        <v>288</v>
      </c>
      <c r="E120" s="95">
        <f>+('DOE25'!L284)+('DOE25'!L303)+('DOE25'!L322)</f>
        <v>0</v>
      </c>
      <c r="F120" s="24" t="s">
        <v>288</v>
      </c>
      <c r="G120" s="24" t="s">
        <v>288</v>
      </c>
      <c r="H120" s="124">
        <f t="shared" si="7"/>
        <v>45804.240000000005</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48389.130000000005</v>
      </c>
      <c r="D124" s="24" t="s">
        <v>288</v>
      </c>
      <c r="E124" s="95">
        <f>+('DOE25'!L288)+('DOE25'!L307)+('DOE25'!L326)</f>
        <v>0</v>
      </c>
      <c r="F124" s="24" t="s">
        <v>288</v>
      </c>
      <c r="G124" s="24" t="s">
        <v>288</v>
      </c>
      <c r="H124" s="124">
        <f t="shared" si="7"/>
        <v>48389.130000000005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100972.63</v>
      </c>
      <c r="D128" s="86">
        <f>SUM(D118:D127)</f>
        <v>0</v>
      </c>
      <c r="E128" s="86">
        <f>SUM(E118:E127)</f>
        <v>0</v>
      </c>
      <c r="F128" s="86">
        <f>SUM(F118:F127)</f>
        <v>0</v>
      </c>
      <c r="G128" s="86">
        <f>SUM(G118:G127)</f>
        <v>0</v>
      </c>
      <c r="H128" s="86">
        <f t="shared" si="7"/>
        <v>100972.63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24000</v>
      </c>
      <c r="H134" s="124">
        <f t="shared" si="7"/>
        <v>24000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13871.1</v>
      </c>
      <c r="D139" s="24" t="s">
        <v>288</v>
      </c>
      <c r="E139" s="24" t="s">
        <v>288</v>
      </c>
      <c r="F139" s="24" t="s">
        <v>288</v>
      </c>
      <c r="G139" s="24" t="s">
        <v>288</v>
      </c>
      <c r="H139" s="124">
        <f t="shared" si="7"/>
        <v>13871.1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-871.10000000000036</v>
      </c>
      <c r="D141" s="24" t="s">
        <v>288</v>
      </c>
      <c r="E141" s="24" t="s">
        <v>288</v>
      </c>
      <c r="F141" s="24" t="s">
        <v>288</v>
      </c>
      <c r="G141" s="24" t="s">
        <v>288</v>
      </c>
      <c r="H141" s="124">
        <f t="shared" si="7"/>
        <v>-871.10000000000036</v>
      </c>
    </row>
    <row r="142" spans="1:8" x14ac:dyDescent="0.2">
      <c r="A142" t="s">
        <v>241</v>
      </c>
      <c r="B142" s="32">
        <v>5310</v>
      </c>
      <c r="C142" s="129">
        <f>'DOE25'!L269</f>
        <v>3020.64</v>
      </c>
      <c r="D142" s="24" t="s">
        <v>288</v>
      </c>
      <c r="E142" s="129">
        <f>'DOE25'!L350</f>
        <v>0</v>
      </c>
      <c r="F142" s="24" t="s">
        <v>288</v>
      </c>
      <c r="G142" s="24" t="s">
        <v>288</v>
      </c>
      <c r="H142" s="124">
        <f t="shared" si="7"/>
        <v>3020.64</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16020.64</v>
      </c>
      <c r="D144" s="141">
        <f>SUM(D130:D143)</f>
        <v>0</v>
      </c>
      <c r="E144" s="141">
        <f>SUM(E130:E143)</f>
        <v>0</v>
      </c>
      <c r="F144" s="141">
        <f>SUM(F130:F143)</f>
        <v>0</v>
      </c>
      <c r="G144" s="141">
        <f>SUM(G130:G143)</f>
        <v>24000</v>
      </c>
      <c r="H144" s="141">
        <f t="shared" si="7"/>
        <v>40020.639999999999</v>
      </c>
    </row>
    <row r="145" spans="1:9" ht="12.75" thickTop="1" thickBot="1" x14ac:dyDescent="0.25">
      <c r="A145" s="33" t="s">
        <v>244</v>
      </c>
      <c r="C145" s="86">
        <f>(C115+C128+C144)</f>
        <v>607258.41</v>
      </c>
      <c r="D145" s="86">
        <f>(D115+D128+D144)</f>
        <v>0</v>
      </c>
      <c r="E145" s="86">
        <f>(E115+E128+E144)</f>
        <v>0</v>
      </c>
      <c r="F145" s="86">
        <f>(F115+F128+F144)</f>
        <v>0</v>
      </c>
      <c r="G145" s="86">
        <f>(G115+G128+G144)</f>
        <v>24000</v>
      </c>
      <c r="H145" s="86">
        <f t="shared" si="7"/>
        <v>631258.41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Clarksville</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470533</v>
      </c>
      <c r="D10" s="181">
        <f>ROUND((C10/$C$28)*100,1)</f>
        <v>79.2</v>
      </c>
    </row>
    <row r="11" spans="1:4" x14ac:dyDescent="0.2">
      <c r="A11">
        <v>1200</v>
      </c>
      <c r="B11" t="s">
        <v>703</v>
      </c>
      <c r="C11" s="178">
        <f>ROUND('DOE25'!L199+'DOE25'!L217+'DOE25'!L235+'DOE25'!L278+'DOE25'!L297+'DOE25'!L316,0)</f>
        <v>19732</v>
      </c>
      <c r="D11" s="181">
        <f>ROUND((C11/$C$28)*100,1)</f>
        <v>3.3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6779</v>
      </c>
      <c r="D15" s="181">
        <f t="shared" ref="D15:D27" si="0">ROUND((C15/$C$28)*100,1)</f>
        <v>1.1000000000000001</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45804</v>
      </c>
      <c r="D17" s="181">
        <f t="shared" si="0"/>
        <v>7.7</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48389</v>
      </c>
      <c r="D21" s="181">
        <f t="shared" si="0"/>
        <v>8.1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3020.64</v>
      </c>
      <c r="D26" s="181">
        <f t="shared" si="0"/>
        <v>0.5</v>
      </c>
    </row>
    <row r="27" spans="1:4" x14ac:dyDescent="0.2">
      <c r="A27">
        <v>3100</v>
      </c>
      <c r="B27" t="s">
        <v>11</v>
      </c>
      <c r="C27" s="178">
        <f>ROUND('DOE25'!L363-'DOE25'!L362,0)-SUM('DOE25'!G97:G110)</f>
        <v>0</v>
      </c>
      <c r="D27" s="181">
        <f t="shared" si="0"/>
        <v>0</v>
      </c>
    </row>
    <row r="28" spans="1:4" x14ac:dyDescent="0.2">
      <c r="B28" s="186" t="s">
        <v>719</v>
      </c>
      <c r="C28" s="179">
        <f>SUM(C10:C27)</f>
        <v>594257.64</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594257.64</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402392</v>
      </c>
      <c r="D35" s="181">
        <f t="shared" ref="D35:D40" si="1">ROUND((C35/$C$41)*100,1)</f>
        <v>68.8</v>
      </c>
    </row>
    <row r="36" spans="1:4" x14ac:dyDescent="0.2">
      <c r="B36" s="184" t="s">
        <v>739</v>
      </c>
      <c r="C36" s="178">
        <f>SUM('DOE25'!F112:J112)-SUM('DOE25'!G97:G110)+('DOE25'!F175+'DOE25'!F176+'DOE25'!I175+'DOE25'!I176)-C35</f>
        <v>871.09999999997672</v>
      </c>
      <c r="D36" s="181">
        <f t="shared" si="1"/>
        <v>0.1</v>
      </c>
    </row>
    <row r="37" spans="1:4" x14ac:dyDescent="0.2">
      <c r="A37" s="182" t="s">
        <v>835</v>
      </c>
      <c r="B37" s="184" t="s">
        <v>728</v>
      </c>
      <c r="C37" s="178">
        <f>ROUND('DOE25'!F117+'DOE25'!F118,0)</f>
        <v>181786</v>
      </c>
      <c r="D37" s="181">
        <f t="shared" si="1"/>
        <v>31.1</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0</v>
      </c>
      <c r="D39" s="181">
        <f t="shared" si="1"/>
        <v>0</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585049.1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Clarksville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2022-08-31T17:29:33Z</cp:lastPrinted>
  <dcterms:created xsi:type="dcterms:W3CDTF">1997-12-04T19:04:30Z</dcterms:created>
  <dcterms:modified xsi:type="dcterms:W3CDTF">2022-09-26T17:44:46Z</dcterms:modified>
</cp:coreProperties>
</file>