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4478C52-DA97-43AE-9E6C-60C033644AC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69" i="1" l="1"/>
  <c r="G460" i="1"/>
  <c r="K427" i="1"/>
  <c r="F469" i="1"/>
  <c r="F187" i="1"/>
  <c r="F50" i="1"/>
  <c r="F12" i="1"/>
  <c r="G449" i="1"/>
  <c r="J473" i="1"/>
  <c r="E15" i="17"/>
  <c r="E13" i="17"/>
  <c r="E11" i="17"/>
  <c r="E9" i="17"/>
  <c r="D11" i="13" l="1"/>
  <c r="C38" i="12" l="1"/>
  <c r="C37" i="12"/>
  <c r="C29" i="12"/>
  <c r="C28" i="12"/>
  <c r="C20" i="12"/>
  <c r="C19" i="12"/>
  <c r="C11" i="12"/>
  <c r="C10" i="12"/>
  <c r="B11" i="12"/>
  <c r="B10" i="12"/>
  <c r="C39" i="12"/>
  <c r="B39" i="12"/>
  <c r="B30" i="12"/>
  <c r="C30" i="12" s="1"/>
  <c r="B21" i="12"/>
  <c r="C21" i="12" s="1"/>
  <c r="B12" i="12"/>
  <c r="C12" i="12" s="1"/>
  <c r="H563" i="1" l="1"/>
  <c r="F534" i="1"/>
  <c r="G534" i="1"/>
  <c r="G533" i="1"/>
  <c r="F533" i="1"/>
  <c r="G532" i="1"/>
  <c r="F532" i="1"/>
  <c r="K544" i="1"/>
  <c r="J544" i="1"/>
  <c r="I544" i="1"/>
  <c r="H544" i="1"/>
  <c r="G544" i="1"/>
  <c r="F544" i="1"/>
  <c r="K543" i="1"/>
  <c r="J543" i="1"/>
  <c r="I543" i="1"/>
  <c r="H543" i="1"/>
  <c r="G543" i="1"/>
  <c r="F543" i="1"/>
  <c r="K542" i="1"/>
  <c r="J542" i="1"/>
  <c r="I542" i="1"/>
  <c r="H542" i="1"/>
  <c r="G542" i="1"/>
  <c r="F542" i="1"/>
  <c r="K529" i="1"/>
  <c r="J529" i="1"/>
  <c r="I529" i="1"/>
  <c r="H529" i="1"/>
  <c r="G529" i="1"/>
  <c r="F529" i="1"/>
  <c r="K528" i="1"/>
  <c r="J528" i="1"/>
  <c r="I528" i="1"/>
  <c r="H528" i="1"/>
  <c r="G528" i="1"/>
  <c r="F528" i="1"/>
  <c r="K527" i="1"/>
  <c r="J527" i="1"/>
  <c r="I527" i="1"/>
  <c r="H527" i="1"/>
  <c r="G527" i="1"/>
  <c r="F527" i="1"/>
  <c r="H539" i="1"/>
  <c r="H538" i="1"/>
  <c r="H537" i="1"/>
  <c r="J524" i="1"/>
  <c r="I524" i="1"/>
  <c r="H524" i="1"/>
  <c r="G524" i="1"/>
  <c r="F524" i="1"/>
  <c r="J523" i="1"/>
  <c r="I523" i="1"/>
  <c r="H523" i="1"/>
  <c r="G523" i="1"/>
  <c r="F523" i="1"/>
  <c r="J522" i="1"/>
  <c r="I522" i="1"/>
  <c r="H522" i="1"/>
  <c r="G522" i="1"/>
  <c r="F522" i="1"/>
  <c r="F503" i="1"/>
  <c r="J605" i="1" l="1"/>
  <c r="H256" i="1" l="1"/>
  <c r="K345" i="1" l="1"/>
  <c r="H326" i="1"/>
  <c r="J325" i="1"/>
  <c r="I325" i="1"/>
  <c r="H325" i="1"/>
  <c r="J306" i="1"/>
  <c r="I306" i="1"/>
  <c r="H306" i="1"/>
  <c r="J287" i="1"/>
  <c r="I287" i="1"/>
  <c r="H287" i="1"/>
  <c r="H322" i="1"/>
  <c r="G322" i="1"/>
  <c r="F322" i="1"/>
  <c r="H303" i="1"/>
  <c r="G303" i="1"/>
  <c r="F303" i="1"/>
  <c r="H284" i="1"/>
  <c r="G284" i="1"/>
  <c r="F284" i="1"/>
  <c r="K321" i="1"/>
  <c r="I321" i="1"/>
  <c r="H321" i="1"/>
  <c r="G321" i="1"/>
  <c r="F321" i="1"/>
  <c r="K302" i="1"/>
  <c r="I302" i="1"/>
  <c r="H302" i="1"/>
  <c r="G302" i="1"/>
  <c r="F302" i="1"/>
  <c r="K283" i="1"/>
  <c r="I283" i="1"/>
  <c r="H283" i="1"/>
  <c r="G283" i="1"/>
  <c r="F283" i="1"/>
  <c r="H320" i="1"/>
  <c r="G320" i="1"/>
  <c r="F320" i="1"/>
  <c r="H301" i="1"/>
  <c r="G301" i="1"/>
  <c r="F301" i="1"/>
  <c r="G282" i="1"/>
  <c r="H282" i="1"/>
  <c r="F282" i="1"/>
  <c r="H334" i="1"/>
  <c r="I318" i="1"/>
  <c r="H318" i="1"/>
  <c r="G318" i="1"/>
  <c r="F318" i="1"/>
  <c r="I299" i="1"/>
  <c r="H299" i="1"/>
  <c r="G299" i="1"/>
  <c r="F299" i="1"/>
  <c r="I280" i="1"/>
  <c r="H280" i="1"/>
  <c r="G280" i="1"/>
  <c r="F280" i="1"/>
  <c r="I316" i="1"/>
  <c r="H316" i="1"/>
  <c r="G316" i="1"/>
  <c r="F316" i="1"/>
  <c r="I297" i="1"/>
  <c r="H297" i="1"/>
  <c r="G297" i="1"/>
  <c r="F297" i="1"/>
  <c r="I278" i="1"/>
  <c r="H278" i="1"/>
  <c r="G278" i="1"/>
  <c r="F278" i="1"/>
  <c r="I315" i="1"/>
  <c r="H315" i="1"/>
  <c r="G315" i="1"/>
  <c r="F315" i="1"/>
  <c r="I296" i="1"/>
  <c r="H296" i="1"/>
  <c r="G296" i="1"/>
  <c r="F296" i="1"/>
  <c r="I277" i="1"/>
  <c r="H277" i="1"/>
  <c r="G277" i="1"/>
  <c r="F277" i="1"/>
  <c r="H234" i="1" l="1"/>
  <c r="G244" i="1"/>
  <c r="G226" i="1"/>
  <c r="G208" i="1"/>
  <c r="G243" i="1"/>
  <c r="G242" i="1"/>
  <c r="G224" i="1"/>
  <c r="G206" i="1"/>
  <c r="G240" i="1"/>
  <c r="G222" i="1"/>
  <c r="G204" i="1"/>
  <c r="G239" i="1"/>
  <c r="G221" i="1"/>
  <c r="G203" i="1"/>
  <c r="G252" i="1"/>
  <c r="G237" i="1"/>
  <c r="G219" i="1"/>
  <c r="G201" i="1"/>
  <c r="G236" i="1"/>
  <c r="G235" i="1"/>
  <c r="G217" i="1"/>
  <c r="G199" i="1"/>
  <c r="G234" i="1"/>
  <c r="G216" i="1"/>
  <c r="G198" i="1"/>
  <c r="F234" i="1"/>
  <c r="F216" i="1"/>
  <c r="F198" i="1"/>
  <c r="K269" i="1"/>
  <c r="F199" i="1"/>
  <c r="K267" i="1"/>
  <c r="K262" i="1"/>
  <c r="K261" i="1"/>
  <c r="I246" i="1"/>
  <c r="H246" i="1"/>
  <c r="G246" i="1"/>
  <c r="F246" i="1"/>
  <c r="I228" i="1"/>
  <c r="H228" i="1"/>
  <c r="G228" i="1"/>
  <c r="F228" i="1"/>
  <c r="I210" i="1"/>
  <c r="H210" i="1"/>
  <c r="G210" i="1"/>
  <c r="F210" i="1"/>
  <c r="K245" i="1"/>
  <c r="I245" i="1"/>
  <c r="H245" i="1"/>
  <c r="G245" i="1"/>
  <c r="F245" i="1"/>
  <c r="K227" i="1"/>
  <c r="I227" i="1"/>
  <c r="H227" i="1"/>
  <c r="G227" i="1"/>
  <c r="F227" i="1"/>
  <c r="K209" i="1"/>
  <c r="I209" i="1"/>
  <c r="H209" i="1"/>
  <c r="G209" i="1"/>
  <c r="F209" i="1"/>
  <c r="K244" i="1"/>
  <c r="J244" i="1"/>
  <c r="I244" i="1"/>
  <c r="H244" i="1"/>
  <c r="F244" i="1"/>
  <c r="K226" i="1"/>
  <c r="J226" i="1"/>
  <c r="I226" i="1"/>
  <c r="H226" i="1"/>
  <c r="F226" i="1"/>
  <c r="K208" i="1"/>
  <c r="J208" i="1"/>
  <c r="I208" i="1"/>
  <c r="H208" i="1"/>
  <c r="F208" i="1"/>
  <c r="K243" i="1"/>
  <c r="J243" i="1"/>
  <c r="I243" i="1"/>
  <c r="H243" i="1"/>
  <c r="F243" i="1"/>
  <c r="K225" i="1"/>
  <c r="J225" i="1"/>
  <c r="I225" i="1"/>
  <c r="H225" i="1"/>
  <c r="G225" i="1"/>
  <c r="F225" i="1"/>
  <c r="K207" i="1"/>
  <c r="J207" i="1"/>
  <c r="I207" i="1"/>
  <c r="H207" i="1"/>
  <c r="G207" i="1"/>
  <c r="F207" i="1"/>
  <c r="K242" i="1"/>
  <c r="H242" i="1"/>
  <c r="F242" i="1"/>
  <c r="K224" i="1"/>
  <c r="H224" i="1"/>
  <c r="F224" i="1"/>
  <c r="K206" i="1"/>
  <c r="H206" i="1"/>
  <c r="F206" i="1"/>
  <c r="K241" i="1"/>
  <c r="J241" i="1"/>
  <c r="I241" i="1"/>
  <c r="H241" i="1"/>
  <c r="G241" i="1"/>
  <c r="F241" i="1"/>
  <c r="K223" i="1"/>
  <c r="J223" i="1"/>
  <c r="I223" i="1"/>
  <c r="H223" i="1"/>
  <c r="G223" i="1"/>
  <c r="F223" i="1"/>
  <c r="K205" i="1"/>
  <c r="J205" i="1"/>
  <c r="I205" i="1"/>
  <c r="H205" i="1"/>
  <c r="G205" i="1"/>
  <c r="F205" i="1"/>
  <c r="K240" i="1"/>
  <c r="J240" i="1"/>
  <c r="I240" i="1"/>
  <c r="H240" i="1"/>
  <c r="F240" i="1"/>
  <c r="K222" i="1"/>
  <c r="J222" i="1"/>
  <c r="I222" i="1"/>
  <c r="H222" i="1"/>
  <c r="F222" i="1"/>
  <c r="K204" i="1"/>
  <c r="J204" i="1"/>
  <c r="I204" i="1"/>
  <c r="H204" i="1"/>
  <c r="F204" i="1"/>
  <c r="K239" i="1"/>
  <c r="J239" i="1"/>
  <c r="I239" i="1"/>
  <c r="H239" i="1"/>
  <c r="F239" i="1"/>
  <c r="K221" i="1"/>
  <c r="J221" i="1"/>
  <c r="I221" i="1"/>
  <c r="H221" i="1"/>
  <c r="F221" i="1"/>
  <c r="K203" i="1"/>
  <c r="J203" i="1"/>
  <c r="I203" i="1"/>
  <c r="H203" i="1"/>
  <c r="F203" i="1"/>
  <c r="F237" i="1"/>
  <c r="F219" i="1"/>
  <c r="F201" i="1"/>
  <c r="J235" i="1"/>
  <c r="I235" i="1"/>
  <c r="H235" i="1"/>
  <c r="F235" i="1"/>
  <c r="J217" i="1"/>
  <c r="I217" i="1"/>
  <c r="H217" i="1"/>
  <c r="F217" i="1"/>
  <c r="J199" i="1"/>
  <c r="I199" i="1"/>
  <c r="H199" i="1"/>
  <c r="K234" i="1"/>
  <c r="I234" i="1"/>
  <c r="I216" i="1"/>
  <c r="H216" i="1"/>
  <c r="K198" i="1"/>
  <c r="I198" i="1"/>
  <c r="H198" i="1"/>
  <c r="H583" i="1" l="1"/>
  <c r="G583" i="1"/>
  <c r="F583" i="1"/>
  <c r="G580" i="1"/>
  <c r="F580" i="1"/>
  <c r="I564" i="1"/>
  <c r="H564" i="1"/>
  <c r="H565" i="1"/>
  <c r="G565" i="1"/>
  <c r="F565" i="1"/>
  <c r="G564" i="1"/>
  <c r="F564" i="1"/>
  <c r="I563" i="1"/>
  <c r="G563" i="1"/>
  <c r="F563" i="1"/>
  <c r="I565" i="1"/>
  <c r="H369" i="1"/>
  <c r="H368" i="1"/>
  <c r="G369" i="1"/>
  <c r="G368" i="1"/>
  <c r="F369" i="1"/>
  <c r="F368" i="1"/>
  <c r="G158" i="1"/>
  <c r="H430" i="1"/>
  <c r="H381" i="1"/>
  <c r="H380" i="1"/>
  <c r="J381" i="1"/>
  <c r="I381" i="1"/>
  <c r="K361" i="1"/>
  <c r="I361" i="1"/>
  <c r="H361" i="1"/>
  <c r="G361" i="1"/>
  <c r="F361" i="1"/>
  <c r="K360" i="1"/>
  <c r="I360" i="1"/>
  <c r="H360" i="1"/>
  <c r="G360" i="1"/>
  <c r="F360" i="1"/>
  <c r="K359" i="1"/>
  <c r="I359" i="1"/>
  <c r="H359" i="1"/>
  <c r="G359" i="1"/>
  <c r="F359" i="1"/>
  <c r="J180" i="1" l="1"/>
  <c r="J96" i="1"/>
  <c r="H401" i="1"/>
  <c r="G401" i="1"/>
  <c r="I401" i="1"/>
  <c r="J102" i="1"/>
  <c r="I187" i="1"/>
  <c r="I96" i="1"/>
  <c r="H161" i="1"/>
  <c r="H159" i="1"/>
  <c r="H156" i="1"/>
  <c r="H155" i="1"/>
  <c r="H154" i="1"/>
  <c r="H135" i="1"/>
  <c r="H102" i="1"/>
  <c r="G132" i="1"/>
  <c r="G110" i="1"/>
  <c r="G97" i="1"/>
  <c r="G96" i="1"/>
  <c r="F182" i="1"/>
  <c r="F161" i="1"/>
  <c r="F145" i="1"/>
  <c r="F127" i="1"/>
  <c r="F126" i="1"/>
  <c r="F123" i="1"/>
  <c r="F120" i="1"/>
  <c r="F118" i="1"/>
  <c r="F117" i="1"/>
  <c r="F110" i="1"/>
  <c r="F109" i="1"/>
  <c r="F101" i="1"/>
  <c r="F98" i="1"/>
  <c r="F96" i="1"/>
  <c r="F93" i="1"/>
  <c r="F83" i="1"/>
  <c r="F70" i="1"/>
  <c r="F69" i="1"/>
  <c r="F68" i="1"/>
  <c r="F64" i="1"/>
  <c r="F63" i="1"/>
  <c r="J469" i="1"/>
  <c r="I469" i="1"/>
  <c r="H469" i="1"/>
  <c r="G469" i="1"/>
  <c r="H337" i="1"/>
  <c r="J317" i="1"/>
  <c r="I317" i="1"/>
  <c r="H317" i="1"/>
  <c r="G317" i="1"/>
  <c r="F317" i="1"/>
  <c r="J315" i="1"/>
  <c r="I282" i="1"/>
  <c r="I288" i="1"/>
  <c r="H288" i="1"/>
  <c r="G256" i="1"/>
  <c r="F256" i="1"/>
  <c r="J252" i="1"/>
  <c r="I252" i="1"/>
  <c r="H252" i="1"/>
  <c r="F252" i="1"/>
  <c r="J242" i="1" l="1"/>
  <c r="I242" i="1"/>
  <c r="K237" i="1"/>
  <c r="J237" i="1"/>
  <c r="I237" i="1"/>
  <c r="H237" i="1"/>
  <c r="F236" i="1"/>
  <c r="H236" i="1"/>
  <c r="K236" i="1"/>
  <c r="I236" i="1"/>
  <c r="J234" i="1"/>
  <c r="I224" i="1"/>
  <c r="K219" i="1"/>
  <c r="I219" i="1"/>
  <c r="H219" i="1"/>
  <c r="J216" i="1"/>
  <c r="I206" i="1"/>
  <c r="J198" i="1"/>
  <c r="G442" i="1"/>
  <c r="G441" i="1"/>
  <c r="I48" i="1"/>
  <c r="H48" i="1"/>
  <c r="H45" i="1"/>
  <c r="J466" i="1"/>
  <c r="I466" i="1"/>
  <c r="H466" i="1"/>
  <c r="G466" i="1"/>
  <c r="F466"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C119" i="2" l="1"/>
  <c r="C32" i="10"/>
  <c r="D15" i="13"/>
  <c r="C15" i="13" s="1"/>
  <c r="E13" i="13"/>
  <c r="C13" i="13" s="1"/>
  <c r="C121" i="2"/>
  <c r="D6" i="13"/>
  <c r="C6" i="13" s="1"/>
  <c r="A40" i="12"/>
  <c r="J652" i="1"/>
  <c r="G662" i="1"/>
  <c r="G646" i="1"/>
  <c r="G409" i="1"/>
  <c r="H646" i="1" s="1"/>
  <c r="I409" i="1"/>
  <c r="C13" i="10"/>
  <c r="C12" i="10"/>
  <c r="C110" i="2"/>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15" i="2" l="1"/>
  <c r="F194" i="1"/>
  <c r="G628" i="1" s="1"/>
  <c r="J628" i="1" s="1"/>
  <c r="C81" i="2"/>
  <c r="E128" i="2"/>
  <c r="E145" i="2" s="1"/>
  <c r="F661" i="1"/>
  <c r="F665" i="1" s="1"/>
  <c r="F668" i="1" s="1"/>
  <c r="I663" i="1"/>
  <c r="H661" i="1"/>
  <c r="H665" i="1" s="1"/>
  <c r="H668" i="1" s="1"/>
  <c r="H194" i="1"/>
  <c r="G630" i="1" s="1"/>
  <c r="J630"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<sst xmlns="http://schemas.openxmlformats.org/spreadsheetml/2006/main" count="6508" uniqueCount="1805">
  <si>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</si>
  <si>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</si>
  <si>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</si>
  <si>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</si>
  <si>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</si>
  <si>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</si>
  <si>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</si>
  <si>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</si>
  <si>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</si>
  <si>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</si>
  <si>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</si>
  <si>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</si>
  <si>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</si>
  <si>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</si>
  <si>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</si>
  <si>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</si>
  <si>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</si>
  <si>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</si>
  <si>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</si>
  <si>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</si>
  <si>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</si>
  <si>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</si>
  <si>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</si>
  <si>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</si>
  <si>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</si>
  <si>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</si>
  <si>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</si>
  <si>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</si>
  <si>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</si>
  <si>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</si>
  <si>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</si>
  <si>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</si>
  <si>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</si>
  <si>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</si>
  <si>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</si>
  <si>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</si>
  <si>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</si>
  <si>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</si>
  <si>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</si>
  <si>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</si>
  <si>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</si>
  <si>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</si>
  <si>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</si>
  <si>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</si>
  <si>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</si>
  <si>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</si>
  <si>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</si>
  <si>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</si>
  <si>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</si>
  <si>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</si>
  <si>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</si>
  <si>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</si>
  <si>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</si>
  <si>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</si>
  <si>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</si>
  <si>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</si>
  <si>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</si>
  <si>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</si>
  <si>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</si>
  <si>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</si>
  <si>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</si>
  <si>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</si>
  <si>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</si>
  <si>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</si>
  <si>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</si>
  <si>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</si>
  <si>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</si>
  <si>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</si>
  <si>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</si>
  <si>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</si>
  <si>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</si>
  <si>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</si>
  <si>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</si>
  <si>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</si>
  <si>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</si>
  <si>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</si>
  <si>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</si>
  <si>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</si>
  <si>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</si>
  <si>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</si>
  <si>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</si>
  <si>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</si>
  <si>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</si>
  <si>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</si>
  <si>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</si>
  <si>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</si>
  <si>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</si>
  <si>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</si>
  <si>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</si>
  <si>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</si>
  <si>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</si>
  <si>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</si>
  <si>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</si>
  <si>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</si>
  <si>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</si>
  <si>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</si>
  <si>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</si>
  <si>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</si>
  <si>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</si>
  <si>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</si>
  <si>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</si>
  <si>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</si>
  <si>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</si>
  <si>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</si>
  <si>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</si>
  <si>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</si>
  <si>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</si>
  <si>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</si>
  <si>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</si>
  <si>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</si>
  <si>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</si>
  <si>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</si>
  <si>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</si>
  <si>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</si>
  <si>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</si>
  <si>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</si>
  <si>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</si>
  <si>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</si>
  <si>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</si>
  <si>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</si>
  <si>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</si>
  <si>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</si>
  <si>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</si>
  <si>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</si>
  <si>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</si>
  <si>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</si>
  <si>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</si>
  <si>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</si>
  <si>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</si>
  <si>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</si>
  <si>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</si>
  <si>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</si>
  <si>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</si>
  <si>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</si>
  <si>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</si>
  <si>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</si>
  <si>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</si>
  <si>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</si>
  <si>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</si>
  <si>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</si>
  <si>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</si>
  <si>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</si>
  <si>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</si>
  <si>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</si>
  <si>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</si>
  <si>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</si>
  <si>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</si>
  <si>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</si>
  <si>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</si>
  <si>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</si>
  <si>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</si>
  <si>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</si>
  <si>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</si>
  <si>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</si>
  <si>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</si>
  <si>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</si>
  <si>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</si>
  <si>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</si>
  <si>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</si>
  <si>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</si>
  <si>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</si>
  <si>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</si>
  <si>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</si>
  <si>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</si>
  <si>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</si>
  <si>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</si>
  <si>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</si>
  <si>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</si>
  <si>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</si>
  <si>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</si>
  <si>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</si>
  <si>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</si>
  <si>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</si>
  <si>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</si>
  <si>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</si>
  <si>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</si>
  <si>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</si>
  <si>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</si>
  <si>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</si>
  <si>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</si>
  <si>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</si>
  <si>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</si>
  <si>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</si>
  <si>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</si>
  <si>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</si>
  <si>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</si>
  <si>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</si>
  <si>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</si>
  <si>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</si>
  <si>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</si>
  <si>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</si>
  <si>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</si>
  <si>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</si>
  <si>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</si>
  <si>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</si>
  <si>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</si>
  <si>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</si>
  <si>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</si>
  <si>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</si>
  <si>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</si>
  <si>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</si>
  <si>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</si>
  <si>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</si>
  <si>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</si>
  <si>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</si>
  <si>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</si>
  <si>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</si>
  <si>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</si>
  <si>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</si>
  <si>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</si>
  <si>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</si>
  <si>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</si>
  <si>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</si>
  <si>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</si>
  <si>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</si>
  <si>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</si>
  <si>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</si>
  <si>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</si>
  <si>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</si>
  <si>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</si>
  <si>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</si>
  <si>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</si>
  <si>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</si>
  <si>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</si>
  <si>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</si>
  <si>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</si>
  <si>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</si>
  <si>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</si>
  <si>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</si>
  <si>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</si>
  <si>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</si>
  <si>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</si>
  <si>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</si>
  <si>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</si>
  <si>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</si>
  <si>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</si>
  <si>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</si>
  <si>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</si>
  <si>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</si>
  <si>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</si>
  <si>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</si>
  <si>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</si>
  <si>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</si>
  <si>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</si>
  <si>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</si>
  <si>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</si>
  <si>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</si>
  <si>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</si>
  <si>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</si>
  <si>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</si>
  <si>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</si>
  <si>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</si>
  <si>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</si>
  <si>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</si>
  <si>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</si>
  <si>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</si>
  <si>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</si>
  <si>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</si>
  <si>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</si>
  <si>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</si>
  <si>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</si>
  <si>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</si>
  <si>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</si>
  <si>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</si>
  <si>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</si>
  <si>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</si>
  <si>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</si>
  <si>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</si>
  <si>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</si>
  <si>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</si>
  <si>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</si>
  <si>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</si>
  <si>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</si>
  <si>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</si>
  <si>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</si>
  <si>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</si>
  <si>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</si>
  <si>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</si>
  <si>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</si>
  <si>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</si>
  <si>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</si>
  <si>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</si>
  <si>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</si>
  <si>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</si>
  <si>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</si>
  <si>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</si>
  <si>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</si>
  <si>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</si>
  <si>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</si>
  <si>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</si>
  <si>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</si>
  <si>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</si>
  <si>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</si>
  <si>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</si>
  <si>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</si>
  <si>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</si>
  <si>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</si>
  <si>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</si>
  <si>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</si>
  <si>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</si>
  <si>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</si>
  <si>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</si>
  <si>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</si>
  <si>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</si>
  <si>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</si>
  <si>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</si>
  <si>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</si>
  <si>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</si>
  <si>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</si>
  <si>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</si>
  <si>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</si>
  <si>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</si>
  <si>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</si>
  <si>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</si>
  <si>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</si>
  <si>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</si>
  <si>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</si>
  <si>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</si>
  <si>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</si>
  <si>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</si>
  <si>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</si>
  <si>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</si>
  <si>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</si>
  <si>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</si>
  <si>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</si>
  <si>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</si>
  <si>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</si>
  <si>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</si>
  <si>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</si>
  <si>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</si>
  <si>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</si>
  <si>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</si>
  <si>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</si>
  <si>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</si>
  <si>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</si>
  <si>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</si>
  <si>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</si>
  <si>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</si>
  <si>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</si>
  <si>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</si>
  <si>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</si>
  <si>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</si>
  <si>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</si>
  <si>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</si>
  <si>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</si>
  <si>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</si>
  <si>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</si>
  <si>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</si>
  <si>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</si>
  <si>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</si>
  <si>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</si>
  <si>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</si>
  <si>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</si>
  <si>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</si>
  <si>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</si>
  <si>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</si>
  <si>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</si>
  <si>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</si>
  <si>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</si>
  <si>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</si>
  <si>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</si>
  <si>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</si>
  <si>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</si>
  <si>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</si>
  <si>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</si>
  <si>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</si>
  <si>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</si>
  <si>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</si>
  <si>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</si>
  <si>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</si>
  <si>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</si>
  <si>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</si>
  <si>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</si>
  <si>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</si>
  <si>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</si>
  <si>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</si>
  <si>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</si>
  <si>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</si>
  <si>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</si>
  <si>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</si>
  <si>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</si>
  <si>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</si>
  <si>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</si>
  <si>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</si>
  <si>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</si>
  <si>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</si>
  <si>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</si>
  <si>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</si>
  <si>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</si>
  <si>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</si>
  <si>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</si>
  <si>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</si>
  <si>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</si>
  <si>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</si>
  <si>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</si>
  <si>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</si>
  <si>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</si>
  <si>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</si>
  <si>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</si>
  <si>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</si>
  <si>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</si>
  <si>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</si>
  <si>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</si>
  <si>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</si>
  <si>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</si>
  <si>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</si>
  <si>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</si>
  <si>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</si>
  <si>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</si>
  <si>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</si>
  <si>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</si>
  <si>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</si>
  <si>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</si>
  <si>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</si>
  <si>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</si>
  <si>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</si>
  <si>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</si>
  <si>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</si>
  <si>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</si>
  <si>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</si>
  <si>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</si>
  <si>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</si>
  <si>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</si>
  <si>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</si>
  <si>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</si>
  <si>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</si>
  <si>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</si>
  <si>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</si>
  <si>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</si>
  <si>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</si>
  <si>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</si>
  <si>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</si>
  <si>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</si>
  <si>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</si>
  <si>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</si>
  <si>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</si>
  <si>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</si>
  <si>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</si>
  <si>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</si>
  <si>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</si>
  <si>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</si>
  <si>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</si>
  <si>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</si>
  <si>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</si>
  <si>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</si>
  <si>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</si>
  <si>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</si>
  <si>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</si>
  <si>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</si>
  <si>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</si>
  <si>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</si>
  <si>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</si>
  <si>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</si>
  <si>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</si>
  <si>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</si>
  <si>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</si>
  <si>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</si>
  <si>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</si>
  <si>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</si>
  <si>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</si>
  <si>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</si>
  <si>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</si>
  <si>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</si>
  <si>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</si>
  <si>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</si>
  <si>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</si>
  <si>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</si>
  <si>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</si>
  <si>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</si>
  <si>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</si>
  <si>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</si>
  <si>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</si>
  <si>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</si>
  <si>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</si>
  <si>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</si>
  <si>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</si>
  <si>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</si>
  <si>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</si>
  <si>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</si>
  <si>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</si>
  <si>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</si>
  <si>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</si>
  <si>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</si>
  <si>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</si>
  <si>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</si>
  <si>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</si>
  <si>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</si>
  <si>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</si>
  <si>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</si>
  <si>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</si>
  <si>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</si>
  <si>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</si>
  <si>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</si>
  <si>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</si>
  <si>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</si>
  <si>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</si>
  <si>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</si>
  <si>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</si>
  <si>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</si>
  <si>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</si>
  <si>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</si>
  <si>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</si>
  <si>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</si>
  <si>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</si>
  <si>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</si>
  <si>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</si>
  <si>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</si>
  <si>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</si>
  <si>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</si>
  <si>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</si>
  <si>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</si>
  <si>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</si>
  <si>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</si>
  <si>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</si>
  <si>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</si>
  <si>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</si>
  <si>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</si>
  <si>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</si>
  <si>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</si>
  <si>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</si>
  <si>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</si>
  <si>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</si>
  <si>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</si>
  <si>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</si>
  <si>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</si>
  <si>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</si>
  <si>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</si>
  <si>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</si>
  <si>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</si>
  <si>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</si>
  <si>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</si>
  <si>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</si>
  <si>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</si>
  <si>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</si>
  <si>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</si>
  <si>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</si>
  <si>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</si>
  <si>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</si>
  <si>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</si>
  <si>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</si>
  <si>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</si>
  <si>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</si>
  <si>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</si>
  <si>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</si>
  <si>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</si>
  <si>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</si>
  <si>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</si>
  <si>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</si>
  <si>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</si>
  <si>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</si>
  <si>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</si>
  <si>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</si>
  <si>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</si>
  <si>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</si>
  <si>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</si>
  <si>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</si>
  <si>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</si>
  <si>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</si>
  <si>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</si>
  <si>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</si>
  <si>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</si>
  <si>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</si>
  <si>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</si>
  <si>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</si>
  <si>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</si>
  <si>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</si>
  <si>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</si>
  <si>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</si>
  <si>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</si>
  <si>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</si>
  <si>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</si>
  <si>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</si>
  <si>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</si>
  <si>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</si>
  <si>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</si>
  <si>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</si>
  <si>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</si>
  <si>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</si>
  <si>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</si>
  <si>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</si>
  <si>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</si>
  <si>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</si>
  <si>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</si>
  <si>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</si>
  <si>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</si>
  <si>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</si>
  <si>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</si>
  <si>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</si>
  <si>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</si>
  <si>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</si>
  <si>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</si>
  <si>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</si>
  <si>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</si>
  <si>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</si>
  <si>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</si>
  <si>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</si>
  <si>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</si>
  <si>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</si>
  <si>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</si>
  <si>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</si>
  <si>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</si>
  <si>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</si>
  <si>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</si>
  <si>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</si>
  <si>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</si>
  <si>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</si>
  <si>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</si>
  <si>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</si>
  <si>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</si>
  <si>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</si>
  <si>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</si>
  <si>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</si>
  <si>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</si>
  <si>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</si>
  <si>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</si>
  <si>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</si>
  <si>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</si>
  <si>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</si>
  <si>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</si>
  <si>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</si>
  <si>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</si>
  <si>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</si>
  <si>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</si>
  <si>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</si>
  <si>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</si>
  <si>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</si>
  <si>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</si>
  <si>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</si>
  <si>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</si>
  <si>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</si>
  <si>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</si>
  <si>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</si>
  <si>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</si>
  <si>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</si>
  <si>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</si>
  <si>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</si>
  <si>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</si>
  <si>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</si>
  <si>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</si>
  <si>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</si>
  <si>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</si>
  <si>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</si>
  <si>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</si>
  <si>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</si>
  <si>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</si>
  <si>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</si>
  <si>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</si>
  <si>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</si>
  <si>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</si>
  <si>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</si>
  <si>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</si>
  <si>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</si>
  <si>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</si>
  <si>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</si>
  <si>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</si>
  <si>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</si>
  <si>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</si>
  <si>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</si>
  <si>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</si>
  <si>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</si>
  <si>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</si>
  <si>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</si>
  <si>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</si>
  <si>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</si>
  <si>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</si>
  <si>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</si>
  <si>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</si>
  <si>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</si>
  <si>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</si>
  <si>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</si>
  <si>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</si>
  <si>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</si>
  <si>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</si>
  <si>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</si>
  <si>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</si>
  <si>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</si>
  <si>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</si>
  <si>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</si>
  <si>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</si>
  <si>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</si>
  <si>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</si>
  <si>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</si>
  <si>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</si>
  <si>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</si>
  <si>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</si>
  <si>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</si>
  <si>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</si>
  <si>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</si>
  <si>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</si>
  <si>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</si>
  <si>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</si>
  <si>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</si>
  <si>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</si>
  <si>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</si>
  <si>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</si>
  <si>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</si>
  <si>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</si>
  <si>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</si>
  <si>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</si>
  <si>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</si>
  <si>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</si>
  <si>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</si>
  <si>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</si>
  <si>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</si>
  <si>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</si>
  <si>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</si>
  <si>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</si>
  <si>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</si>
  <si>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</si>
  <si>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</si>
  <si>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</si>
  <si>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</si>
  <si>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</si>
  <si>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</si>
  <si>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</si>
  <si>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</si>
  <si>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</si>
  <si>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</si>
  <si>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</si>
  <si>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</si>
  <si>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</si>
  <si>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</si>
  <si>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</si>
  <si>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</si>
  <si>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</si>
  <si>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</si>
  <si>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</si>
  <si>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</si>
  <si>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</si>
  <si>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</si>
  <si>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</si>
  <si>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</si>
  <si>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</si>
  <si>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</si>
  <si>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</si>
  <si>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</si>
  <si>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</si>
  <si>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</si>
  <si>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</si>
  <si>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</si>
  <si>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</si>
  <si>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</si>
  <si>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</si>
  <si>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</si>
  <si>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</si>
  <si>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</si>
  <si>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</si>
  <si>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</si>
  <si>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</si>
  <si>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</si>
  <si>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</si>
  <si>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</si>
  <si>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</si>
  <si>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</si>
  <si>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</si>
  <si>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</si>
  <si>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</si>
  <si>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</si>
  <si>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</si>
  <si>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</si>
  <si>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</si>
  <si>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</si>
  <si>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</si>
  <si>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</si>
  <si>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</si>
  <si>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</si>
  <si>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</si>
  <si>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</si>
  <si>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</si>
  <si>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</si>
  <si>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</si>
  <si>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</si>
  <si>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</si>
  <si>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</si>
  <si>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</si>
  <si>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</si>
  <si>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</si>
  <si>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</si>
  <si>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</si>
  <si>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</si>
  <si>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</si>
  <si>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</si>
  <si>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</si>
  <si>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</si>
  <si>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</si>
  <si>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</si>
  <si>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</si>
  <si>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</si>
  <si>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</si>
  <si>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</si>
  <si>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</si>
  <si>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</si>
  <si>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</si>
  <si>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</si>
  <si>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</si>
  <si>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</si>
  <si>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</si>
  <si>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</si>
  <si>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</si>
  <si>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</si>
  <si>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</si>
  <si>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</si>
  <si>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</si>
  <si>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</si>
  <si>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</si>
  <si>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</si>
  <si>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</si>
  <si>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</si>
  <si>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</si>
  <si>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</si>
  <si>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</si>
  <si>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</si>
  <si>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</si>
  <si>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</si>
  <si>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</si>
  <si>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</si>
  <si>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</si>
  <si>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</si>
  <si>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</si>
  <si>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</si>
  <si>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</si>
  <si>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</si>
  <si>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</si>
  <si>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</si>
  <si>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</si>
  <si>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</si>
  <si>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</si>
  <si>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</si>
  <si>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</si>
  <si>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</si>
  <si>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</si>
  <si>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</si>
  <si>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</si>
  <si>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</si>
  <si>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</si>
  <si>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</si>
  <si>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</si>
  <si>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</si>
  <si>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</si>
  <si>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</si>
  <si>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</si>
  <si>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</si>
  <si>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</si>
  <si>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</si>
  <si>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</si>
  <si>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</si>
  <si>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</si>
  <si>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</si>
  <si>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</si>
  <si>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</si>
  <si>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</si>
  <si>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</si>
  <si>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</si>
  <si>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</si>
  <si>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</si>
  <si>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</si>
  <si>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</si>
  <si>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</si>
  <si>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</si>
  <si>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</si>
  <si>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</si>
  <si>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</si>
  <si>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</si>
  <si>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</si>
  <si>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</si>
  <si>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</si>
  <si>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</si>
  <si>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</si>
  <si>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</si>
  <si>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</si>
  <si>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</si>
  <si>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</si>
  <si>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</si>
  <si>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</si>
  <si>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</si>
  <si>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</si>
  <si>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</si>
  <si>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</si>
  <si>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</si>
  <si>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</si>
  <si>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</si>
  <si>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</si>
  <si>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</si>
  <si>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</si>
  <si>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</si>
  <si>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</si>
  <si>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</si>
  <si>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</si>
  <si>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</si>
  <si>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</si>
  <si>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</si>
  <si>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</si>
  <si>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</si>
  <si>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</si>
  <si>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</si>
  <si>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</si>
  <si>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</si>
  <si>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</si>
  <si>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</si>
  <si>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</si>
  <si>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</si>
  <si>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</si>
  <si>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</si>
  <si>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</si>
  <si>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</si>
  <si>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</si>
  <si>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</si>
  <si>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</si>
  <si>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</si>
  <si>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</si>
  <si>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</si>
  <si>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</si>
  <si>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</si>
  <si>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</si>
  <si>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</si>
  <si>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</si>
  <si>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</si>
  <si>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</si>
  <si>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</si>
  <si>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</si>
  <si>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</si>
  <si>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</si>
  <si>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</si>
  <si>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</si>
  <si>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</si>
  <si>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</si>
  <si>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</si>
  <si>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</si>
  <si>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</si>
  <si>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</si>
  <si>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</si>
  <si>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</si>
  <si>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</si>
  <si>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</si>
  <si>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</si>
  <si>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</si>
  <si>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</si>
  <si>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</si>
  <si>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</si>
  <si>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</si>
  <si>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</si>
  <si>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</si>
  <si>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</si>
  <si>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</si>
  <si>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</si>
  <si>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</si>
  <si>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</si>
  <si>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</si>
  <si>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</si>
  <si>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</si>
  <si>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</si>
  <si>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</si>
  <si>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</si>
  <si>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</si>
  <si>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</si>
  <si>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</si>
  <si>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</si>
  <si>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</si>
  <si>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</si>
  <si>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</si>
  <si>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</si>
  <si>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</si>
  <si>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</si>
  <si>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</si>
  <si>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</si>
  <si>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</si>
  <si>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</si>
  <si>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</si>
  <si>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</si>
  <si>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</si>
  <si>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</si>
  <si>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</si>
  <si>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</si>
  <si>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</si>
  <si>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</si>
  <si>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</si>
  <si>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</si>
  <si>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</si>
  <si>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</si>
  <si>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</si>
  <si>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</si>
  <si>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</si>
  <si>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</si>
  <si>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</si>
  <si>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</si>
  <si>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</si>
  <si>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</si>
  <si>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</si>
  <si>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</si>
  <si>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</si>
  <si>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</si>
  <si>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</si>
  <si>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</si>
  <si>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</si>
  <si>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</si>
  <si>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</si>
  <si>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</si>
  <si>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</si>
  <si>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</si>
  <si>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</si>
  <si>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</si>
  <si>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</si>
  <si>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</si>
  <si>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</si>
  <si>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</si>
  <si>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</si>
  <si>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</si>
  <si>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</si>
  <si>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</si>
  <si>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</si>
  <si>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</si>
  <si>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</si>
  <si>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</si>
  <si>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</si>
  <si>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</si>
  <si>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</si>
  <si>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</si>
  <si>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</si>
  <si>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</si>
  <si>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</si>
  <si>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</si>
  <si>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</si>
  <si>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</si>
  <si>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</si>
  <si>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</si>
  <si>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</si>
  <si>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</si>
  <si>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</si>
  <si>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</si>
  <si>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</si>
  <si>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</si>
  <si>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</si>
  <si>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</si>
  <si>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</si>
  <si>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</si>
  <si>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</si>
  <si>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</si>
  <si>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</si>
  <si>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</si>
  <si>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</si>
  <si>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</si>
  <si>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</si>
  <si>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</si>
  <si>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</si>
  <si>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</si>
  <si>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</si>
  <si>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</si>
  <si>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</si>
  <si>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</si>
  <si>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</si>
  <si>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</si>
  <si>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</si>
  <si>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</si>
  <si>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</si>
  <si>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</si>
  <si>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</si>
  <si>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</si>
  <si>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</si>
  <si>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</si>
  <si>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</si>
  <si>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</si>
  <si>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</si>
  <si>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</si>
  <si>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</si>
  <si>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</si>
  <si>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</si>
  <si>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</si>
  <si>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</si>
  <si>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</si>
  <si>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</si>
  <si>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</si>
  <si>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</si>
  <si>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</si>
  <si>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</si>
  <si>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</si>
  <si>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</si>
  <si>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</si>
  <si>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</si>
  <si>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</si>
  <si>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</si>
  <si>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</si>
  <si>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</si>
  <si>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</si>
  <si>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</si>
  <si>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</si>
  <si>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</si>
  <si>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</si>
  <si>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</si>
  <si>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</si>
  <si>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</si>
  <si>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</si>
  <si>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</si>
  <si>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</si>
  <si>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</si>
  <si>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</si>
  <si>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</si>
  <si>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</si>
  <si>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</si>
  <si>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</si>
  <si>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</si>
  <si>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</si>
  <si>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</si>
  <si>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</si>
  <si>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</si>
  <si>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</si>
  <si>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</si>
  <si>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</si>
  <si>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</si>
  <si>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</si>
  <si>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</si>
  <si>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</si>
  <si>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</si>
  <si>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</si>
  <si>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</si>
  <si>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</si>
  <si>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</si>
  <si>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</si>
  <si>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</si>
  <si>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</si>
  <si>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</si>
  <si>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</si>
  <si>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</si>
  <si>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</si>
  <si>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</si>
  <si>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</si>
  <si>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</si>
  <si>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</si>
  <si>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</si>
  <si>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</si>
  <si>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</si>
  <si>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</si>
  <si>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</si>
  <si>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</si>
  <si>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</si>
  <si>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</si>
  <si>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</si>
  <si>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</si>
  <si>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</si>
  <si>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</si>
  <si>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</si>
  <si>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</si>
  <si>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</si>
  <si>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</si>
  <si>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</si>
  <si>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</si>
  <si>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</si>
  <si>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</si>
  <si>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</si>
  <si>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</si>
  <si>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</si>
  <si>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</si>
  <si>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</si>
  <si>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</si>
  <si>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</si>
  <si>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</si>
  <si>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</si>
  <si>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</si>
  <si>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</si>
  <si>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</si>
  <si>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</si>
  <si>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</si>
  <si>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</si>
  <si>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</si>
  <si>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</si>
  <si>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</si>
  <si>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</si>
  <si>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</si>
  <si>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</si>
  <si>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</si>
  <si>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</si>
  <si>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</si>
  <si>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</si>
  <si>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</si>
  <si>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</si>
  <si>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</si>
  <si>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</si>
  <si>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</si>
  <si>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</si>
  <si>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</si>
  <si>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</si>
  <si>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</si>
  <si>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</si>
  <si>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</si>
  <si>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</si>
  <si>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</si>
  <si>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</si>
  <si>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</si>
  <si>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</si>
  <si>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</si>
  <si>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</si>
  <si>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</si>
  <si>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</si>
  <si>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</si>
  <si>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</si>
  <si>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</si>
  <si>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</si>
  <si>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</si>
  <si>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</si>
  <si>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</si>
  <si>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</si>
  <si>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</si>
  <si>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</si>
  <si>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</si>
  <si>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</si>
  <si>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</si>
  <si>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</si>
  <si>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</si>
  <si>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</si>
  <si>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</si>
  <si>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</si>
  <si>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</si>
  <si>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</si>
  <si>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</si>
  <si>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</si>
  <si>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</si>
  <si>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</si>
  <si>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</si>
  <si>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</si>
  <si>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</si>
  <si>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</si>
  <si>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</si>
  <si>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</si>
  <si>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</si>
  <si>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</si>
  <si>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</si>
  <si>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</si>
  <si>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</si>
  <si>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</si>
  <si>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</si>
  <si>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</si>
  <si>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</si>
  <si>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</si>
  <si>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</si>
  <si>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</si>
  <si>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</si>
  <si>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</si>
  <si>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</si>
  <si>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</si>
  <si>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</si>
  <si>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</si>
  <si>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</si>
  <si>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</si>
  <si>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</si>
  <si>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</si>
  <si>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</si>
  <si>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</si>
  <si>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</si>
  <si>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</si>
  <si>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</si>
  <si>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</si>
  <si>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</si>
  <si>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</si>
  <si>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</si>
  <si>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</si>
  <si>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</si>
  <si>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</si>
  <si>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</si>
  <si>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</si>
  <si>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</si>
  <si>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</si>
  <si>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</si>
  <si>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</si>
  <si>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</si>
  <si>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</si>
  <si>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</si>
  <si>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</si>
  <si>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</si>
  <si>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</si>
  <si>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</si>
  <si>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</si>
  <si>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</si>
  <si>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</si>
  <si>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</si>
  <si>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</si>
  <si>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</si>
  <si>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</si>
  <si>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</si>
  <si>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</si>
  <si>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</si>
  <si>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</si>
  <si>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</si>
  <si>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</si>
  <si>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</si>
  <si>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</si>
  <si>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</si>
  <si>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</si>
  <si>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</si>
  <si>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</si>
  <si>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</si>
  <si>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</si>
  <si>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</si>
  <si>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</si>
  <si>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</si>
  <si>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</si>
  <si>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</si>
  <si>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</si>
  <si>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</si>
  <si>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</si>
  <si>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</si>
  <si>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</si>
  <si>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</si>
  <si>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</si>
  <si>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</si>
  <si>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</si>
  <si>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</si>
  <si>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</si>
  <si>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</si>
  <si>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</si>
  <si>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</si>
  <si>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</si>
  <si>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</si>
  <si>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</si>
  <si>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</si>
  <si>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</si>
  <si>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</si>
  <si>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</si>
  <si>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</si>
  <si>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</si>
  <si>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</si>
  <si>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</si>
  <si>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</si>
  <si>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</si>
  <si>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</si>
  <si>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</si>
  <si>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</si>
  <si>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</si>
  <si>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</si>
  <si>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</si>
  <si>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</si>
  <si>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</si>
  <si>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</si>
  <si>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</si>
  <si>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</si>
  <si>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</si>
  <si>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</si>
  <si>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</si>
  <si>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</si>
  <si>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</si>
  <si>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</si>
  <si>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</si>
  <si>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</si>
  <si>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</si>
  <si>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</si>
  <si>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</si>
  <si>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</si>
  <si>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</si>
  <si>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</si>
  <si>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</si>
  <si>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</si>
  <si>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</si>
  <si>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</si>
  <si>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</si>
  <si>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</si>
  <si>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</si>
  <si>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</si>
  <si>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</si>
  <si>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</si>
  <si>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</si>
  <si>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</si>
  <si>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</si>
  <si>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</si>
  <si>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</si>
  <si>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</si>
  <si>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</si>
  <si>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</si>
  <si>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</si>
  <si>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</si>
  <si>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</si>
  <si>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</si>
  <si>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</si>
  <si>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</si>
  <si>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</si>
  <si>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</si>
  <si>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</si>
  <si>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</si>
  <si>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</si>
  <si>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</si>
  <si>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</si>
  <si>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</si>
  <si>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</si>
  <si>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</si>
  <si>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</si>
  <si>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</si>
  <si>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</si>
  <si>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</si>
  <si>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</si>
  <si>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</si>
  <si>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</si>
  <si>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</si>
  <si>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</si>
  <si>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</si>
  <si>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</si>
  <si>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</si>
  <si>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</si>
  <si>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</si>
  <si>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</si>
  <si>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</si>
  <si>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</si>
  <si>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</si>
  <si>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</si>
  <si>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</si>
  <si>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</si>
  <si>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</si>
  <si>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</si>
  <si>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</si>
  <si>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</si>
  <si>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</si>
  <si>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</si>
  <si>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</si>
  <si>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</si>
  <si>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</si>
  <si>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</si>
  <si>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</si>
  <si>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</si>
  <si>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</si>
  <si>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</si>
  <si>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</si>
  <si>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</si>
  <si>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</si>
  <si>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</si>
  <si>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</si>
  <si>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</si>
  <si>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</si>
  <si>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</si>
  <si>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</si>
  <si>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</si>
  <si>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</si>
  <si>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</si>
  <si>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</si>
  <si>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</si>
  <si>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</si>
  <si>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</si>
  <si>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</si>
  <si>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</si>
  <si>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</si>
  <si>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</si>
  <si>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</si>
  <si>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</si>
  <si>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</si>
  <si>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</si>
  <si>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</si>
  <si>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</si>
  <si>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</si>
  <si>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</si>
  <si>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</si>
  <si>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</si>
  <si>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</si>
  <si>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</si>
  <si>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</si>
  <si>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</si>
  <si>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</si>
  <si>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</si>
  <si>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</si>
  <si>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</si>
  <si>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</si>
  <si>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</si>
  <si>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</si>
  <si>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</si>
  <si>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</si>
  <si>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</si>
  <si>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</si>
  <si>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</si>
  <si>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</si>
  <si>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</si>
  <si>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</si>
  <si>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</si>
  <si>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</si>
  <si>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</si>
  <si>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</si>
  <si>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</si>
  <si>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</si>
  <si>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</si>
  <si>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</si>
  <si>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</si>
  <si>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</si>
  <si>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</si>
  <si>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</si>
  <si>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</si>
  <si>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</si>
  <si>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</si>
  <si>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</si>
  <si>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</si>
  <si>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</si>
  <si>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</si>
  <si>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</si>
  <si>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</si>
  <si>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</si>
  <si>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</si>
  <si>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</si>
  <si>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</si>
  <si>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</si>
  <si>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</si>
  <si>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</si>
  <si>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</si>
  <si>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</si>
  <si>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</si>
  <si>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</si>
  <si>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</si>
  <si>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</si>
  <si>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</si>
  <si>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</si>
  <si>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</si>
  <si>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</si>
  <si>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</si>
  <si>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</si>
  <si>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</si>
  <si>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</si>
  <si>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</si>
  <si>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</si>
  <si>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</si>
  <si>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</si>
  <si>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</si>
  <si>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</si>
  <si>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</si>
  <si>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</si>
  <si>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</si>
  <si>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</si>
  <si>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</si>
  <si>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</si>
  <si>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</si>
  <si>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</si>
  <si>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</si>
  <si>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</si>
  <si>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</si>
  <si>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</si>
  <si>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</si>
  <si>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</si>
  <si>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</si>
  <si>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</si>
  <si>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</si>
  <si>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</si>
  <si>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</si>
  <si>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</si>
  <si>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</si>
  <si>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</si>
  <si>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</si>
  <si>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</si>
  <si>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</si>
  <si>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</si>
  <si>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</si>
  <si>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</si>
  <si>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</si>
  <si>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</si>
  <si>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</si>
  <si>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</si>
  <si>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</si>
  <si>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</si>
  <si>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</si>
  <si>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</si>
  <si>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</si>
  <si>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</si>
  <si>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</si>
  <si>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</si>
  <si>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</si>
  <si>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</si>
  <si>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</si>
  <si>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</si>
  <si>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</si>
  <si>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</si>
  <si>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</si>
  <si>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</si>
  <si>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</si>
  <si>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</si>
  <si>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</si>
  <si>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</si>
  <si>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</si>
  <si>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</si>
  <si>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</si>
  <si>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</si>
  <si>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</si>
  <si>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</si>
  <si>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</si>
  <si>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</si>
  <si>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</si>
  <si>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</si>
  <si>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</si>
  <si>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</si>
  <si>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</si>
  <si>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</si>
  <si>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</si>
  <si>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</si>
  <si>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</si>
  <si>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</si>
  <si>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</si>
  <si>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</si>
  <si>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</si>
  <si>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</si>
  <si>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</si>
  <si>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</si>
  <si>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</si>
  <si>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</si>
  <si>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</si>
  <si>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</si>
  <si>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</si>
  <si>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</si>
  <si>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</si>
  <si>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</si>
  <si>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</si>
  <si>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</si>
  <si>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</si>
  <si>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</si>
  <si>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</si>
  <si>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</si>
  <si>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</si>
  <si>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</si>
  <si>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</si>
  <si>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</si>
  <si>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</si>
  <si>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</si>
  <si>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</si>
  <si>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</si>
  <si>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</si>
  <si>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</si>
  <si>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</si>
  <si>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</si>
  <si>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</si>
  <si>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</si>
  <si>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</si>
  <si>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</si>
  <si>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</si>
  <si>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</si>
  <si>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</si>
  <si>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</si>
  <si>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</si>
  <si>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</si>
  <si>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</si>
  <si>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</si>
  <si>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</si>
  <si>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</si>
  <si>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</si>
  <si>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</si>
  <si>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</si>
  <si>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</si>
  <si>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</si>
  <si>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</si>
  <si>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</si>
  <si>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</si>
  <si>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</si>
  <si>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</si>
  <si>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</si>
  <si>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</si>
  <si>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</si>
  <si>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</si>
  <si>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</si>
  <si>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</si>
  <si>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</si>
  <si>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</si>
  <si>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</si>
  <si>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</si>
  <si>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</si>
  <si>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</si>
  <si>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</si>
  <si>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</si>
  <si>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</si>
  <si>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</si>
  <si>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</si>
  <si>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</si>
  <si>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</si>
  <si>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</si>
  <si>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</si>
  <si>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</si>
  <si>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</si>
  <si>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</si>
  <si>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</si>
  <si>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</si>
  <si>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</si>
  <si>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</si>
  <si>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</si>
  <si>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</si>
  <si>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</si>
  <si>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</si>
  <si>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</si>
  <si>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</si>
  <si>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</si>
  <si>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</si>
  <si>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</si>
  <si>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</si>
  <si>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</si>
  <si>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</si>
  <si>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</si>
  <si>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</si>
  <si>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</si>
  <si>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</si>
  <si>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</si>
  <si>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</si>
  <si>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</si>
  <si>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</si>
  <si>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</si>
  <si>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</si>
  <si>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</si>
  <si>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</si>
  <si>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</si>
  <si>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</si>
  <si>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</si>
  <si>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</si>
  <si>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</si>
  <si>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</si>
  <si>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</si>
  <si>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</si>
  <si>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</si>
  <si>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</si>
  <si>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</si>
  <si>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</si>
  <si>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</si>
  <si>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</si>
  <si>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</si>
  <si>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</si>
  <si>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</si>
  <si>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</si>
  <si>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</si>
  <si>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</si>
  <si>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</si>
  <si>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</si>
  <si>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</si>
  <si>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</si>
  <si>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</si>
  <si>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</si>
  <si>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</si>
  <si>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</si>
  <si>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</si>
  <si>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</si>
  <si>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</si>
  <si>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</si>
  <si>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</si>
  <si>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</si>
  <si>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</si>
  <si>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</si>
  <si>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</si>
  <si>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</si>
  <si>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</si>
  <si>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</si>
  <si>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</si>
  <si>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</si>
  <si>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</si>
  <si>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</si>
  <si>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</si>
  <si>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</si>
  <si>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</si>
  <si>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</si>
  <si>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</si>
  <si>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</si>
  <si>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</si>
  <si>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</si>
  <si>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</si>
  <si>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</si>
  <si>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</si>
  <si>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</si>
  <si>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</si>
  <si>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</si>
  <si>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</si>
  <si>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</si>
  <si>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</si>
  <si>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</si>
  <si>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</si>
  <si>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</si>
  <si>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</si>
  <si>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</si>
  <si>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</si>
  <si>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</si>
  <si>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</si>
  <si>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</si>
  <si>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</si>
  <si>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</si>
  <si>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</si>
  <si>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</si>
  <si>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</si>
  <si>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</si>
  <si>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</si>
  <si>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</si>
  <si>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</si>
  <si>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</si>
  <si>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</si>
  <si>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</si>
  <si>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</si>
  <si>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</si>
  <si>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</si>
  <si>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</si>
  <si>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</si>
  <si>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</si>
  <si>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</si>
  <si>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</si>
  <si>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</si>
  <si>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</si>
  <si>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</si>
  <si>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</si>
  <si>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</si>
  <si>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</si>
  <si>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</si>
  <si>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</si>
  <si>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</si>
  <si>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</si>
  <si>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</si>
  <si>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</si>
  <si>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</si>
  <si>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</si>
  <si>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</si>
  <si>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</si>
  <si>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</si>
  <si>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</si>
  <si>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</si>
  <si>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</si>
  <si>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</si>
  <si>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various</t>
  </si>
  <si>
    <t>6/10 - 8/20</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</si>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</sst>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50" zoomScaleNormal="15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969</v>
      </c>
      <c r="B2">
        <f>INDEX('School Tables'!$AH$3:$AH$208,MATCH('DOE25'!A2,'School Tables'!$AJ$3:$AJ$208,0))</f>
        <v>111</v>
      </c>
      <c r="C2">
        <f>INDEX('School Tables'!$AI$3:$AI$208,MATCH('DOE25'!A2,'School Tables'!$AJ$3:$AJ$208,0))</f>
        <v>111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1430009.1</v>
      </c>
      <c r="G9" s="18">
        <v>798061.48</v>
      </c>
      <c r="H9" s="18">
        <v>-200340.99</v>
      </c>
      <c r="I9" s="18">
        <v>191166.04</v>
      </c>
      <c r="J9" s="13">
        <f>SUM(I440)</f>
        <v>0</v>
      </c>
      <c r="K9" s="23" t="s">
        <v>288</v>
      </c>
      <c r="L9" s="23" t="s">
        <v>288</v>
      </c>
      <c r="M9" s="8"/>
      <c r="N9" s="165"/>
    </row>
    <row r="10" spans="1:14" s="3" customFormat="1" ht="12.2" customHeight="1" x14ac:dyDescent="0.15">
      <c r="A10" s="1" t="s">
        <v>562</v>
      </c>
      <c r="B10" s="2" t="s">
        <v>289</v>
      </c>
      <c r="C10" s="6">
        <v>2</v>
      </c>
      <c r="D10" s="2" t="s">
        <v>428</v>
      </c>
      <c r="E10" s="6">
        <v>110</v>
      </c>
      <c r="F10" s="18">
        <v>191.38</v>
      </c>
      <c r="G10" s="18"/>
      <c r="H10" s="18"/>
      <c r="I10" s="18">
        <v>3751.56</v>
      </c>
      <c r="J10" s="13">
        <f>SUM(I441)</f>
        <v>16067749.979999999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136163701.95-300000</f>
        <v>135863701.94999999</v>
      </c>
      <c r="G12" s="18">
        <v>6884107.6200000001</v>
      </c>
      <c r="H12" s="18">
        <v>61472960.200000003</v>
      </c>
      <c r="I12" s="18">
        <v>67576312.769999996</v>
      </c>
      <c r="J12" s="13">
        <f>SUM(I442)</f>
        <v>-1703884.8</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4171676.86</v>
      </c>
      <c r="G14" s="18">
        <v>588343.05000000005</v>
      </c>
      <c r="H14" s="18">
        <v>4518761.71</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76048.570000000007</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558403.26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118700</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142142682.54999998</v>
      </c>
      <c r="G19" s="38">
        <f>SUM(G9:G18)</f>
        <v>8346560.7199999997</v>
      </c>
      <c r="H19" s="38">
        <f>SUM(H9:H18)</f>
        <v>65791380.920000002</v>
      </c>
      <c r="I19" s="38">
        <f>SUM(I9:I18)</f>
        <v>67771230.36999999</v>
      </c>
      <c r="J19" s="38">
        <f>SUM(J9:J18)</f>
        <v>14363865.179999998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134515979.94999999</v>
      </c>
      <c r="G22" s="18">
        <v>7060930.6699999999</v>
      </c>
      <c r="H22" s="18">
        <v>65350184.600000001</v>
      </c>
      <c r="I22" s="18">
        <v>67788904.640000001</v>
      </c>
      <c r="J22" s="13">
        <f>SUM(I449)</f>
        <v>-4623022.09</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0</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845192.39</v>
      </c>
      <c r="G28" s="18">
        <v>3575.37</v>
      </c>
      <c r="H28" s="18">
        <v>73369.67</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2485401.04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18155</v>
      </c>
      <c r="G30" s="18">
        <v>49734.34</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137864728.37999997</v>
      </c>
      <c r="G32" s="38">
        <f>SUM(G22:G31)</f>
        <v>7114240.3799999999</v>
      </c>
      <c r="H32" s="38">
        <f>SUM(H22:H31)</f>
        <v>65423554.270000003</v>
      </c>
      <c r="I32" s="38">
        <f>SUM(I22:I31)</f>
        <v>67788904.640000001</v>
      </c>
      <c r="J32" s="38">
        <f>SUM(J22:J31)</f>
        <v>-4623022.09</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v>2177554.87</v>
      </c>
      <c r="G45" s="18">
        <v>37100.89</v>
      </c>
      <c r="H45" s="18">
        <f>529413.12</f>
        <v>529413.12</v>
      </c>
      <c r="I45" s="18">
        <v>29133.16</v>
      </c>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0</v>
      </c>
      <c r="G48" s="18">
        <v>1195219.45</v>
      </c>
      <c r="H48" s="18">
        <f>65742.75-45773979.97+48444935.79-2898285.04</f>
        <v>-161586.46999999974</v>
      </c>
      <c r="I48" s="18">
        <f>6892573.88+191750383.74-198270611.78-419153.27</f>
        <v>-46807.429999996442</v>
      </c>
      <c r="J48" s="13">
        <f>SUM(I460)</f>
        <v>18986887.27</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(5377153.64-300000)-2976754.34</f>
        <v>2100399.2999999998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4277954.17</v>
      </c>
      <c r="G51" s="38">
        <f>SUM(G35:G50)</f>
        <v>1232320.3399999999</v>
      </c>
      <c r="H51" s="38">
        <f>SUM(H35:H50)</f>
        <v>367826.65000000026</v>
      </c>
      <c r="I51" s="38">
        <f>SUM(I35:I50)</f>
        <v>-17674.269999996442</v>
      </c>
      <c r="J51" s="38">
        <f>SUM(J35:J50)</f>
        <v>18986887.27</v>
      </c>
      <c r="K51" s="42" t="s">
        <v>288</v>
      </c>
      <c r="L51" s="42" t="s">
        <v>288</v>
      </c>
      <c r="N51" s="131"/>
    </row>
    <row r="52" spans="1:14" s="3" customFormat="1" ht="12.2" customHeight="1" thickTop="1" x14ac:dyDescent="0.15">
      <c r="A52" s="35" t="s">
        <v>455</v>
      </c>
      <c r="B52" s="36" t="s">
        <v>289</v>
      </c>
      <c r="C52" s="6">
        <v>37</v>
      </c>
      <c r="D52" s="36" t="s">
        <v>653</v>
      </c>
      <c r="E52" s="36"/>
      <c r="F52" s="38">
        <f>F51+F32</f>
        <v>142142682.54999995</v>
      </c>
      <c r="G52" s="38">
        <f>G51+G32</f>
        <v>8346560.7199999997</v>
      </c>
      <c r="H52" s="38">
        <f>H51+H32</f>
        <v>65791380.920000002</v>
      </c>
      <c r="I52" s="38">
        <f>I51+I32</f>
        <v>67771230.370000005</v>
      </c>
      <c r="J52" s="38">
        <f>J51+J32</f>
        <v>14363865.18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57564840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91306.880000000005</v>
      </c>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57656146.880000003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123941.62+74926</f>
        <v>198867.62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f>8875</f>
        <v>8875</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2628867.64</f>
        <v>2628867.64</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f>932901.51+72370.71</f>
        <v>1005272.22</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f>1073173.93</f>
        <v>1073173.93</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4915056.41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f>3600</f>
        <v>3600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91625.48</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f>121928.44</f>
        <v>121928.44</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217153.91999999998</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1781.35</f>
        <v>1781.35</v>
      </c>
      <c r="G96" s="18">
        <f>46.44</f>
        <v>46.44</v>
      </c>
      <c r="H96" s="18"/>
      <c r="I96" s="18">
        <f>164.87</f>
        <v>164.87</v>
      </c>
      <c r="J96" s="18">
        <f>463.33+16395.78</f>
        <v>16859.11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109559.92+18695.77</f>
        <v>128255.69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f>13198+90685.14</f>
        <v>103883.14</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f>102230</f>
        <v>102230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165908.39</f>
        <v>165908.39000000001</v>
      </c>
      <c r="I102" s="18"/>
      <c r="J102" s="18">
        <f>17784.13</f>
        <v>17784.13</v>
      </c>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28097.74</f>
        <v>28097.74</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140163.07+96.8</f>
        <v>140259.87</v>
      </c>
      <c r="G110" s="18">
        <f>3074.43</f>
        <v>3074.43</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376252.1</v>
      </c>
      <c r="G111" s="38">
        <f>SUM(G96:G110)</f>
        <v>131376.56</v>
      </c>
      <c r="H111" s="38">
        <f>SUM(H96:H110)</f>
        <v>165908.39000000001</v>
      </c>
      <c r="I111" s="38">
        <f>SUM(I96:I110)</f>
        <v>164.87</v>
      </c>
      <c r="J111" s="38">
        <f>SUM(J96:J110)</f>
        <v>34643.240000000005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63164609.31000001</v>
      </c>
      <c r="G112" s="38">
        <f>G60+G111</f>
        <v>131376.56</v>
      </c>
      <c r="H112" s="38">
        <f>H60+H79+H94+H111</f>
        <v>165908.39000000001</v>
      </c>
      <c r="I112" s="38">
        <f>I60+I111</f>
        <v>164.87</v>
      </c>
      <c r="J112" s="38">
        <f>J60+J111</f>
        <v>34643.240000000005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f>14768031.43</f>
        <v>14768031.43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7308384</f>
        <v>7308384</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52540.46</f>
        <v>52540.46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22128955.890000001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f>932752.76</f>
        <v>932752.76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f>640563.85</f>
        <v>640563.85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f>1393663.1+128942.62</f>
        <v>1522605.7200000002</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v>76294.539999999994</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27588.17</f>
        <v>27588.17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f>1462.4</f>
        <v>1462.4</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3095922.33</v>
      </c>
      <c r="G136" s="38">
        <f>SUM(G123:G135)</f>
        <v>27588.17</v>
      </c>
      <c r="H136" s="38">
        <f>SUM(H123:H135)</f>
        <v>77756.939999999988</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25224878.219999999</v>
      </c>
      <c r="G140" s="38">
        <f>G121+SUM(G136:G137)</f>
        <v>27588.17</v>
      </c>
      <c r="H140" s="38">
        <f>H121+SUM(H136:H139)</f>
        <v>77756.939999999988</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f>75592.12</f>
        <v>75592.12</v>
      </c>
      <c r="G145" s="18">
        <v>97082.71</v>
      </c>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75592.12</v>
      </c>
      <c r="G147" s="38">
        <f>SUM(G145:G146)</f>
        <v>97082.71</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1075233.71</f>
        <v>1075233.71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934913.9</f>
        <v>934913.9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379804.01</f>
        <v>379804.01</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2939789.78+45834.13</f>
        <v>2985623.9099999997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1546413.77</f>
        <v>1546413.77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761186.87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f>816430</f>
        <v>816430</v>
      </c>
      <c r="G161" s="18"/>
      <c r="H161" s="18">
        <f>10220</f>
        <v>10220</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3223413.65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1577616.87</v>
      </c>
      <c r="G163" s="38">
        <f>SUM(G150:G162)</f>
        <v>2985623.9099999997</v>
      </c>
      <c r="H163" s="38">
        <f>SUM(H150:H162)</f>
        <v>7169999.04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f>3253082.43-3223413.65</f>
        <v>29668.780000000261</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1653208.9900000002</v>
      </c>
      <c r="G170" s="38">
        <f>G147+G163+SUM(G164:G169)</f>
        <v>3082706.6199999996</v>
      </c>
      <c r="H170" s="38">
        <f>H147+H163+SUM(H164:H169)</f>
        <v>7199667.8200000003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f>3161770.15+4578.39</f>
        <v>3166348.54</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f>167320.42</f>
        <v>167320.42000000001</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167320.42000000001</v>
      </c>
      <c r="G184" s="38">
        <f>SUM(G180:G183)</f>
        <v>0</v>
      </c>
      <c r="H184" s="38">
        <f>SUM(H180:H183)</f>
        <v>0</v>
      </c>
      <c r="I184" s="38">
        <f>SUM(I180:I183)</f>
        <v>0</v>
      </c>
      <c r="J184" s="38">
        <f>SUM(J180:J183)</f>
        <v>3166348.54</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f>383671.25-300000</f>
        <v>83671.25</v>
      </c>
      <c r="G187" s="18"/>
      <c r="H187" s="18"/>
      <c r="I187" s="18">
        <f>111943.93</f>
        <v>111943.93</v>
      </c>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83671.25</v>
      </c>
      <c r="G189" s="38">
        <f>SUM(G186:G188)</f>
        <v>0</v>
      </c>
      <c r="H189" s="38">
        <f>SUM(H186:H188)</f>
        <v>0</v>
      </c>
      <c r="I189" s="38">
        <f>SUM(I186:I188)</f>
        <v>111943.93</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250991.67</v>
      </c>
      <c r="G193" s="38">
        <f>G184+SUM(G189:G192)</f>
        <v>0</v>
      </c>
      <c r="H193" s="38">
        <f>+H184+SUM(H189:H192)</f>
        <v>0</v>
      </c>
      <c r="I193" s="38">
        <f>I178+I184+SUM(I189:I192)</f>
        <v>111943.93</v>
      </c>
      <c r="J193" s="38">
        <f>J184</f>
        <v>3166348.54</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90293688.189999998</v>
      </c>
      <c r="G194" s="38">
        <f>G112+G140+G170+G193</f>
        <v>3241671.3499999996</v>
      </c>
      <c r="H194" s="38">
        <f>H112+H140+H170+H193</f>
        <v>7443333.1500000004</v>
      </c>
      <c r="I194" s="38">
        <f>I112+I140+I170+I193</f>
        <v>112108.79999999999</v>
      </c>
      <c r="J194" s="38">
        <f>J112+J140+J193</f>
        <v>3200991.7800000003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9063951.05+54613.43+259887.68</f>
        <v>9378452.1600000001</v>
      </c>
      <c r="G198" s="18">
        <f>4464307.84+7596.17+174195.58</f>
        <v>4646099.59</v>
      </c>
      <c r="H198" s="18">
        <f>78862.04+3571.29</f>
        <v>82433.329999999987</v>
      </c>
      <c r="I198" s="18">
        <f>176084.18+209715.67</f>
        <v>385799.85</v>
      </c>
      <c r="J198" s="18">
        <f>6404.22</f>
        <v>6404.22</v>
      </c>
      <c r="K198" s="18">
        <f>292-1299</f>
        <v>-1007</v>
      </c>
      <c r="L198" s="13">
        <f>SUM(F198:K198)</f>
        <v>14498182.15</v>
      </c>
      <c r="M198" s="8"/>
      <c r="N198" s="165"/>
    </row>
    <row r="199" spans="1:14" s="3" customFormat="1" ht="12.2" customHeight="1" x14ac:dyDescent="0.15">
      <c r="A199" s="1" t="s">
        <v>439</v>
      </c>
      <c r="B199" s="2" t="s">
        <v>341</v>
      </c>
      <c r="C199" s="2" t="s">
        <v>291</v>
      </c>
      <c r="D199" s="2" t="s">
        <v>431</v>
      </c>
      <c r="E199" s="6">
        <v>1200</v>
      </c>
      <c r="F199" s="18">
        <f>2125825.38+1332624.09+423752.43+30088.64</f>
        <v>3912290.54</v>
      </c>
      <c r="G199" s="18">
        <f>670472.76+757988.45+166994.86+5811.45+83684.44</f>
        <v>1684951.9599999997</v>
      </c>
      <c r="H199" s="18">
        <f>251958.31+684382.09+19091.76+52341.24</f>
        <v>1007773.3999999999</v>
      </c>
      <c r="I199" s="18">
        <f>7481.36+3811.64+153.75+10670.49</f>
        <v>22117.239999999998</v>
      </c>
      <c r="J199" s="18">
        <f>10209.12</f>
        <v>10209.120000000001</v>
      </c>
      <c r="K199" s="18"/>
      <c r="L199" s="13">
        <f>SUM(F199:K199)</f>
        <v>6637342.2600000007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2850+69216.09</f>
        <v>72066.09</v>
      </c>
      <c r="G201" s="18">
        <f>497.24+36992.2+383.52</f>
        <v>37872.959999999992</v>
      </c>
      <c r="H201" s="18"/>
      <c r="I201" s="18"/>
      <c r="J201" s="18"/>
      <c r="K201" s="18"/>
      <c r="L201" s="13">
        <f>SUM(F201:K201)</f>
        <v>109939.04999999999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363000.25+371788.01+364138.98+752317.04+333156.93+155429.64+81400+182041.87</f>
        <v>2603272.7200000002</v>
      </c>
      <c r="G203" s="18">
        <f>171047.09+210950.66+193895.92+306235.1+139684.36+45178.26+34257.59+79109.43+38428.88</f>
        <v>1218787.2899999998</v>
      </c>
      <c r="H203" s="18">
        <f>13734.07+149083.46+3450.68+44411.61</f>
        <v>210679.82</v>
      </c>
      <c r="I203" s="18">
        <f>918.01+7482.77+3164.93+3559.76+7003.61</f>
        <v>22129.08</v>
      </c>
      <c r="J203" s="18">
        <f>1546.5+6577.75</f>
        <v>8124.25</v>
      </c>
      <c r="K203" s="18">
        <f>45+2881.28</f>
        <v>2926.28</v>
      </c>
      <c r="L203" s="13">
        <f t="shared" ref="L203:L209" si="0">SUM(F203:K203)</f>
        <v>4065919.4399999995</v>
      </c>
      <c r="M203" s="8"/>
      <c r="N203" s="165"/>
    </row>
    <row r="204" spans="1:14" s="3" customFormat="1" ht="12.2" customHeight="1" x14ac:dyDescent="0.15">
      <c r="A204" s="1" t="s">
        <v>443</v>
      </c>
      <c r="B204" s="2" t="s">
        <v>341</v>
      </c>
      <c r="C204" s="2" t="s">
        <v>295</v>
      </c>
      <c r="D204" s="2" t="s">
        <v>431</v>
      </c>
      <c r="E204" s="6">
        <v>2200</v>
      </c>
      <c r="F204" s="18">
        <f>432819.81+106106.89+272080.5</f>
        <v>811007.2</v>
      </c>
      <c r="G204" s="18">
        <f>8140.42+239943.71+47428.9+220646.94+10278.38</f>
        <v>526438.35</v>
      </c>
      <c r="H204" s="18">
        <f>84014.18</f>
        <v>84014.18</v>
      </c>
      <c r="I204" s="18">
        <f>12626.25+725.84+814.44+192803.31</f>
        <v>206969.84</v>
      </c>
      <c r="J204" s="18">
        <f>407661.27</f>
        <v>407661.27</v>
      </c>
      <c r="K204" s="18">
        <f>2761.08</f>
        <v>2761.08</v>
      </c>
      <c r="L204" s="13">
        <f t="shared" si="0"/>
        <v>2038851.92</v>
      </c>
      <c r="M204" s="8"/>
      <c r="N204" s="165"/>
    </row>
    <row r="205" spans="1:14" s="3" customFormat="1" ht="12.2" customHeight="1" x14ac:dyDescent="0.15">
      <c r="A205" s="1" t="s">
        <v>444</v>
      </c>
      <c r="B205" s="2" t="s">
        <v>341</v>
      </c>
      <c r="C205" s="2" t="s">
        <v>296</v>
      </c>
      <c r="D205" s="2" t="s">
        <v>431</v>
      </c>
      <c r="E205" s="6">
        <v>2300</v>
      </c>
      <c r="F205" s="18">
        <f>285301.36</f>
        <v>285301.36</v>
      </c>
      <c r="G205" s="18">
        <f>92846.34</f>
        <v>92846.34</v>
      </c>
      <c r="H205" s="18">
        <f>102769.95</f>
        <v>102769.95</v>
      </c>
      <c r="I205" s="18">
        <f>14007.38</f>
        <v>14007.38</v>
      </c>
      <c r="J205" s="18">
        <f>11708.32</f>
        <v>11708.32</v>
      </c>
      <c r="K205" s="18">
        <f>7246.4</f>
        <v>7246.4</v>
      </c>
      <c r="L205" s="13">
        <f t="shared" si="0"/>
        <v>513879.75</v>
      </c>
      <c r="M205" s="8"/>
      <c r="N205" s="165"/>
    </row>
    <row r="206" spans="1:14" s="3" customFormat="1" ht="12.2" customHeight="1" x14ac:dyDescent="0.15">
      <c r="A206" s="1" t="s">
        <v>445</v>
      </c>
      <c r="B206" s="2" t="s">
        <v>341</v>
      </c>
      <c r="C206" s="2" t="s">
        <v>297</v>
      </c>
      <c r="D206" s="2" t="s">
        <v>431</v>
      </c>
      <c r="E206" s="6">
        <v>2400</v>
      </c>
      <c r="F206" s="18">
        <f>1437271.5+43948.2</f>
        <v>1481219.7</v>
      </c>
      <c r="G206" s="18">
        <f>621416.64+10418.38+16031.21</f>
        <v>647866.23</v>
      </c>
      <c r="H206" s="18">
        <f>18928.03+280.56</f>
        <v>19208.59</v>
      </c>
      <c r="I206" s="18">
        <f>2443.74</f>
        <v>2443.7399999999998</v>
      </c>
      <c r="J206" s="18"/>
      <c r="K206" s="18">
        <f>7035+43.3</f>
        <v>7078.3</v>
      </c>
      <c r="L206" s="13">
        <f t="shared" si="0"/>
        <v>2157816.5599999996</v>
      </c>
      <c r="M206" s="8"/>
      <c r="N206" s="165"/>
    </row>
    <row r="207" spans="1:14" s="3" customFormat="1" ht="12.2" customHeight="1" x14ac:dyDescent="0.15">
      <c r="A207" s="1" t="s">
        <v>446</v>
      </c>
      <c r="B207" s="2" t="s">
        <v>341</v>
      </c>
      <c r="C207" s="2" t="s">
        <v>298</v>
      </c>
      <c r="D207" s="2" t="s">
        <v>431</v>
      </c>
      <c r="E207" s="6">
        <v>2500</v>
      </c>
      <c r="F207" s="18">
        <f>305424.6</f>
        <v>305424.59999999998</v>
      </c>
      <c r="G207" s="18">
        <f>128491.02</f>
        <v>128491.02</v>
      </c>
      <c r="H207" s="18">
        <f>26731.99</f>
        <v>26731.99</v>
      </c>
      <c r="I207" s="18">
        <f>15970.93</f>
        <v>15970.93</v>
      </c>
      <c r="J207" s="18">
        <f>2123.83</f>
        <v>2123.83</v>
      </c>
      <c r="K207" s="18">
        <f>13619.59</f>
        <v>13619.59</v>
      </c>
      <c r="L207" s="13">
        <f t="shared" si="0"/>
        <v>492361.96</v>
      </c>
      <c r="M207" s="8"/>
      <c r="N207" s="165"/>
    </row>
    <row r="208" spans="1:14" s="3" customFormat="1" ht="12.2" customHeight="1" x14ac:dyDescent="0.15">
      <c r="A208" s="1" t="s">
        <v>447</v>
      </c>
      <c r="B208" s="2" t="s">
        <v>341</v>
      </c>
      <c r="C208" s="2" t="s">
        <v>299</v>
      </c>
      <c r="D208" s="2" t="s">
        <v>431</v>
      </c>
      <c r="E208" s="6">
        <v>2600</v>
      </c>
      <c r="F208" s="18">
        <f>656123.73+145065.13</f>
        <v>801188.86</v>
      </c>
      <c r="G208" s="18">
        <f>308033.01+65369.67+12579.51</f>
        <v>385982.19</v>
      </c>
      <c r="H208" s="18">
        <f>2897.03+369170.44+54168.94+33551.82+142365.67</f>
        <v>602153.9</v>
      </c>
      <c r="I208" s="18">
        <f>58568.54+679424.81+1252.34+34682.27</f>
        <v>773927.96000000008</v>
      </c>
      <c r="J208" s="18">
        <f>13598.21+147741.6+3837</f>
        <v>165176.81</v>
      </c>
      <c r="K208" s="18">
        <f>49.27</f>
        <v>49.27</v>
      </c>
      <c r="L208" s="13">
        <f t="shared" si="0"/>
        <v>2728478.99</v>
      </c>
      <c r="M208" s="8"/>
      <c r="N208" s="165"/>
    </row>
    <row r="209" spans="1:14" s="3" customFormat="1" ht="12.2" customHeight="1" x14ac:dyDescent="0.15">
      <c r="A209" s="1" t="s">
        <v>448</v>
      </c>
      <c r="B209" s="2" t="s">
        <v>341</v>
      </c>
      <c r="C209" s="2" t="s">
        <v>300</v>
      </c>
      <c r="D209" s="2" t="s">
        <v>431</v>
      </c>
      <c r="E209" s="6">
        <v>2700</v>
      </c>
      <c r="F209" s="18">
        <f>5636.82+664045.15</f>
        <v>669681.97</v>
      </c>
      <c r="G209" s="18">
        <f>497.99+229952.03</f>
        <v>230450.02</v>
      </c>
      <c r="H209" s="18">
        <f>1792.08+11260.76+321095.22</f>
        <v>334148.06</v>
      </c>
      <c r="I209" s="18">
        <f>146217.13</f>
        <v>146217.13</v>
      </c>
      <c r="J209" s="18"/>
      <c r="K209" s="18">
        <f>1227.31</f>
        <v>1227.31</v>
      </c>
      <c r="L209" s="13">
        <f t="shared" si="0"/>
        <v>1381724.4900000002</v>
      </c>
      <c r="M209" s="8"/>
      <c r="N209" s="165"/>
    </row>
    <row r="210" spans="1:14" s="3" customFormat="1" ht="12.2" customHeight="1" x14ac:dyDescent="0.15">
      <c r="A210" s="1" t="s">
        <v>449</v>
      </c>
      <c r="B210" s="2" t="s">
        <v>341</v>
      </c>
      <c r="C210" s="2" t="s">
        <v>343</v>
      </c>
      <c r="D210" s="2" t="s">
        <v>431</v>
      </c>
      <c r="E210" s="6">
        <v>2800</v>
      </c>
      <c r="F210" s="18">
        <f>217095.34</f>
        <v>217095.34</v>
      </c>
      <c r="G210" s="18">
        <f>104038.55</f>
        <v>104038.55</v>
      </c>
      <c r="H210" s="18">
        <f>37145.34</f>
        <v>37145.339999999997</v>
      </c>
      <c r="I210" s="18">
        <f>45351.8</f>
        <v>45351.8</v>
      </c>
      <c r="J210" s="18"/>
      <c r="K210" s="18"/>
      <c r="L210" s="13">
        <f>SUM(F210:K210)</f>
        <v>403631.02999999997</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20537000.539999999</v>
      </c>
      <c r="G212" s="38">
        <f t="shared" si="1"/>
        <v>9703824.4999999981</v>
      </c>
      <c r="H212" s="38">
        <f t="shared" si="1"/>
        <v>2507058.56</v>
      </c>
      <c r="I212" s="38">
        <f t="shared" si="1"/>
        <v>1634934.95</v>
      </c>
      <c r="J212" s="38">
        <f t="shared" si="1"/>
        <v>611407.82000000007</v>
      </c>
      <c r="K212" s="38">
        <f t="shared" si="1"/>
        <v>33901.230000000003</v>
      </c>
      <c r="L212" s="38">
        <f t="shared" si="1"/>
        <v>35028127.600000001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4166014.69+26171.57+121775.94</f>
        <v>4313962.2</v>
      </c>
      <c r="G216" s="18">
        <f>2121403.02+3640.19+93579.3</f>
        <v>2218622.5099999998</v>
      </c>
      <c r="H216" s="18">
        <f>36439.1+1711.41</f>
        <v>38150.51</v>
      </c>
      <c r="I216" s="18">
        <f>41376.74+100498.85</f>
        <v>141875.59</v>
      </c>
      <c r="J216" s="18">
        <f>10903.71</f>
        <v>10903.71</v>
      </c>
      <c r="K216" s="18">
        <v>-622.5</v>
      </c>
      <c r="L216" s="13">
        <f>SUM(F216:K216)</f>
        <v>6722892.0199999996</v>
      </c>
      <c r="M216" s="8"/>
      <c r="N216" s="165"/>
    </row>
    <row r="217" spans="1:14" s="3" customFormat="1" ht="12.2" customHeight="1" x14ac:dyDescent="0.15">
      <c r="A217" s="1" t="s">
        <v>439</v>
      </c>
      <c r="B217" s="2" t="s">
        <v>346</v>
      </c>
      <c r="C217" s="2" t="s">
        <v>291</v>
      </c>
      <c r="D217" s="2" t="s">
        <v>431</v>
      </c>
      <c r="E217" s="6">
        <v>1200</v>
      </c>
      <c r="F217" s="18">
        <f>491679.93+948049.3+130993.11+14219.22</f>
        <v>1584941.56</v>
      </c>
      <c r="G217" s="18">
        <f>183673.46+488494.35+43606.99+2746.36+25542.55</f>
        <v>744063.71</v>
      </c>
      <c r="H217" s="18">
        <f>280538.73+38341.73+2563.73+24735.29</f>
        <v>346179.47999999992</v>
      </c>
      <c r="I217" s="18">
        <f>2100.63+169.46+5042.64</f>
        <v>7312.7300000000005</v>
      </c>
      <c r="J217" s="18">
        <f>4824.6</f>
        <v>4824.6000000000004</v>
      </c>
      <c r="K217" s="18"/>
      <c r="L217" s="13">
        <f>SUM(F217:K217)</f>
        <v>2687322.08</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49070.76+74519+33169.37</f>
        <v>156759.13</v>
      </c>
      <c r="G219" s="18">
        <f>13156.23+15413.16+17727.21+1534.09</f>
        <v>47830.689999999995</v>
      </c>
      <c r="H219" s="18">
        <f>24808.82</f>
        <v>24808.82</v>
      </c>
      <c r="I219" s="18">
        <f>5682.4</f>
        <v>5682.4</v>
      </c>
      <c r="J219" s="18"/>
      <c r="K219" s="18">
        <f>3370</f>
        <v>3370</v>
      </c>
      <c r="L219" s="13">
        <f>SUM(F219:K219)</f>
        <v>238451.04</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361963.56+101459.22+89186.24+136639.53+35414+86341.81</f>
        <v>811004.3600000001</v>
      </c>
      <c r="G221" s="18">
        <f>194070.88+60084.71+49127.78+76834.89+10898.58+37499.23+13499.97</f>
        <v>442016.04</v>
      </c>
      <c r="H221" s="18">
        <f>54599.33+25587.4+75600+20990.07</f>
        <v>176776.80000000002</v>
      </c>
      <c r="I221" s="18">
        <f>813.13+1779.62+3309.75</f>
        <v>5902.5</v>
      </c>
      <c r="J221" s="18">
        <f>3108.5</f>
        <v>3108.5</v>
      </c>
      <c r="K221" s="18">
        <f>1361.63</f>
        <v>1361.63</v>
      </c>
      <c r="L221" s="13">
        <f t="shared" ref="L221:L227" si="2">SUM(F221:K221)</f>
        <v>1440169.83</v>
      </c>
      <c r="M221" s="8"/>
      <c r="N221" s="165"/>
    </row>
    <row r="222" spans="1:14" s="3" customFormat="1" ht="12.2" customHeight="1" x14ac:dyDescent="0.15">
      <c r="A222" s="1" t="s">
        <v>443</v>
      </c>
      <c r="B222" s="2" t="s">
        <v>346</v>
      </c>
      <c r="C222" s="2" t="s">
        <v>295</v>
      </c>
      <c r="D222" s="2" t="s">
        <v>431</v>
      </c>
      <c r="E222" s="6">
        <v>2200</v>
      </c>
      <c r="F222" s="18">
        <f>202819.21+20646.64+115642.63</f>
        <v>339108.48</v>
      </c>
      <c r="G222" s="18">
        <f>106056.8+9814.42+82604.92+4602.26</f>
        <v>203078.40000000002</v>
      </c>
      <c r="H222" s="18">
        <f>13.99+33642.64</f>
        <v>33656.629999999997</v>
      </c>
      <c r="I222" s="18">
        <f>12828.25+4355.91+88991.8</f>
        <v>106175.96</v>
      </c>
      <c r="J222" s="18">
        <f>195357.31</f>
        <v>195357.31</v>
      </c>
      <c r="K222" s="18">
        <f>1323.15</f>
        <v>1323.15</v>
      </c>
      <c r="L222" s="13">
        <f t="shared" si="2"/>
        <v>878699.93</v>
      </c>
      <c r="M222" s="8"/>
      <c r="N222" s="165"/>
    </row>
    <row r="223" spans="1:14" s="3" customFormat="1" ht="12.2" customHeight="1" x14ac:dyDescent="0.15">
      <c r="A223" s="1" t="s">
        <v>444</v>
      </c>
      <c r="B223" s="2" t="s">
        <v>346</v>
      </c>
      <c r="C223" s="2" t="s">
        <v>296</v>
      </c>
      <c r="D223" s="2" t="s">
        <v>431</v>
      </c>
      <c r="E223" s="6">
        <v>2300</v>
      </c>
      <c r="F223" s="18">
        <f>136720.63</f>
        <v>136720.63</v>
      </c>
      <c r="G223" s="18">
        <f>44493.33</f>
        <v>44493.33</v>
      </c>
      <c r="H223" s="18">
        <f>49248.88</f>
        <v>49248.88</v>
      </c>
      <c r="I223" s="18">
        <f>6712.54</f>
        <v>6712.54</v>
      </c>
      <c r="J223" s="18">
        <f>5610.8</f>
        <v>5610.8</v>
      </c>
      <c r="K223" s="18">
        <f>3472.58</f>
        <v>3472.58</v>
      </c>
      <c r="L223" s="13">
        <f t="shared" si="2"/>
        <v>246258.76</v>
      </c>
      <c r="M223" s="8"/>
      <c r="N223" s="165"/>
    </row>
    <row r="224" spans="1:14" s="3" customFormat="1" ht="12.2" customHeight="1" x14ac:dyDescent="0.15">
      <c r="A224" s="1" t="s">
        <v>445</v>
      </c>
      <c r="B224" s="2" t="s">
        <v>346</v>
      </c>
      <c r="C224" s="2" t="s">
        <v>297</v>
      </c>
      <c r="D224" s="2" t="s">
        <v>431</v>
      </c>
      <c r="E224" s="6">
        <v>2400</v>
      </c>
      <c r="F224" s="18">
        <f>697607.83+21060.63</f>
        <v>718668.46</v>
      </c>
      <c r="G224" s="18">
        <f>371379.83+4992.64+13116.44</f>
        <v>389488.91000000003</v>
      </c>
      <c r="H224" s="18">
        <f>8392.39+134.45</f>
        <v>8526.84</v>
      </c>
      <c r="I224" s="18">
        <f>19826.1</f>
        <v>19826.099999999999</v>
      </c>
      <c r="J224" s="18">
        <v>839.8</v>
      </c>
      <c r="K224" s="18">
        <f>3305+20.75</f>
        <v>3325.75</v>
      </c>
      <c r="L224" s="13">
        <f t="shared" si="2"/>
        <v>1140675.8600000003</v>
      </c>
      <c r="M224" s="8"/>
      <c r="N224" s="165"/>
    </row>
    <row r="225" spans="1:14" s="3" customFormat="1" ht="12.2" customHeight="1" x14ac:dyDescent="0.15">
      <c r="A225" s="1" t="s">
        <v>446</v>
      </c>
      <c r="B225" s="2" t="s">
        <v>346</v>
      </c>
      <c r="C225" s="2" t="s">
        <v>298</v>
      </c>
      <c r="D225" s="2" t="s">
        <v>431</v>
      </c>
      <c r="E225" s="6">
        <v>2500</v>
      </c>
      <c r="F225" s="18">
        <f>100751.18</f>
        <v>100751.18</v>
      </c>
      <c r="G225" s="18">
        <f>42385.66</f>
        <v>42385.66</v>
      </c>
      <c r="H225" s="18">
        <f>8818.15</f>
        <v>8818.15</v>
      </c>
      <c r="I225" s="18">
        <f>5268.37</f>
        <v>5268.37</v>
      </c>
      <c r="J225" s="18">
        <f>700.59</f>
        <v>700.59</v>
      </c>
      <c r="K225" s="18">
        <f>4492.73</f>
        <v>4492.7299999999996</v>
      </c>
      <c r="L225" s="13">
        <f t="shared" si="2"/>
        <v>162416.68</v>
      </c>
      <c r="M225" s="8"/>
      <c r="N225" s="165"/>
    </row>
    <row r="226" spans="1:14" s="3" customFormat="1" ht="12.2" customHeight="1" x14ac:dyDescent="0.15">
      <c r="A226" s="1" t="s">
        <v>447</v>
      </c>
      <c r="B226" s="2" t="s">
        <v>346</v>
      </c>
      <c r="C226" s="2" t="s">
        <v>299</v>
      </c>
      <c r="D226" s="2" t="s">
        <v>431</v>
      </c>
      <c r="E226" s="6">
        <v>2600</v>
      </c>
      <c r="F226" s="18">
        <f>288369.23+76398.42</f>
        <v>364767.64999999997</v>
      </c>
      <c r="G226" s="18">
        <f>104202.54+34426.88+5369.3</f>
        <v>143998.71999999997</v>
      </c>
      <c r="H226" s="18">
        <f>491.35+659979.9+17761.16+8165.5+74976.75</f>
        <v>761374.66</v>
      </c>
      <c r="I226" s="18">
        <f>25291.68+399855.69+18265.39</f>
        <v>443412.76</v>
      </c>
      <c r="J226" s="18">
        <f>7975.04+2020.75</f>
        <v>9995.7900000000009</v>
      </c>
      <c r="K226" s="18">
        <f>25.95</f>
        <v>25.95</v>
      </c>
      <c r="L226" s="13">
        <f t="shared" si="2"/>
        <v>1723575.53</v>
      </c>
      <c r="M226" s="8"/>
      <c r="N226" s="165"/>
    </row>
    <row r="227" spans="1:14" s="3" customFormat="1" ht="12.2" customHeight="1" x14ac:dyDescent="0.15">
      <c r="A227" s="1" t="s">
        <v>448</v>
      </c>
      <c r="B227" s="2" t="s">
        <v>346</v>
      </c>
      <c r="C227" s="2" t="s">
        <v>300</v>
      </c>
      <c r="D227" s="2" t="s">
        <v>431</v>
      </c>
      <c r="E227" s="6">
        <v>2700</v>
      </c>
      <c r="F227" s="18">
        <f>318220.24</f>
        <v>318220.24</v>
      </c>
      <c r="G227" s="18">
        <f>110196.42</f>
        <v>110196.42</v>
      </c>
      <c r="H227" s="18">
        <f>32671.4+6439.96+153873.58</f>
        <v>192984.94</v>
      </c>
      <c r="I227" s="18">
        <f>70069.41</f>
        <v>70069.41</v>
      </c>
      <c r="J227" s="18"/>
      <c r="K227" s="18">
        <f>588.15</f>
        <v>588.15</v>
      </c>
      <c r="L227" s="13">
        <f t="shared" si="2"/>
        <v>692059.16</v>
      </c>
      <c r="M227" s="8"/>
      <c r="N227" s="165"/>
    </row>
    <row r="228" spans="1:14" s="3" customFormat="1" ht="12.2" customHeight="1" x14ac:dyDescent="0.15">
      <c r="A228" s="1" t="s">
        <v>449</v>
      </c>
      <c r="B228" s="2" t="s">
        <v>346</v>
      </c>
      <c r="C228" s="2" t="s">
        <v>343</v>
      </c>
      <c r="D228" s="2" t="s">
        <v>431</v>
      </c>
      <c r="E228" s="6">
        <v>2800</v>
      </c>
      <c r="F228" s="18">
        <f>71613.78</f>
        <v>71613.78</v>
      </c>
      <c r="G228" s="18">
        <f>34319.46</f>
        <v>34319.46</v>
      </c>
      <c r="H228" s="18">
        <f>12253.23</f>
        <v>12253.23</v>
      </c>
      <c r="I228" s="18">
        <f>14960.31</f>
        <v>14960.31</v>
      </c>
      <c r="J228" s="18"/>
      <c r="K228" s="18"/>
      <c r="L228" s="13">
        <f>SUM(F228:K228)</f>
        <v>133146.78</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8916517.6699999999</v>
      </c>
      <c r="G230" s="38">
        <f>SUM(G216:G229)</f>
        <v>4420493.8499999996</v>
      </c>
      <c r="H230" s="38">
        <f>SUM(H216:H229)</f>
        <v>1652778.94</v>
      </c>
      <c r="I230" s="38">
        <f>SUM(I216:I229)</f>
        <v>827198.67</v>
      </c>
      <c r="J230" s="38">
        <f>SUM(J216:J229)</f>
        <v>231341.09999999998</v>
      </c>
      <c r="K230" s="38">
        <f t="shared" si="3"/>
        <v>17337.440000000002</v>
      </c>
      <c r="L230" s="38">
        <f t="shared" si="3"/>
        <v>16065667.669999998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6747251.8+45343.02+209751.64+2613.73</f>
        <v>7004960.1899999995</v>
      </c>
      <c r="G234" s="18">
        <f>3306644.11+6306.75+124721.27</f>
        <v>3437672.13</v>
      </c>
      <c r="H234" s="18">
        <f>294452.89+2965.07+1220</f>
        <v>298637.96000000002</v>
      </c>
      <c r="I234" s="18">
        <f>117416.75+174117.28</f>
        <v>291534.03000000003</v>
      </c>
      <c r="J234" s="18">
        <f>26287.08</f>
        <v>26287.08</v>
      </c>
      <c r="K234" s="18">
        <f>605-1078.5</f>
        <v>-473.5</v>
      </c>
      <c r="L234" s="13">
        <f>SUM(F234:K234)</f>
        <v>11058617.890000001</v>
      </c>
      <c r="M234" s="8"/>
      <c r="N234" s="165"/>
    </row>
    <row r="235" spans="1:14" s="3" customFormat="1" ht="12.2" customHeight="1" x14ac:dyDescent="0.15">
      <c r="A235" s="1" t="s">
        <v>439</v>
      </c>
      <c r="B235" s="2" t="s">
        <v>350</v>
      </c>
      <c r="C235" s="2" t="s">
        <v>291</v>
      </c>
      <c r="D235" s="2" t="s">
        <v>431</v>
      </c>
      <c r="E235" s="6">
        <v>1200</v>
      </c>
      <c r="F235" s="18">
        <f>853045.87+1476096.75+184927.83+20917.9</f>
        <v>2534988.35</v>
      </c>
      <c r="G235" s="18">
        <f>337681.93+673345.74+86198.82+4040.17+53386.23</f>
        <v>1154652.8899999999</v>
      </c>
      <c r="H235" s="18">
        <f>2162088.97+30306.2+11431.48+36388.11</f>
        <v>2240214.7600000002</v>
      </c>
      <c r="I235" s="18">
        <f>1029.76+13774.87+7418.23</f>
        <v>22222.86</v>
      </c>
      <c r="J235" s="18">
        <f>7097.48</f>
        <v>7097.48</v>
      </c>
      <c r="K235" s="18"/>
      <c r="L235" s="13">
        <f>SUM(F235:K235)</f>
        <v>5959176.3400000008</v>
      </c>
      <c r="M235" s="8"/>
      <c r="N235" s="165"/>
    </row>
    <row r="236" spans="1:14" s="3" customFormat="1" ht="12.2" customHeight="1" x14ac:dyDescent="0.15">
      <c r="A236" s="1" t="s">
        <v>440</v>
      </c>
      <c r="B236" s="2" t="s">
        <v>350</v>
      </c>
      <c r="C236" s="2" t="s">
        <v>292</v>
      </c>
      <c r="D236" s="2" t="s">
        <v>431</v>
      </c>
      <c r="E236" s="6">
        <v>1300</v>
      </c>
      <c r="F236" s="18">
        <f>161981.92+172259.76+59584.24+254767.1+395912.33+31255.65</f>
        <v>1075761</v>
      </c>
      <c r="G236" s="18">
        <f>97722.06+98995.43+28567.93+139246.13+183829.3+2390.96+20326.65</f>
        <v>571078.46</v>
      </c>
      <c r="H236" s="18">
        <f>19487.09+10500+450+3665.09+2984.54</f>
        <v>37086.720000000001</v>
      </c>
      <c r="I236" s="18">
        <f>21051.83+1742.74+1392.75+16005.19+41176.35</f>
        <v>81368.86</v>
      </c>
      <c r="J236" s="18"/>
      <c r="K236" s="18">
        <f>85+74</f>
        <v>159</v>
      </c>
      <c r="L236" s="13">
        <f>SUM(F236:K236)</f>
        <v>1765454.04</v>
      </c>
      <c r="M236" s="8"/>
      <c r="N236" s="165"/>
    </row>
    <row r="237" spans="1:14" s="3" customFormat="1" ht="12.2" customHeight="1" x14ac:dyDescent="0.15">
      <c r="A237" s="1" t="s">
        <v>441</v>
      </c>
      <c r="B237" s="2" t="s">
        <v>350</v>
      </c>
      <c r="C237" s="2" t="s">
        <v>293</v>
      </c>
      <c r="D237" s="2" t="s">
        <v>431</v>
      </c>
      <c r="E237" s="6">
        <v>1400</v>
      </c>
      <c r="F237" s="18">
        <f>89568+297358.1+7228+57466.94</f>
        <v>451621.04</v>
      </c>
      <c r="G237" s="18">
        <f>22950.52+50787.27+2072.27+30712.93+7670.43</f>
        <v>114193.41999999998</v>
      </c>
      <c r="H237" s="18">
        <f>163665.16</f>
        <v>163665.16</v>
      </c>
      <c r="I237" s="18">
        <f>38815.92</f>
        <v>38815.919999999998</v>
      </c>
      <c r="J237" s="18">
        <f>10198.49</f>
        <v>10198.49</v>
      </c>
      <c r="K237" s="18">
        <f>21458.56</f>
        <v>21458.560000000001</v>
      </c>
      <c r="L237" s="13">
        <f>SUM(F237:K237)</f>
        <v>799952.59000000008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646918.32+129021.5+121006.29+157016.56+72540.52+35484.48+81400+52073.4+132923.94</f>
        <v>1428385.0099999998</v>
      </c>
      <c r="G239" s="18">
        <f>320292.5+62999.77+55928.69+62129.7+36250.28+27288.05+42325.92+29265.23+57315.07+24852.21</f>
        <v>718647.42</v>
      </c>
      <c r="H239" s="18">
        <f>49.8+17018.36+75600+30919.17</f>
        <v>123587.33</v>
      </c>
      <c r="I239" s="18">
        <f>1197.62+1675.7+4868.98</f>
        <v>7742.2999999999993</v>
      </c>
      <c r="J239" s="18">
        <f>4572.92</f>
        <v>4572.92</v>
      </c>
      <c r="K239" s="18">
        <f>152.5+90+2003.09</f>
        <v>2245.59</v>
      </c>
      <c r="L239" s="13">
        <f t="shared" ref="L239:L245" si="4">SUM(F239:K239)</f>
        <v>2285180.5699999994</v>
      </c>
      <c r="M239" s="8"/>
      <c r="N239" s="165"/>
    </row>
    <row r="240" spans="1:14" s="3" customFormat="1" ht="12.2" customHeight="1" x14ac:dyDescent="0.15">
      <c r="A240" s="1" t="s">
        <v>443</v>
      </c>
      <c r="B240" s="2" t="s">
        <v>350</v>
      </c>
      <c r="C240" s="2" t="s">
        <v>295</v>
      </c>
      <c r="D240" s="2" t="s">
        <v>431</v>
      </c>
      <c r="E240" s="6">
        <v>2200</v>
      </c>
      <c r="F240" s="18">
        <f>37054.14+219181.39+24291.74+192467.68</f>
        <v>472994.95</v>
      </c>
      <c r="G240" s="18">
        <f>10623.34+102797.76+13365.3+130740.51+4985.78</f>
        <v>262512.69</v>
      </c>
      <c r="H240" s="18">
        <f>50+923.16+54746.38</f>
        <v>55719.54</v>
      </c>
      <c r="I240" s="18">
        <f>35711.49+669.63+13213.41+152360.83</f>
        <v>201955.36</v>
      </c>
      <c r="J240" s="18">
        <f>8998.62+1531+338462.42</f>
        <v>348992.04</v>
      </c>
      <c r="K240" s="18">
        <f>2292.4</f>
        <v>2292.4</v>
      </c>
      <c r="L240" s="13">
        <f t="shared" si="4"/>
        <v>1344466.98</v>
      </c>
      <c r="M240" s="8"/>
      <c r="N240" s="165"/>
    </row>
    <row r="241" spans="1:14" s="3" customFormat="1" ht="12.2" customHeight="1" x14ac:dyDescent="0.15">
      <c r="A241" s="1" t="s">
        <v>444</v>
      </c>
      <c r="B241" s="2" t="s">
        <v>350</v>
      </c>
      <c r="C241" s="2" t="s">
        <v>296</v>
      </c>
      <c r="D241" s="2" t="s">
        <v>431</v>
      </c>
      <c r="E241" s="6">
        <v>2300</v>
      </c>
      <c r="F241" s="18">
        <f>236872.6</f>
        <v>236872.6</v>
      </c>
      <c r="G241" s="18">
        <f>77086.05</f>
        <v>77086.05</v>
      </c>
      <c r="H241" s="18">
        <f>85325.17</f>
        <v>85325.17</v>
      </c>
      <c r="I241" s="18">
        <f>11629.69</f>
        <v>11629.69</v>
      </c>
      <c r="J241" s="18">
        <f>9720.88</f>
        <v>9720.8799999999992</v>
      </c>
      <c r="K241" s="18">
        <f>6016.36</f>
        <v>6016.36</v>
      </c>
      <c r="L241" s="13">
        <f t="shared" si="4"/>
        <v>426650.75</v>
      </c>
      <c r="M241" s="8"/>
      <c r="N241" s="165"/>
    </row>
    <row r="242" spans="1:14" s="3" customFormat="1" ht="12.2" customHeight="1" x14ac:dyDescent="0.15">
      <c r="A242" s="1" t="s">
        <v>445</v>
      </c>
      <c r="B242" s="2" t="s">
        <v>350</v>
      </c>
      <c r="C242" s="2" t="s">
        <v>297</v>
      </c>
      <c r="D242" s="2" t="s">
        <v>431</v>
      </c>
      <c r="E242" s="6">
        <v>2400</v>
      </c>
      <c r="F242" s="18">
        <f>1332548.49+36488.17</f>
        <v>1369036.66</v>
      </c>
      <c r="G242" s="18">
        <f>583816.61+8649.9+23624.94+1764.2</f>
        <v>617855.64999999991</v>
      </c>
      <c r="H242" s="18">
        <f>18436.92+17069.71+232.93</f>
        <v>35739.56</v>
      </c>
      <c r="I242" s="18">
        <f>5490.4+950.72</f>
        <v>6441.12</v>
      </c>
      <c r="J242" s="18">
        <f>3051.83</f>
        <v>3051.83</v>
      </c>
      <c r="K242" s="18">
        <f>9015+35.95</f>
        <v>9050.9500000000007</v>
      </c>
      <c r="L242" s="13">
        <f t="shared" si="4"/>
        <v>2041175.77</v>
      </c>
      <c r="M242" s="8"/>
      <c r="N242" s="165"/>
    </row>
    <row r="243" spans="1:14" s="3" customFormat="1" ht="12.2" customHeight="1" x14ac:dyDescent="0.15">
      <c r="A243" s="1" t="s">
        <v>446</v>
      </c>
      <c r="B243" s="2" t="s">
        <v>350</v>
      </c>
      <c r="C243" s="2" t="s">
        <v>298</v>
      </c>
      <c r="D243" s="2" t="s">
        <v>431</v>
      </c>
      <c r="E243" s="6">
        <v>2500</v>
      </c>
      <c r="F243" s="18">
        <f>50000+150153.19</f>
        <v>200153.19</v>
      </c>
      <c r="G243" s="18">
        <f>19527.52+63168.9+920.45</f>
        <v>83616.87</v>
      </c>
      <c r="H243" s="18">
        <f>44501.39+13142.01</f>
        <v>57643.4</v>
      </c>
      <c r="I243" s="18">
        <f>26263.03+7851.64</f>
        <v>34114.67</v>
      </c>
      <c r="J243" s="18">
        <f>1044.12</f>
        <v>1044.1199999999999</v>
      </c>
      <c r="K243" s="18">
        <f>6695.68</f>
        <v>6695.68</v>
      </c>
      <c r="L243" s="13">
        <f t="shared" si="4"/>
        <v>383267.93</v>
      </c>
      <c r="M243" s="8"/>
      <c r="N243" s="165"/>
    </row>
    <row r="244" spans="1:14" s="3" customFormat="1" ht="12.2" customHeight="1" x14ac:dyDescent="0.15">
      <c r="A244" s="1" t="s">
        <v>447</v>
      </c>
      <c r="B244" s="2" t="s">
        <v>350</v>
      </c>
      <c r="C244" s="2" t="s">
        <v>299</v>
      </c>
      <c r="D244" s="2" t="s">
        <v>431</v>
      </c>
      <c r="E244" s="6">
        <v>2600</v>
      </c>
      <c r="F244" s="18">
        <f>578338.28+161294.06</f>
        <v>739632.34000000008</v>
      </c>
      <c r="G244" s="18">
        <f>205891.57+72682.8+10355.09</f>
        <v>288929.46000000002</v>
      </c>
      <c r="H244" s="18">
        <f>1275.49+148353.27+97198.08+24014.15+158292.59</f>
        <v>429133.57999999996</v>
      </c>
      <c r="I244" s="18">
        <f>36976.89+797177.97+5340+38562.3</f>
        <v>878057.16</v>
      </c>
      <c r="J244" s="18">
        <f>7349.74+24526.1+4266.25</f>
        <v>36142.089999999997</v>
      </c>
      <c r="K244" s="18">
        <f>54.78</f>
        <v>54.78</v>
      </c>
      <c r="L244" s="13">
        <f t="shared" si="4"/>
        <v>2371949.4099999997</v>
      </c>
      <c r="M244" s="8"/>
      <c r="N244" s="165"/>
    </row>
    <row r="245" spans="1:14" s="3" customFormat="1" ht="12.2" customHeight="1" x14ac:dyDescent="0.15">
      <c r="A245" s="1" t="s">
        <v>448</v>
      </c>
      <c r="B245" s="2" t="s">
        <v>350</v>
      </c>
      <c r="C245" s="2" t="s">
        <v>300</v>
      </c>
      <c r="D245" s="2" t="s">
        <v>431</v>
      </c>
      <c r="E245" s="6">
        <v>2700</v>
      </c>
      <c r="F245" s="18">
        <f>551326.17</f>
        <v>551326.17000000004</v>
      </c>
      <c r="G245" s="18">
        <f>190918.62</f>
        <v>190918.62</v>
      </c>
      <c r="H245" s="18">
        <f>3778.04+140862.16+16783.72+266590.61</f>
        <v>428014.53</v>
      </c>
      <c r="I245" s="18">
        <f>121397.37</f>
        <v>121397.37</v>
      </c>
      <c r="J245" s="18"/>
      <c r="K245" s="18">
        <f>1018.98</f>
        <v>1018.98</v>
      </c>
      <c r="L245" s="13">
        <f t="shared" si="4"/>
        <v>1292675.67</v>
      </c>
      <c r="M245" s="8"/>
      <c r="N245" s="165"/>
    </row>
    <row r="246" spans="1:14" s="3" customFormat="1" ht="12.2" customHeight="1" x14ac:dyDescent="0.15">
      <c r="A246" s="1" t="s">
        <v>449</v>
      </c>
      <c r="B246" s="2" t="s">
        <v>350</v>
      </c>
      <c r="C246" s="2" t="s">
        <v>343</v>
      </c>
      <c r="D246" s="2" t="s">
        <v>431</v>
      </c>
      <c r="E246" s="6">
        <v>2800</v>
      </c>
      <c r="F246" s="18">
        <f>106728.65</f>
        <v>106728.65</v>
      </c>
      <c r="G246" s="18">
        <f>51147.55</f>
        <v>51147.55</v>
      </c>
      <c r="H246" s="18">
        <f>18261.43</f>
        <v>18261.43</v>
      </c>
      <c r="I246" s="18">
        <f>22295.91</f>
        <v>22295.91</v>
      </c>
      <c r="J246" s="18"/>
      <c r="K246" s="18"/>
      <c r="L246" s="13">
        <f>SUM(F246:K246)</f>
        <v>198433.54</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16172460.149999997</v>
      </c>
      <c r="G248" s="38">
        <f t="shared" si="5"/>
        <v>7568311.209999999</v>
      </c>
      <c r="H248" s="38">
        <f t="shared" si="5"/>
        <v>3973029.1400000011</v>
      </c>
      <c r="I248" s="38">
        <f t="shared" si="5"/>
        <v>1717575.2499999998</v>
      </c>
      <c r="J248" s="38">
        <f t="shared" si="5"/>
        <v>447106.92999999993</v>
      </c>
      <c r="K248" s="38">
        <f t="shared" si="5"/>
        <v>48518.8</v>
      </c>
      <c r="L248" s="38">
        <f t="shared" si="5"/>
        <v>29927001.479999997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f>56677.62</f>
        <v>56677.62</v>
      </c>
      <c r="G252" s="18">
        <f>20261.76+1610.79</f>
        <v>21872.55</v>
      </c>
      <c r="H252" s="18">
        <f>1800</f>
        <v>1800</v>
      </c>
      <c r="I252" s="18">
        <f>4873.08</f>
        <v>4873.08</v>
      </c>
      <c r="J252" s="18">
        <f>213.79</f>
        <v>213.79</v>
      </c>
      <c r="K252" s="18"/>
      <c r="L252" s="13">
        <f t="shared" si="6"/>
        <v>85437.04</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f>84587</f>
        <v>84587</v>
      </c>
      <c r="G256" s="18">
        <f>28394.78</f>
        <v>28394.78</v>
      </c>
      <c r="H256" s="18">
        <f>100498.58+361847.31+56365</f>
        <v>518710.89</v>
      </c>
      <c r="I256" s="18"/>
      <c r="J256" s="18"/>
      <c r="K256" s="18">
        <v>75887.87</v>
      </c>
      <c r="L256" s="13">
        <f t="shared" si="6"/>
        <v>707580.54</v>
      </c>
      <c r="M256" s="8"/>
      <c r="N256" s="165"/>
    </row>
    <row r="257" spans="1:14" s="3" customFormat="1" ht="12.2" customHeight="1" thickTop="1" thickBot="1" x14ac:dyDescent="0.2">
      <c r="A257" s="35" t="s">
        <v>461</v>
      </c>
      <c r="B257" s="37">
        <v>10</v>
      </c>
      <c r="C257" s="37">
        <v>7</v>
      </c>
      <c r="D257" s="36" t="s">
        <v>431</v>
      </c>
      <c r="E257" s="37"/>
      <c r="F257" s="38">
        <f t="shared" ref="F257:K257" si="7">SUM(F251:F256)</f>
        <v>141264.62</v>
      </c>
      <c r="G257" s="38">
        <f t="shared" si="7"/>
        <v>50267.33</v>
      </c>
      <c r="H257" s="38">
        <f t="shared" si="7"/>
        <v>520510.89</v>
      </c>
      <c r="I257" s="38">
        <f t="shared" si="7"/>
        <v>4873.08</v>
      </c>
      <c r="J257" s="38">
        <f t="shared" si="7"/>
        <v>213.79</v>
      </c>
      <c r="K257" s="38">
        <f t="shared" si="7"/>
        <v>75887.87</v>
      </c>
      <c r="L257" s="38">
        <f>SUM(F257:K257)</f>
        <v>793017.58000000007</v>
      </c>
      <c r="M257" s="8"/>
      <c r="N257" s="165"/>
    </row>
    <row r="258" spans="1:14" s="3" customFormat="1" ht="12.2" customHeight="1" thickTop="1" x14ac:dyDescent="0.15">
      <c r="A258" s="35" t="s">
        <v>462</v>
      </c>
      <c r="B258" s="37">
        <v>10</v>
      </c>
      <c r="C258" s="37">
        <v>8</v>
      </c>
      <c r="D258" s="36" t="s">
        <v>431</v>
      </c>
      <c r="E258" s="37"/>
      <c r="F258" s="38">
        <f t="shared" ref="F258:L258" si="8">F212+F230+F248+F257</f>
        <v>45767242.979999997</v>
      </c>
      <c r="G258" s="38">
        <f t="shared" si="8"/>
        <v>21742896.889999993</v>
      </c>
      <c r="H258" s="38">
        <f t="shared" si="8"/>
        <v>8653377.5300000012</v>
      </c>
      <c r="I258" s="38">
        <f t="shared" si="8"/>
        <v>4184581.95</v>
      </c>
      <c r="J258" s="38">
        <f t="shared" si="8"/>
        <v>1290069.6400000001</v>
      </c>
      <c r="K258" s="38">
        <f t="shared" si="8"/>
        <v>175645.34</v>
      </c>
      <c r="L258" s="38">
        <f t="shared" si="8"/>
        <v>81813814.329999998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270000+3331700</f>
        <v>3601700</v>
      </c>
      <c r="L261" s="13">
        <f>SUM(F261:K261)</f>
        <v>3601700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80041.5+1146600</f>
        <v>1226641.5</v>
      </c>
      <c r="L262" s="13">
        <f>SUM(F262:K262)</f>
        <v>1226641.5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181234.88+2985113.66</f>
        <v>3166348.54</v>
      </c>
      <c r="L267" s="13">
        <f t="shared" si="9"/>
        <v>3166348.54</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180911.18</f>
        <v>180911.18</v>
      </c>
      <c r="L269" s="13">
        <f t="shared" si="9"/>
        <v>180911.18</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8175601.2199999997</v>
      </c>
      <c r="L271" s="38">
        <f t="shared" si="9"/>
        <v>8175601.2199999997</v>
      </c>
      <c r="M271" s="8"/>
      <c r="N271" s="165"/>
    </row>
    <row r="272" spans="1:14" s="33" customFormat="1" ht="12.2" customHeight="1" thickTop="1" x14ac:dyDescent="0.2">
      <c r="A272" s="40" t="s">
        <v>464</v>
      </c>
      <c r="B272" s="37">
        <v>10</v>
      </c>
      <c r="C272" s="37">
        <v>18</v>
      </c>
      <c r="D272" s="36" t="s">
        <v>431</v>
      </c>
      <c r="E272" s="37"/>
      <c r="F272" s="39">
        <f t="shared" ref="F272:L272" si="11">F258+F271</f>
        <v>45767242.979999997</v>
      </c>
      <c r="G272" s="39">
        <f t="shared" si="11"/>
        <v>21742896.889999993</v>
      </c>
      <c r="H272" s="39">
        <f t="shared" si="11"/>
        <v>8653377.5300000012</v>
      </c>
      <c r="I272" s="39">
        <f t="shared" si="11"/>
        <v>4184581.95</v>
      </c>
      <c r="J272" s="39">
        <f t="shared" si="11"/>
        <v>1290069.6400000001</v>
      </c>
      <c r="K272" s="39">
        <f t="shared" si="11"/>
        <v>8351246.5599999996</v>
      </c>
      <c r="L272" s="39">
        <f t="shared" si="11"/>
        <v>89989415.549999997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1290515.83+14902.44</f>
        <v>1305418.27</v>
      </c>
      <c r="G277" s="18">
        <f>298669.82+3084.52</f>
        <v>301754.34000000003</v>
      </c>
      <c r="H277" s="18">
        <f>4405+62.78</f>
        <v>4467.78</v>
      </c>
      <c r="I277" s="18">
        <f>63169.58+27661.35</f>
        <v>90830.93</v>
      </c>
      <c r="J277" s="18"/>
      <c r="K277" s="18"/>
      <c r="L277" s="13">
        <f>SUM(F277:K277)</f>
        <v>1702471.32</v>
      </c>
      <c r="M277" s="8"/>
      <c r="N277" s="165"/>
    </row>
    <row r="278" spans="1:14" s="3" customFormat="1" ht="12.2" customHeight="1" x14ac:dyDescent="0.15">
      <c r="A278" s="1" t="s">
        <v>439</v>
      </c>
      <c r="B278" s="2" t="s">
        <v>357</v>
      </c>
      <c r="C278" s="2" t="s">
        <v>291</v>
      </c>
      <c r="D278" s="2" t="s">
        <v>431</v>
      </c>
      <c r="E278" s="6">
        <v>1200</v>
      </c>
      <c r="F278" s="18">
        <f>1101310.97+34699.74+79966.38+5982.15</f>
        <v>1221959.2399999998</v>
      </c>
      <c r="G278" s="18">
        <f>357267.91+9556.86+17716.65+3089.41</f>
        <v>387630.82999999996</v>
      </c>
      <c r="H278" s="18">
        <f>485.58+27763.5</f>
        <v>28249.08</v>
      </c>
      <c r="I278" s="18">
        <f>875.36+13333.83</f>
        <v>14209.19</v>
      </c>
      <c r="J278" s="18"/>
      <c r="K278" s="18"/>
      <c r="L278" s="13">
        <f>SUM(F278:K278)</f>
        <v>1652048.3399999999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118499.54+124793.84+113607.76</f>
        <v>356901.14</v>
      </c>
      <c r="G280" s="18">
        <f>24663.6+12529.54+22170.32</f>
        <v>59363.46</v>
      </c>
      <c r="H280" s="18">
        <f>179+1463.45</f>
        <v>1642.45</v>
      </c>
      <c r="I280" s="18">
        <f>8525.75+2156.76+1655.92</f>
        <v>12338.43</v>
      </c>
      <c r="J280" s="18"/>
      <c r="K280" s="18"/>
      <c r="L280" s="13">
        <f>SUM(F280:K280)</f>
        <v>430245.48000000004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217690.34+23370+86788.62</f>
        <v>327848.95999999996</v>
      </c>
      <c r="G282" s="18">
        <f>53577.88+4949.93+23796.51</f>
        <v>82324.319999999992</v>
      </c>
      <c r="H282" s="18">
        <f>27256.24+123173.94</f>
        <v>150430.18</v>
      </c>
      <c r="I282" s="18">
        <f>88.64+4586.64</f>
        <v>4675.2800000000007</v>
      </c>
      <c r="J282" s="18"/>
      <c r="K282" s="18"/>
      <c r="L282" s="13">
        <f t="shared" ref="L282:L288" si="12">SUM(F282:K282)</f>
        <v>565278.74</v>
      </c>
      <c r="M282" s="8"/>
      <c r="N282" s="165"/>
    </row>
    <row r="283" spans="1:14" s="3" customFormat="1" ht="12.2" customHeight="1" x14ac:dyDescent="0.15">
      <c r="A283" s="1" t="s">
        <v>443</v>
      </c>
      <c r="B283" s="2" t="s">
        <v>357</v>
      </c>
      <c r="C283" s="2" t="s">
        <v>295</v>
      </c>
      <c r="D283" s="2" t="s">
        <v>431</v>
      </c>
      <c r="E283" s="6">
        <v>2200</v>
      </c>
      <c r="F283" s="18">
        <f>71251.59+1225+52703.85</f>
        <v>125180.44</v>
      </c>
      <c r="G283" s="18">
        <f>12835.96+351.2+25559.09</f>
        <v>38746.25</v>
      </c>
      <c r="H283" s="18">
        <f>19053.83+40080+118810.32</f>
        <v>177944.15000000002</v>
      </c>
      <c r="I283" s="18">
        <f>9448.21+1474.88+171.27+55606.53</f>
        <v>66700.89</v>
      </c>
      <c r="J283" s="18"/>
      <c r="K283" s="18">
        <f>131.21</f>
        <v>131.21</v>
      </c>
      <c r="L283" s="13">
        <f t="shared" si="12"/>
        <v>408702.94000000006</v>
      </c>
      <c r="M283" s="8"/>
      <c r="N283" s="165"/>
    </row>
    <row r="284" spans="1:14" s="3" customFormat="1" ht="12.2" customHeight="1" x14ac:dyDescent="0.15">
      <c r="A284" s="1" t="s">
        <v>444</v>
      </c>
      <c r="B284" s="2" t="s">
        <v>357</v>
      </c>
      <c r="C284" s="2" t="s">
        <v>296</v>
      </c>
      <c r="D284" s="2" t="s">
        <v>431</v>
      </c>
      <c r="E284" s="6">
        <v>2300</v>
      </c>
      <c r="F284" s="18">
        <f>29411.52</f>
        <v>29411.52</v>
      </c>
      <c r="G284" s="18">
        <f>13988.98</f>
        <v>13988.98</v>
      </c>
      <c r="H284" s="18">
        <f>114.78</f>
        <v>114.78</v>
      </c>
      <c r="I284" s="18"/>
      <c r="J284" s="18"/>
      <c r="K284" s="18"/>
      <c r="L284" s="13">
        <f t="shared" si="12"/>
        <v>43515.28</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10309.71</f>
        <v>10309.709999999999</v>
      </c>
      <c r="I287" s="18">
        <f>60527.9</f>
        <v>60527.9</v>
      </c>
      <c r="J287" s="18">
        <f>1113.09</f>
        <v>1113.0899999999999</v>
      </c>
      <c r="K287" s="18"/>
      <c r="L287" s="13">
        <f t="shared" si="12"/>
        <v>71950.7</v>
      </c>
      <c r="M287" s="8"/>
      <c r="N287" s="165"/>
    </row>
    <row r="288" spans="1:14" s="3" customFormat="1" ht="12.2" customHeight="1" x14ac:dyDescent="0.15">
      <c r="A288" s="1" t="s">
        <v>448</v>
      </c>
      <c r="B288" s="2" t="s">
        <v>357</v>
      </c>
      <c r="C288" s="2" t="s">
        <v>300</v>
      </c>
      <c r="D288" s="2" t="s">
        <v>431</v>
      </c>
      <c r="E288" s="6">
        <v>2700</v>
      </c>
      <c r="F288" s="18"/>
      <c r="G288" s="18"/>
      <c r="H288" s="18">
        <f>45970.52</f>
        <v>45970.52</v>
      </c>
      <c r="I288" s="18">
        <f>3298</f>
        <v>3298</v>
      </c>
      <c r="J288" s="18"/>
      <c r="K288" s="18"/>
      <c r="L288" s="13">
        <f t="shared" si="12"/>
        <v>49268.52</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3366719.57</v>
      </c>
      <c r="G291" s="39">
        <f t="shared" si="13"/>
        <v>883808.17999999982</v>
      </c>
      <c r="H291" s="39">
        <f t="shared" si="13"/>
        <v>419128.65000000008</v>
      </c>
      <c r="I291" s="39">
        <f t="shared" si="13"/>
        <v>252580.61999999997</v>
      </c>
      <c r="J291" s="39">
        <f t="shared" si="13"/>
        <v>1113.0899999999999</v>
      </c>
      <c r="K291" s="39">
        <f t="shared" si="13"/>
        <v>131.21</v>
      </c>
      <c r="L291" s="38">
        <f t="shared" si="13"/>
        <v>4923481.32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134358+7141.47</f>
        <v>141499.47</v>
      </c>
      <c r="G296" s="18">
        <f>46940.97+1478.15</f>
        <v>48419.12</v>
      </c>
      <c r="H296" s="18">
        <f>30.09</f>
        <v>30.09</v>
      </c>
      <c r="I296" s="18">
        <f>15326.22+13255.73</f>
        <v>28581.949999999997</v>
      </c>
      <c r="J296" s="18"/>
      <c r="K296" s="18"/>
      <c r="L296" s="13">
        <f>SUM(F296:K296)</f>
        <v>218530.63</v>
      </c>
      <c r="M296" s="8"/>
      <c r="N296" s="165"/>
    </row>
    <row r="297" spans="1:14" s="3" customFormat="1" ht="12.2" customHeight="1" x14ac:dyDescent="0.15">
      <c r="A297" s="1" t="s">
        <v>439</v>
      </c>
      <c r="B297" s="2" t="s">
        <v>358</v>
      </c>
      <c r="C297" s="2" t="s">
        <v>291</v>
      </c>
      <c r="D297" s="2" t="s">
        <v>431</v>
      </c>
      <c r="E297" s="6">
        <v>1200</v>
      </c>
      <c r="F297" s="18">
        <f>82927+4000+2827.03</f>
        <v>89754.03</v>
      </c>
      <c r="G297" s="18">
        <f>23734.19+1459.99</f>
        <v>25194.18</v>
      </c>
      <c r="H297" s="18">
        <f>13120.41</f>
        <v>13120.41</v>
      </c>
      <c r="I297" s="18">
        <f>6301.27</f>
        <v>6301.27</v>
      </c>
      <c r="J297" s="18"/>
      <c r="K297" s="18"/>
      <c r="L297" s="13">
        <f>SUM(F297:K297)</f>
        <v>134369.88999999998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11121.6+54442.52</f>
        <v>65564.12</v>
      </c>
      <c r="G299" s="18">
        <f>2293.2+10624.34</f>
        <v>12917.54</v>
      </c>
      <c r="H299" s="18">
        <f>701.31</f>
        <v>701.31</v>
      </c>
      <c r="I299" s="18">
        <f>646.65+793.54</f>
        <v>1440.19</v>
      </c>
      <c r="J299" s="18"/>
      <c r="K299" s="18"/>
      <c r="L299" s="13">
        <f>SUM(F299:K299)</f>
        <v>80623.16</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20064.63+31916+41590.39</f>
        <v>93571.02</v>
      </c>
      <c r="G301" s="18">
        <f>5648.77+16610.61+11403.64</f>
        <v>33663.020000000004</v>
      </c>
      <c r="H301" s="18">
        <f>41960+1820+59026.78</f>
        <v>102806.78</v>
      </c>
      <c r="I301" s="18"/>
      <c r="J301" s="18"/>
      <c r="K301" s="18"/>
      <c r="L301" s="13">
        <f t="shared" ref="L301:L307" si="14">SUM(F301:K301)</f>
        <v>230040.82</v>
      </c>
      <c r="M301" s="8"/>
      <c r="N301" s="165"/>
    </row>
    <row r="302" spans="1:14" s="3" customFormat="1" ht="12.2" customHeight="1" x14ac:dyDescent="0.15">
      <c r="A302" s="1" t="s">
        <v>443</v>
      </c>
      <c r="B302" s="2" t="s">
        <v>358</v>
      </c>
      <c r="C302" s="2" t="s">
        <v>295</v>
      </c>
      <c r="D302" s="2" t="s">
        <v>431</v>
      </c>
      <c r="E302" s="6">
        <v>2200</v>
      </c>
      <c r="F302" s="18">
        <f>17385.55</f>
        <v>17385.55</v>
      </c>
      <c r="G302" s="18">
        <f>8431.24</f>
        <v>8431.24</v>
      </c>
      <c r="H302" s="18">
        <f>1156+27900+39192.26</f>
        <v>68248.260000000009</v>
      </c>
      <c r="I302" s="18">
        <f>2941+18343.07</f>
        <v>21284.07</v>
      </c>
      <c r="J302" s="18"/>
      <c r="K302" s="18">
        <f>43.28</f>
        <v>43.28</v>
      </c>
      <c r="L302" s="13">
        <f t="shared" si="14"/>
        <v>115392.40000000002</v>
      </c>
      <c r="M302" s="8"/>
      <c r="N302" s="165"/>
    </row>
    <row r="303" spans="1:14" s="3" customFormat="1" ht="12.2" customHeight="1" x14ac:dyDescent="0.15">
      <c r="A303" s="1" t="s">
        <v>444</v>
      </c>
      <c r="B303" s="2" t="s">
        <v>358</v>
      </c>
      <c r="C303" s="2" t="s">
        <v>296</v>
      </c>
      <c r="D303" s="2" t="s">
        <v>431</v>
      </c>
      <c r="E303" s="6">
        <v>2300</v>
      </c>
      <c r="F303" s="18">
        <f>14094.44</f>
        <v>14094.44</v>
      </c>
      <c r="G303" s="18">
        <f>6703.73</f>
        <v>6703.73</v>
      </c>
      <c r="H303" s="18">
        <f>55</f>
        <v>55</v>
      </c>
      <c r="I303" s="18"/>
      <c r="J303" s="18"/>
      <c r="K303" s="18"/>
      <c r="L303" s="13">
        <f t="shared" si="14"/>
        <v>20853.169999999998</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f>4940.56</f>
        <v>4940.5600000000004</v>
      </c>
      <c r="I306" s="18">
        <f>29005.87</f>
        <v>29005.87</v>
      </c>
      <c r="J306" s="18">
        <f>533.41</f>
        <v>533.41</v>
      </c>
      <c r="K306" s="18"/>
      <c r="L306" s="13">
        <f t="shared" si="14"/>
        <v>34479.840000000004</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421868.63</v>
      </c>
      <c r="G310" s="39">
        <f t="shared" si="15"/>
        <v>135328.83000000002</v>
      </c>
      <c r="H310" s="39">
        <f t="shared" si="15"/>
        <v>189902.41</v>
      </c>
      <c r="I310" s="39">
        <f t="shared" si="15"/>
        <v>86613.35</v>
      </c>
      <c r="J310" s="39">
        <f t="shared" si="15"/>
        <v>533.41</v>
      </c>
      <c r="K310" s="39">
        <f t="shared" si="15"/>
        <v>43.28</v>
      </c>
      <c r="L310" s="38">
        <f t="shared" si="15"/>
        <v>834289.91</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68907+12372.81</f>
        <v>81279.81</v>
      </c>
      <c r="G315" s="18">
        <f>28312.16+2560.94</f>
        <v>30873.1</v>
      </c>
      <c r="H315" s="18">
        <f>3706.07+52.13</f>
        <v>3758.2000000000003</v>
      </c>
      <c r="I315" s="18">
        <f>747.63+22965.95</f>
        <v>23713.58</v>
      </c>
      <c r="J315" s="18">
        <f>38396.98</f>
        <v>38396.980000000003</v>
      </c>
      <c r="K315" s="18"/>
      <c r="L315" s="13">
        <f>SUM(F315:K315)</f>
        <v>178021.67</v>
      </c>
      <c r="M315" s="8"/>
      <c r="N315" s="165"/>
    </row>
    <row r="316" spans="1:14" s="3" customFormat="1" ht="12.2" customHeight="1" x14ac:dyDescent="0.15">
      <c r="A316" s="1" t="s">
        <v>439</v>
      </c>
      <c r="B316" s="2" t="s">
        <v>359</v>
      </c>
      <c r="C316" s="2" t="s">
        <v>291</v>
      </c>
      <c r="D316" s="2" t="s">
        <v>431</v>
      </c>
      <c r="E316" s="6">
        <v>1200</v>
      </c>
      <c r="F316" s="18">
        <f>10546.89+95735.74+4158.84</f>
        <v>110441.47</v>
      </c>
      <c r="G316" s="18">
        <f>2262.54+36310.61+2147.79</f>
        <v>40720.94</v>
      </c>
      <c r="H316" s="18">
        <f>19301.44</f>
        <v>19301.439999999999</v>
      </c>
      <c r="I316" s="18">
        <f>9943+9269.8</f>
        <v>19212.8</v>
      </c>
      <c r="J316" s="18"/>
      <c r="K316" s="18"/>
      <c r="L316" s="13">
        <f>SUM(F316:K316)</f>
        <v>189676.65</v>
      </c>
      <c r="M316" s="8"/>
      <c r="N316" s="165"/>
    </row>
    <row r="317" spans="1:14" s="3" customFormat="1" ht="12.2" customHeight="1" x14ac:dyDescent="0.15">
      <c r="A317" s="1" t="s">
        <v>440</v>
      </c>
      <c r="B317" s="2" t="s">
        <v>359</v>
      </c>
      <c r="C317" s="2" t="s">
        <v>292</v>
      </c>
      <c r="D317" s="2" t="s">
        <v>431</v>
      </c>
      <c r="E317" s="6">
        <v>1300</v>
      </c>
      <c r="F317" s="18">
        <f>15357.09+2543.75+351+562.5+7180+1988.4+37413.74</f>
        <v>65396.479999999996</v>
      </c>
      <c r="G317" s="18">
        <f>3128.64+194.59+26.85+43.04+549.27+152.12+21365.32</f>
        <v>25459.829999999998</v>
      </c>
      <c r="H317" s="18">
        <f>4000+13747.61+122.5+2185+849+489.16</f>
        <v>21393.27</v>
      </c>
      <c r="I317" s="18">
        <f>1616.01+18359.95+5236.63+4651.06+4946.25+3600+3056.7+2500+2925+875+2482.38+3087.3+1003.46</f>
        <v>54339.74</v>
      </c>
      <c r="J317" s="18">
        <f>20000</f>
        <v>20000</v>
      </c>
      <c r="K317" s="18"/>
      <c r="L317" s="13">
        <f>SUM(F317:K317)</f>
        <v>186589.32</v>
      </c>
      <c r="M317" s="8"/>
      <c r="N317" s="165"/>
    </row>
    <row r="318" spans="1:14" s="3" customFormat="1" ht="12.2" customHeight="1" x14ac:dyDescent="0.15">
      <c r="A318" s="1" t="s">
        <v>441</v>
      </c>
      <c r="B318" s="2" t="s">
        <v>359</v>
      </c>
      <c r="C318" s="2" t="s">
        <v>293</v>
      </c>
      <c r="D318" s="2" t="s">
        <v>431</v>
      </c>
      <c r="E318" s="6">
        <v>1400</v>
      </c>
      <c r="F318" s="18">
        <f>3630.82+94323.3</f>
        <v>97954.12000000001</v>
      </c>
      <c r="G318" s="18">
        <f>897.85+18407</f>
        <v>19304.849999999999</v>
      </c>
      <c r="H318" s="18">
        <f>1215.04</f>
        <v>1215.04</v>
      </c>
      <c r="I318" s="18">
        <f>1374.84</f>
        <v>1374.84</v>
      </c>
      <c r="J318" s="18"/>
      <c r="K318" s="18"/>
      <c r="L318" s="13">
        <f>SUM(F318:K318)</f>
        <v>119848.84999999999</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72056.61</f>
        <v>72056.61</v>
      </c>
      <c r="G320" s="18">
        <f>19757.14</f>
        <v>19757.14</v>
      </c>
      <c r="H320" s="18">
        <f>75646.54+102265.66</f>
        <v>177912.2</v>
      </c>
      <c r="I320" s="18"/>
      <c r="J320" s="18"/>
      <c r="K320" s="18"/>
      <c r="L320" s="13">
        <f t="shared" ref="L320:L326" si="16">SUM(F320:K320)</f>
        <v>269725.95</v>
      </c>
      <c r="M320" s="8"/>
      <c r="N320" s="165"/>
    </row>
    <row r="321" spans="1:14" s="3" customFormat="1" ht="12.2" customHeight="1" x14ac:dyDescent="0.15">
      <c r="A321" s="1" t="s">
        <v>443</v>
      </c>
      <c r="B321" s="2" t="s">
        <v>359</v>
      </c>
      <c r="C321" s="2" t="s">
        <v>295</v>
      </c>
      <c r="D321" s="2" t="s">
        <v>431</v>
      </c>
      <c r="E321" s="6">
        <v>2200</v>
      </c>
      <c r="F321" s="18">
        <f>16284.59+18649.24+51904.26+25910.32</f>
        <v>112748.41</v>
      </c>
      <c r="G321" s="18">
        <f>1432.74+1426.68+38674.61+12565.39</f>
        <v>54099.42</v>
      </c>
      <c r="H321" s="18">
        <f>40673.01+2400+58409.67</f>
        <v>101482.68</v>
      </c>
      <c r="I321" s="18">
        <f>240+845+27337.35</f>
        <v>28422.35</v>
      </c>
      <c r="J321" s="18"/>
      <c r="K321" s="18">
        <f>64.51</f>
        <v>64.510000000000005</v>
      </c>
      <c r="L321" s="13">
        <f t="shared" si="16"/>
        <v>296817.37</v>
      </c>
      <c r="M321" s="8"/>
      <c r="N321" s="165"/>
    </row>
    <row r="322" spans="1:14" s="3" customFormat="1" ht="12.2" customHeight="1" x14ac:dyDescent="0.15">
      <c r="A322" s="1" t="s">
        <v>444</v>
      </c>
      <c r="B322" s="2" t="s">
        <v>359</v>
      </c>
      <c r="C322" s="2" t="s">
        <v>296</v>
      </c>
      <c r="D322" s="2" t="s">
        <v>431</v>
      </c>
      <c r="E322" s="6">
        <v>2300</v>
      </c>
      <c r="F322" s="18">
        <f>24419.04</f>
        <v>24419.040000000001</v>
      </c>
      <c r="G322" s="18">
        <f>11614.41</f>
        <v>11614.41</v>
      </c>
      <c r="H322" s="18">
        <f>95.3</f>
        <v>95.3</v>
      </c>
      <c r="I322" s="18"/>
      <c r="J322" s="18"/>
      <c r="K322" s="18"/>
      <c r="L322" s="13">
        <f t="shared" si="16"/>
        <v>36128.75</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f>8559.68</f>
        <v>8559.68</v>
      </c>
      <c r="I325" s="18">
        <f>50253.54</f>
        <v>50253.54</v>
      </c>
      <c r="J325" s="18">
        <f>924.14</f>
        <v>924.14</v>
      </c>
      <c r="K325" s="18"/>
      <c r="L325" s="13">
        <f t="shared" si="16"/>
        <v>59737.36</v>
      </c>
      <c r="M325" s="8"/>
      <c r="N325" s="165"/>
    </row>
    <row r="326" spans="1:14" s="3" customFormat="1" ht="12.2" customHeight="1" x14ac:dyDescent="0.15">
      <c r="A326" s="1" t="s">
        <v>448</v>
      </c>
      <c r="B326" s="2" t="s">
        <v>359</v>
      </c>
      <c r="C326" s="2" t="s">
        <v>300</v>
      </c>
      <c r="D326" s="2" t="s">
        <v>431</v>
      </c>
      <c r="E326" s="6">
        <v>2700</v>
      </c>
      <c r="F326" s="18"/>
      <c r="G326" s="18"/>
      <c r="H326" s="18">
        <f>12193.48+79260.83</f>
        <v>91454.31</v>
      </c>
      <c r="I326" s="18"/>
      <c r="J326" s="18"/>
      <c r="K326" s="18"/>
      <c r="L326" s="13">
        <f t="shared" si="16"/>
        <v>91454.31</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564295.94000000006</v>
      </c>
      <c r="G329" s="39">
        <f t="shared" si="17"/>
        <v>201829.68999999997</v>
      </c>
      <c r="H329" s="39">
        <f t="shared" si="17"/>
        <v>425172.12</v>
      </c>
      <c r="I329" s="39">
        <f t="shared" si="17"/>
        <v>177316.85</v>
      </c>
      <c r="J329" s="39">
        <f t="shared" si="17"/>
        <v>59321.120000000003</v>
      </c>
      <c r="K329" s="39">
        <f t="shared" si="17"/>
        <v>64.510000000000005</v>
      </c>
      <c r="L329" s="38">
        <f t="shared" si="17"/>
        <v>1428000.2300000002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f>14511.93</f>
        <v>14511.93</v>
      </c>
      <c r="I334" s="18"/>
      <c r="J334" s="18"/>
      <c r="K334" s="18"/>
      <c r="L334" s="13">
        <f t="shared" si="18"/>
        <v>14511.93</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f>62884.33</f>
        <v>62884.33</v>
      </c>
      <c r="I337" s="18"/>
      <c r="J337" s="18"/>
      <c r="K337" s="18"/>
      <c r="L337" s="13">
        <f t="shared" si="18"/>
        <v>62884.33</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77396.260000000009</v>
      </c>
      <c r="I338" s="38">
        <f t="shared" si="19"/>
        <v>0</v>
      </c>
      <c r="J338" s="38">
        <f t="shared" si="19"/>
        <v>0</v>
      </c>
      <c r="K338" s="38">
        <f t="shared" si="19"/>
        <v>0</v>
      </c>
      <c r="L338" s="38">
        <f t="shared" si="18"/>
        <v>77396.260000000009</v>
      </c>
      <c r="M338" s="8"/>
      <c r="N338" s="165"/>
    </row>
    <row r="339" spans="1:43" s="3" customFormat="1" ht="12.2" customHeight="1" thickTop="1" x14ac:dyDescent="0.15">
      <c r="A339" s="35" t="s">
        <v>468</v>
      </c>
      <c r="B339" s="37">
        <v>14</v>
      </c>
      <c r="C339" s="37">
        <v>7</v>
      </c>
      <c r="D339" s="36" t="s">
        <v>431</v>
      </c>
      <c r="E339" s="37"/>
      <c r="F339" s="38">
        <f t="shared" ref="F339:L339" si="20">F291+F310+F329+F338</f>
        <v>4352884.1399999997</v>
      </c>
      <c r="G339" s="38">
        <f t="shared" si="20"/>
        <v>1220966.6999999997</v>
      </c>
      <c r="H339" s="38">
        <f t="shared" si="20"/>
        <v>1111599.44</v>
      </c>
      <c r="I339" s="38">
        <f t="shared" si="20"/>
        <v>516510.81999999995</v>
      </c>
      <c r="J339" s="38">
        <f t="shared" si="20"/>
        <v>60967.62</v>
      </c>
      <c r="K339" s="38">
        <f t="shared" si="20"/>
        <v>239</v>
      </c>
      <c r="L339" s="38">
        <f t="shared" si="20"/>
        <v>7263167.7200000007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8491.08+158876.14</f>
        <v>167367.22</v>
      </c>
      <c r="L345" s="13">
        <f t="shared" ref="L345:L351" si="21">SUM(F345:K345)</f>
        <v>167367.22</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167367.22</v>
      </c>
      <c r="L352" s="38">
        <f>SUM(L342:L351)</f>
        <v>167367.22</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4352884.1399999997</v>
      </c>
      <c r="G353" s="38">
        <f>G339</f>
        <v>1220966.6999999997</v>
      </c>
      <c r="H353" s="38">
        <f>H339</f>
        <v>1111599.44</v>
      </c>
      <c r="I353" s="38">
        <f>I339</f>
        <v>516510.81999999995</v>
      </c>
      <c r="J353" s="38">
        <f>J339</f>
        <v>60967.62</v>
      </c>
      <c r="K353" s="38">
        <f>K339+K352</f>
        <v>167606.22</v>
      </c>
      <c r="L353" s="38">
        <f>L339+L352</f>
        <v>7430534.9400000004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250182.53+4147.3+62051.77</f>
        <v>316381.59999999998</v>
      </c>
      <c r="G359" s="18">
        <f>60566.49+317.29+27640.5</f>
        <v>88524.28</v>
      </c>
      <c r="H359" s="18">
        <f>13910.25+12939.06</f>
        <v>26849.309999999998</v>
      </c>
      <c r="I359" s="18">
        <f>609126.24+42528.49</f>
        <v>651654.73</v>
      </c>
      <c r="J359" s="18"/>
      <c r="K359" s="18">
        <f>79+738.7</f>
        <v>817.7</v>
      </c>
      <c r="L359" s="13">
        <f>SUM(F359:K359)</f>
        <v>1084227.6199999999</v>
      </c>
      <c r="M359" s="8"/>
      <c r="N359" s="165"/>
    </row>
    <row r="360" spans="1:22" s="3" customFormat="1" ht="12.2" customHeight="1" x14ac:dyDescent="0.15">
      <c r="A360" s="1" t="s">
        <v>542</v>
      </c>
      <c r="B360" s="2" t="s">
        <v>366</v>
      </c>
      <c r="C360" s="6">
        <v>2</v>
      </c>
      <c r="D360" s="2" t="s">
        <v>431</v>
      </c>
      <c r="E360" s="6"/>
      <c r="F360" s="18">
        <f>85385.75+29736.13</f>
        <v>115121.88</v>
      </c>
      <c r="G360" s="18">
        <f>10927.82+13245.73</f>
        <v>24173.55</v>
      </c>
      <c r="H360" s="18">
        <f>2066+6200.59</f>
        <v>8266.59</v>
      </c>
      <c r="I360" s="18">
        <f>216013.43+20380.28</f>
        <v>236393.71</v>
      </c>
      <c r="J360" s="18"/>
      <c r="K360" s="18">
        <f>353.99</f>
        <v>353.99</v>
      </c>
      <c r="L360" s="13">
        <f>SUM(F360:K360)</f>
        <v>384309.72</v>
      </c>
      <c r="M360" s="8"/>
      <c r="N360" s="165"/>
    </row>
    <row r="361" spans="1:22" s="3" customFormat="1" ht="12.2" customHeight="1" x14ac:dyDescent="0.15">
      <c r="A361" s="3" t="s">
        <v>543</v>
      </c>
      <c r="B361" s="2" t="s">
        <v>366</v>
      </c>
      <c r="C361" s="6">
        <v>3</v>
      </c>
      <c r="D361" s="2" t="s">
        <v>431</v>
      </c>
      <c r="E361" s="6"/>
      <c r="F361" s="18">
        <f>171170.58+51518.74</f>
        <v>222689.31999999998</v>
      </c>
      <c r="G361" s="18">
        <f>36840.49+22948.64</f>
        <v>59789.13</v>
      </c>
      <c r="H361" s="18">
        <f>5548+10742.71</f>
        <v>16290.71</v>
      </c>
      <c r="I361" s="18">
        <f>426308.47+35309.45</f>
        <v>461617.91999999998</v>
      </c>
      <c r="J361" s="18"/>
      <c r="K361" s="18">
        <f>613.31</f>
        <v>613.30999999999995</v>
      </c>
      <c r="L361" s="13">
        <f>SUM(F361:K361)</f>
        <v>761000.39</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654192.79999999993</v>
      </c>
      <c r="G363" s="38">
        <f t="shared" si="22"/>
        <v>172486.96</v>
      </c>
      <c r="H363" s="38">
        <f t="shared" si="22"/>
        <v>51406.609999999993</v>
      </c>
      <c r="I363" s="38">
        <f t="shared" si="22"/>
        <v>1349666.3599999999</v>
      </c>
      <c r="J363" s="38">
        <f t="shared" si="22"/>
        <v>0</v>
      </c>
      <c r="K363" s="38">
        <f t="shared" si="22"/>
        <v>1785</v>
      </c>
      <c r="L363" s="38">
        <f t="shared" si="22"/>
        <v>2229537.73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544783.92+29323.39</f>
        <v>574107.31000000006</v>
      </c>
      <c r="G368" s="18">
        <f>181716.49+14052.2</f>
        <v>195768.69</v>
      </c>
      <c r="H368" s="18">
        <f>394743.42+24345.87</f>
        <v>419089.29</v>
      </c>
      <c r="I368" s="13">
        <f>SUM(F368:H368)</f>
        <v>1188965.29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64342.32+13205.1</f>
        <v>77547.42</v>
      </c>
      <c r="G369" s="53">
        <f>34296.94+6328.08</f>
        <v>40625.020000000004</v>
      </c>
      <c r="H369" s="53">
        <f>31565.05+10963.58</f>
        <v>42528.63</v>
      </c>
      <c r="I369" s="13">
        <f>SUM(F369:H369)</f>
        <v>160701.07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651654.7300000001</v>
      </c>
      <c r="G370" s="38">
        <f>SUM(G368:G369)</f>
        <v>236393.71000000002</v>
      </c>
      <c r="H370" s="38">
        <f>SUM(H368:H369)</f>
        <v>461617.91999999998</v>
      </c>
      <c r="I370" s="38">
        <f>SUM(I368:I369)</f>
        <v>1349666.36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f>229665+11431.5+241274.86</f>
        <v>482371.36</v>
      </c>
      <c r="I380" s="18"/>
      <c r="J380" s="18"/>
      <c r="K380" s="18"/>
      <c r="L380" s="13">
        <f t="shared" si="23"/>
        <v>482371.36</v>
      </c>
      <c r="M380" s="8"/>
      <c r="N380" s="165"/>
    </row>
    <row r="381" spans="1:14" s="3" customFormat="1" ht="12.2" customHeight="1" x14ac:dyDescent="0.15">
      <c r="A381" s="1" t="s">
        <v>510</v>
      </c>
      <c r="B381" s="2" t="s">
        <v>366</v>
      </c>
      <c r="C381" s="2" t="s">
        <v>347</v>
      </c>
      <c r="D381" s="2" t="s">
        <v>431</v>
      </c>
      <c r="E381" s="6">
        <v>4900</v>
      </c>
      <c r="F381" s="18"/>
      <c r="G381" s="18"/>
      <c r="H381" s="18">
        <f>17732.3+399.7</f>
        <v>18132</v>
      </c>
      <c r="I381" s="18">
        <f>11104.34+5717.06+24577.19+41241.71+3452.58</f>
        <v>86092.87999999999</v>
      </c>
      <c r="J381" s="18">
        <f>26592.57</f>
        <v>26592.57</v>
      </c>
      <c r="K381" s="18"/>
      <c r="L381" s="13">
        <f t="shared" si="23"/>
        <v>130817.44999999998</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500503.36</v>
      </c>
      <c r="I383" s="38">
        <f t="shared" si="24"/>
        <v>86092.87999999999</v>
      </c>
      <c r="J383" s="38">
        <f t="shared" si="24"/>
        <v>26592.57</v>
      </c>
      <c r="K383" s="38">
        <f t="shared" si="24"/>
        <v>0</v>
      </c>
      <c r="L383" s="38">
        <f t="shared" si="24"/>
        <v>613188.80999999994</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f>3161770.15+4578.39</f>
        <v>3166348.54</v>
      </c>
      <c r="H401" s="18">
        <f>463.33+16395.78</f>
        <v>16859.11</v>
      </c>
      <c r="I401" s="18">
        <f>17784.13</f>
        <v>17784.13</v>
      </c>
      <c r="J401" s="23" t="s">
        <v>288</v>
      </c>
      <c r="K401" s="23" t="s">
        <v>288</v>
      </c>
      <c r="L401" s="13">
        <f t="shared" si="26"/>
        <v>3200991.78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3166348.54</v>
      </c>
      <c r="H402" s="38">
        <f>SUM(H396:H401)</f>
        <v>16859.11</v>
      </c>
      <c r="I402" s="38">
        <f>SUM(I396:I401)</f>
        <v>17784.13</v>
      </c>
      <c r="J402" s="42" t="s">
        <v>288</v>
      </c>
      <c r="K402" s="42" t="s">
        <v>288</v>
      </c>
      <c r="L402" s="38">
        <f>SUM(L396:L401)</f>
        <v>3200991.78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3166348.54</v>
      </c>
      <c r="H409" s="38">
        <f>H394+H402+H408</f>
        <v>16859.11</v>
      </c>
      <c r="I409" s="38">
        <f>I394+I402+I408</f>
        <v>17784.13</v>
      </c>
      <c r="J409" s="23" t="s">
        <v>288</v>
      </c>
      <c r="K409" s="23" t="s">
        <v>288</v>
      </c>
      <c r="L409" s="38">
        <f>L394+L402+L408</f>
        <v>3200991.78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f>(383671.25-300000)+111943.93</f>
        <v>195615.18</v>
      </c>
      <c r="L427" s="13">
        <f t="shared" si="29"/>
        <v>195615.18</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195615.18</v>
      </c>
      <c r="L428" s="38">
        <f t="shared" si="30"/>
        <v>195615.18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f>30268.5</f>
        <v>30268.5</v>
      </c>
      <c r="I430" s="18"/>
      <c r="J430" s="18"/>
      <c r="K430" s="18"/>
      <c r="L430" s="13">
        <f>SUM(F430:K430)</f>
        <v>30268.5</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30268.5</v>
      </c>
      <c r="I434" s="38">
        <f t="shared" si="31"/>
        <v>0</v>
      </c>
      <c r="J434" s="38">
        <f t="shared" si="31"/>
        <v>0</v>
      </c>
      <c r="K434" s="38">
        <f t="shared" si="31"/>
        <v>0</v>
      </c>
      <c r="L434" s="38">
        <f t="shared" si="31"/>
        <v>30268.5</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30268.5</v>
      </c>
      <c r="I435" s="38">
        <f t="shared" si="32"/>
        <v>0</v>
      </c>
      <c r="J435" s="38">
        <f t="shared" si="32"/>
        <v>0</v>
      </c>
      <c r="K435" s="38">
        <f t="shared" si="32"/>
        <v>195615.18</v>
      </c>
      <c r="L435" s="38">
        <f t="shared" si="32"/>
        <v>225883.68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f>15631693.44+436056.54</f>
        <v>16067749.979999999</v>
      </c>
      <c r="H441" s="18"/>
      <c r="I441" s="13">
        <f t="shared" si="33"/>
        <v>16067749.979999999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f>-1797634.2+93749.4</f>
        <v>-1703884.8</v>
      </c>
      <c r="H442" s="18"/>
      <c r="I442" s="13">
        <f t="shared" si="33"/>
        <v>-1703884.8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14363865.179999998</v>
      </c>
      <c r="H447" s="13">
        <f>SUM(H440:H446)</f>
        <v>0</v>
      </c>
      <c r="I447" s="13">
        <f>SUM(I440:I446)</f>
        <v>14363865.179999998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f>(-4412349.31-300000)+89327.22</f>
        <v>-4623022.09</v>
      </c>
      <c r="H449" s="18"/>
      <c r="I449" s="13">
        <f>SUM(F449:H449)</f>
        <v>-4623022.09</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-4623022.09</v>
      </c>
      <c r="H453" s="57">
        <f>SUM(H449:H452)</f>
        <v>0</v>
      </c>
      <c r="I453" s="57">
        <f>SUM(I449:I452)</f>
        <v>-4623022.09</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(18246408.55+300000)+440478.72</f>
        <v>18986887.27</v>
      </c>
      <c r="H460" s="18"/>
      <c r="I460" s="13">
        <f t="shared" si="34"/>
        <v>18986887.27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18986887.27</v>
      </c>
      <c r="H461" s="65">
        <f>SUM(H455:H460)</f>
        <v>0</v>
      </c>
      <c r="I461" s="65">
        <f>SUM(I455:I460)</f>
        <v>18986887.27</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14363865.18</v>
      </c>
      <c r="H462" s="39">
        <f>H453+H461</f>
        <v>0</v>
      </c>
      <c r="I462" s="39">
        <f>I453+I461</f>
        <v>14363865.18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f>3973681.53</f>
        <v>3973681.53</v>
      </c>
      <c r="G466" s="18">
        <f>220186.72</f>
        <v>220186.72</v>
      </c>
      <c r="H466" s="18">
        <f>355028.44</f>
        <v>355028.44</v>
      </c>
      <c r="I466" s="18">
        <f>483405.74</f>
        <v>483405.74</v>
      </c>
      <c r="J466" s="18">
        <f>16011779.17</f>
        <v>16011779.17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90593688.19-300000</f>
        <v>90293688.189999998</v>
      </c>
      <c r="G469" s="18">
        <f>3241671.35</f>
        <v>3241671.35</v>
      </c>
      <c r="H469" s="18">
        <f>7443333.15</f>
        <v>7443333.1500000004</v>
      </c>
      <c r="I469" s="18">
        <f>112108.8</f>
        <v>112108.8</v>
      </c>
      <c r="J469" s="18">
        <f>3182744.32+18247.46</f>
        <v>3200991.78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90293688.189999998</v>
      </c>
      <c r="G471" s="19">
        <f>SUM(G469:G470)</f>
        <v>3241671.35</v>
      </c>
      <c r="H471" s="19">
        <f>SUM(H469:H470)</f>
        <v>7443333.1500000004</v>
      </c>
      <c r="I471" s="19">
        <f>SUM(I469:I470)</f>
        <v>112108.8</v>
      </c>
      <c r="J471" s="19">
        <f>SUM(J469:J470)</f>
        <v>3200991.78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89989415.549999997</v>
      </c>
      <c r="G473" s="18">
        <v>2229537.73</v>
      </c>
      <c r="H473" s="18">
        <v>7430534.9400000004</v>
      </c>
      <c r="I473" s="18">
        <v>613188.81000000006</v>
      </c>
      <c r="J473" s="18">
        <f>(495615.18-300000)+30268.5</f>
        <v>225883.68</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89989415.549999997</v>
      </c>
      <c r="G475" s="19">
        <f>SUM(G473:G474)</f>
        <v>2229537.73</v>
      </c>
      <c r="H475" s="19">
        <f>SUM(H473:H474)</f>
        <v>7430534.9400000004</v>
      </c>
      <c r="I475" s="19">
        <f>SUM(I473:I474)</f>
        <v>613188.81000000006</v>
      </c>
      <c r="J475" s="19">
        <f>SUM(J473:J474)</f>
        <v>225883.68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4277954.1700000018</v>
      </c>
      <c r="G477" s="19">
        <f>(G466+G471)- G475</f>
        <v>1232320.3400000003</v>
      </c>
      <c r="H477" s="19">
        <f>(H466+H471)- H475</f>
        <v>367826.65000000037</v>
      </c>
      <c r="I477" s="19">
        <f>(I466+I471)- I475</f>
        <v>-17674.270000000019</v>
      </c>
      <c r="J477" s="19">
        <f>(J466+J471)- J475</f>
        <v>18986887.27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t="s">
        <v>1802</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1803</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1804</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108497234</v>
      </c>
      <c r="G494" s="18"/>
      <c r="H494" s="18"/>
      <c r="I494" s="18"/>
      <c r="J494" s="18"/>
      <c r="K494" s="23" t="s">
        <v>288</v>
      </c>
      <c r="L494" s="23" t="s">
        <v>288</v>
      </c>
      <c r="N494" s="131"/>
    </row>
    <row r="495" spans="1:14" ht="12.2" customHeight="1" x14ac:dyDescent="0.2">
      <c r="A495" s="21" t="s">
        <v>618</v>
      </c>
      <c r="B495" s="22">
        <v>20</v>
      </c>
      <c r="C495" s="22">
        <v>5</v>
      </c>
      <c r="D495" s="2" t="s">
        <v>432</v>
      </c>
      <c r="E495" s="22"/>
      <c r="F495" s="18" t="s">
        <v>1802</v>
      </c>
      <c r="G495" s="18"/>
      <c r="H495" s="18"/>
      <c r="I495" s="18"/>
      <c r="J495" s="18"/>
      <c r="K495" s="23" t="s">
        <v>288</v>
      </c>
      <c r="L495" s="23" t="s">
        <v>288</v>
      </c>
      <c r="N495" s="131"/>
    </row>
    <row r="496" spans="1:14" ht="12.2" customHeight="1" x14ac:dyDescent="0.2">
      <c r="A496" s="21" t="s">
        <v>619</v>
      </c>
      <c r="B496" s="22">
        <v>20</v>
      </c>
      <c r="C496" s="22">
        <v>6</v>
      </c>
      <c r="D496" s="2" t="s">
        <v>432</v>
      </c>
      <c r="E496" s="22"/>
      <c r="F496" s="18">
        <v>46670000</v>
      </c>
      <c r="G496" s="18"/>
      <c r="H496" s="18"/>
      <c r="I496" s="18"/>
      <c r="J496" s="18"/>
      <c r="K496" s="19">
        <f>SUM(F496:J496)</f>
        <v>46670000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43560000</v>
      </c>
      <c r="G499" s="147"/>
      <c r="H499" s="147"/>
      <c r="I499" s="147"/>
      <c r="J499" s="147"/>
      <c r="K499" s="148">
        <f t="shared" si="35"/>
        <v>43560000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43560000</v>
      </c>
      <c r="G501" s="39">
        <f>SUM(G499:G500)</f>
        <v>0</v>
      </c>
      <c r="H501" s="39">
        <f>SUM(H499:H500)</f>
        <v>0</v>
      </c>
      <c r="I501" s="39">
        <f>SUM(I499:I500)</f>
        <v>0</v>
      </c>
      <c r="J501" s="39">
        <f>SUM(J499:J500)</f>
        <v>0</v>
      </c>
      <c r="K501" s="39">
        <f t="shared" si="35"/>
        <v>43560000</v>
      </c>
      <c r="L501" s="42" t="s">
        <v>288</v>
      </c>
      <c r="N501" s="131"/>
    </row>
    <row r="502" spans="1:14" ht="12.2" customHeight="1" x14ac:dyDescent="0.2">
      <c r="A502" s="144" t="s">
        <v>651</v>
      </c>
      <c r="B502" s="145">
        <v>20</v>
      </c>
      <c r="C502" s="145">
        <v>12</v>
      </c>
      <c r="D502" s="146" t="s">
        <v>432</v>
      </c>
      <c r="E502" s="145"/>
      <c r="F502" s="147">
        <v>2950000</v>
      </c>
      <c r="G502" s="147"/>
      <c r="H502" s="147"/>
      <c r="I502" s="147"/>
      <c r="J502" s="147"/>
      <c r="K502" s="148">
        <f t="shared" si="35"/>
        <v>2950000</v>
      </c>
      <c r="L502" s="149" t="s">
        <v>288</v>
      </c>
      <c r="N502" s="131"/>
    </row>
    <row r="503" spans="1:14" ht="12.2" customHeight="1" thickBot="1" x14ac:dyDescent="0.25">
      <c r="A503" s="21" t="s">
        <v>625</v>
      </c>
      <c r="B503" s="22">
        <v>20</v>
      </c>
      <c r="C503" s="22">
        <v>13</v>
      </c>
      <c r="D503" s="2" t="s">
        <v>432</v>
      </c>
      <c r="E503" s="22"/>
      <c r="F503" s="18">
        <f>1561163.5-65488.5</f>
        <v>1495675</v>
      </c>
      <c r="G503" s="18"/>
      <c r="H503" s="18"/>
      <c r="I503" s="18"/>
      <c r="J503" s="18"/>
      <c r="K503" s="19">
        <f t="shared" si="35"/>
        <v>1495675</v>
      </c>
      <c r="L503" s="23" t="s">
        <v>288</v>
      </c>
      <c r="N503" s="131"/>
    </row>
    <row r="504" spans="1:14" ht="12.2" customHeight="1" thickTop="1" x14ac:dyDescent="0.2">
      <c r="A504" s="97" t="s">
        <v>626</v>
      </c>
      <c r="B504" s="41">
        <v>20</v>
      </c>
      <c r="C504" s="41">
        <v>14</v>
      </c>
      <c r="D504" s="36" t="s">
        <v>432</v>
      </c>
      <c r="E504" s="41"/>
      <c r="F504" s="39">
        <f>SUM(F502:F503)</f>
        <v>4445675</v>
      </c>
      <c r="G504" s="39">
        <f>SUM(G502:G503)</f>
        <v>0</v>
      </c>
      <c r="H504" s="39">
        <f>SUM(H502:H503)</f>
        <v>0</v>
      </c>
      <c r="I504" s="39">
        <f>SUM(I502:I503)</f>
        <v>0</v>
      </c>
      <c r="J504" s="39">
        <f>SUM(J502:J503)</f>
        <v>0</v>
      </c>
      <c r="K504" s="39">
        <f t="shared" si="35"/>
        <v>4445675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5134249.78</f>
        <v>5134249.78</v>
      </c>
      <c r="G522" s="18">
        <f>1988898.35</f>
        <v>1988898.35</v>
      </c>
      <c r="H522" s="18">
        <f>1021245.89</f>
        <v>1021245.89</v>
      </c>
      <c r="I522" s="18">
        <f>36326.43</f>
        <v>36326.43</v>
      </c>
      <c r="J522" s="18">
        <f>10209.12</f>
        <v>10209.120000000001</v>
      </c>
      <c r="K522" s="18"/>
      <c r="L522" s="69">
        <f>SUM(F522:K522)</f>
        <v>8190929.5700000003</v>
      </c>
      <c r="N522" s="131"/>
    </row>
    <row r="523" spans="1:14" ht="12.2" customHeight="1" x14ac:dyDescent="0.2">
      <c r="A523" s="21" t="s">
        <v>634</v>
      </c>
      <c r="B523" s="22">
        <v>21</v>
      </c>
      <c r="C523" s="22">
        <v>2</v>
      </c>
      <c r="D523" s="2" t="s">
        <v>432</v>
      </c>
      <c r="E523" s="22"/>
      <c r="F523" s="18">
        <f>1674695.59</f>
        <v>1674695.59</v>
      </c>
      <c r="G523" s="18">
        <f>743715.34</f>
        <v>743715.34</v>
      </c>
      <c r="H523" s="18">
        <f>352316.81</f>
        <v>352316.81</v>
      </c>
      <c r="I523" s="18">
        <f>13614</f>
        <v>13614</v>
      </c>
      <c r="J523" s="18">
        <f>4824.6</f>
        <v>4824.6000000000004</v>
      </c>
      <c r="K523" s="18"/>
      <c r="L523" s="69">
        <f>SUM(F523:K523)</f>
        <v>2789166.3400000003</v>
      </c>
      <c r="N523" s="131"/>
    </row>
    <row r="524" spans="1:14" ht="12.2" customHeight="1" thickBot="1" x14ac:dyDescent="0.25">
      <c r="A524" s="21" t="s">
        <v>635</v>
      </c>
      <c r="B524" s="22">
        <v>21</v>
      </c>
      <c r="C524" s="22">
        <v>3</v>
      </c>
      <c r="D524" s="2" t="s">
        <v>432</v>
      </c>
      <c r="E524" s="22"/>
      <c r="F524" s="18">
        <f>2726724.86</f>
        <v>2726724.86</v>
      </c>
      <c r="G524" s="18">
        <f>1166709.75</f>
        <v>1166709.75</v>
      </c>
      <c r="H524" s="18">
        <f>2252889.04</f>
        <v>2252889.04</v>
      </c>
      <c r="I524" s="18">
        <f>65911.75</f>
        <v>65911.75</v>
      </c>
      <c r="J524" s="18">
        <f>7097.48</f>
        <v>7097.48</v>
      </c>
      <c r="K524" s="18"/>
      <c r="L524" s="69">
        <f>SUM(F524:K524)</f>
        <v>6219332.8800000008</v>
      </c>
      <c r="N524" s="131"/>
    </row>
    <row r="525" spans="1:14" ht="12.2" customHeight="1" thickTop="1" x14ac:dyDescent="0.2">
      <c r="A525" s="97" t="s">
        <v>63</v>
      </c>
      <c r="B525" s="41">
        <v>21</v>
      </c>
      <c r="C525" s="41">
        <v>4</v>
      </c>
      <c r="D525" s="115" t="s">
        <v>432</v>
      </c>
      <c r="E525" s="41"/>
      <c r="F525" s="81">
        <f>SUM(F522:F524)</f>
        <v>9535670.2300000004</v>
      </c>
      <c r="G525" s="81">
        <f t="shared" ref="G525:L525" si="36">SUM(G522:G524)</f>
        <v>3899323.44</v>
      </c>
      <c r="H525" s="81">
        <f t="shared" si="36"/>
        <v>3626451.74</v>
      </c>
      <c r="I525" s="81">
        <f t="shared" si="36"/>
        <v>115852.18</v>
      </c>
      <c r="J525" s="81">
        <f t="shared" si="36"/>
        <v>22131.200000000001</v>
      </c>
      <c r="K525" s="81">
        <f t="shared" si="36"/>
        <v>0</v>
      </c>
      <c r="L525" s="70">
        <f t="shared" si="36"/>
        <v>17199428.789999999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2154824.67</f>
        <v>2154824.67</v>
      </c>
      <c r="G527" s="18">
        <f>864022.22</f>
        <v>864022.22</v>
      </c>
      <c r="H527" s="18">
        <f>380603.27</f>
        <v>380603.27</v>
      </c>
      <c r="I527" s="18">
        <f>19567.28</f>
        <v>19567.28</v>
      </c>
      <c r="J527" s="18">
        <f>8124.25</f>
        <v>8124.25</v>
      </c>
      <c r="K527" s="18">
        <f>2881.28</f>
        <v>2881.28</v>
      </c>
      <c r="L527" s="69">
        <f>SUM(F527:K527)</f>
        <v>3430022.9699999993</v>
      </c>
      <c r="M527" s="8"/>
      <c r="N527" s="165"/>
    </row>
    <row r="528" spans="1:14" s="3" customFormat="1" ht="12.2" customHeight="1" x14ac:dyDescent="0.15">
      <c r="A528" s="21" t="s">
        <v>634</v>
      </c>
      <c r="B528" s="22">
        <v>21</v>
      </c>
      <c r="C528" s="22">
        <v>6</v>
      </c>
      <c r="D528" s="2" t="s">
        <v>432</v>
      </c>
      <c r="E528" s="22"/>
      <c r="F528" s="18">
        <f>398495.11</f>
        <v>398495.11</v>
      </c>
      <c r="G528" s="18">
        <f>194151.05</f>
        <v>194151.05</v>
      </c>
      <c r="H528" s="18">
        <f>189214.26</f>
        <v>189214.26</v>
      </c>
      <c r="I528" s="18">
        <f>3309.75</f>
        <v>3309.75</v>
      </c>
      <c r="J528" s="18">
        <f>3108.5</f>
        <v>3108.5</v>
      </c>
      <c r="K528" s="18">
        <f>1361.63</f>
        <v>1361.63</v>
      </c>
      <c r="L528" s="69">
        <f>SUM(F528:K528)</f>
        <v>789640.29999999993</v>
      </c>
      <c r="M528" s="8"/>
      <c r="N528" s="165"/>
    </row>
    <row r="529" spans="1:14" s="3" customFormat="1" ht="12.2" customHeight="1" thickBot="1" x14ac:dyDescent="0.2">
      <c r="A529" s="21" t="s">
        <v>635</v>
      </c>
      <c r="B529" s="22">
        <v>21</v>
      </c>
      <c r="C529" s="22">
        <v>7</v>
      </c>
      <c r="D529" s="2" t="s">
        <v>432</v>
      </c>
      <c r="E529" s="22"/>
      <c r="F529" s="18">
        <f>805912.5</f>
        <v>805912.5</v>
      </c>
      <c r="G529" s="18">
        <f>375641.11</f>
        <v>375641.11</v>
      </c>
      <c r="H529" s="18">
        <f>296449.33</f>
        <v>296449.33</v>
      </c>
      <c r="I529" s="18">
        <f>37317.01</f>
        <v>37317.01</v>
      </c>
      <c r="J529" s="18">
        <f>29099.02</f>
        <v>29099.02</v>
      </c>
      <c r="K529" s="18">
        <f>2003.09</f>
        <v>2003.09</v>
      </c>
      <c r="L529" s="69">
        <f>SUM(F529:K529)</f>
        <v>1546422.06</v>
      </c>
      <c r="M529" s="8"/>
      <c r="N529" s="165"/>
    </row>
    <row r="530" spans="1:14" s="3" customFormat="1" ht="12.2" customHeight="1" thickTop="1" x14ac:dyDescent="0.15">
      <c r="A530" s="97" t="s">
        <v>65</v>
      </c>
      <c r="B530" s="41">
        <v>21</v>
      </c>
      <c r="C530" s="41">
        <v>8</v>
      </c>
      <c r="D530" s="115" t="s">
        <v>432</v>
      </c>
      <c r="E530" s="41"/>
      <c r="F530" s="70">
        <f>SUM(F527:F529)</f>
        <v>3359232.28</v>
      </c>
      <c r="G530" s="70">
        <f t="shared" ref="G530:L530" si="37">SUM(G527:G529)</f>
        <v>1433814.38</v>
      </c>
      <c r="H530" s="70">
        <f t="shared" si="37"/>
        <v>866266.8600000001</v>
      </c>
      <c r="I530" s="70">
        <f t="shared" si="37"/>
        <v>60194.04</v>
      </c>
      <c r="J530" s="70">
        <f t="shared" si="37"/>
        <v>40331.770000000004</v>
      </c>
      <c r="K530" s="70">
        <f t="shared" si="37"/>
        <v>6246</v>
      </c>
      <c r="L530" s="70">
        <f t="shared" si="37"/>
        <v>5766085.3300000001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76017.92</f>
        <v>76017.919999999998</v>
      </c>
      <c r="G532" s="18">
        <f>20387.44</f>
        <v>20387.439999999999</v>
      </c>
      <c r="H532" s="18"/>
      <c r="I532" s="18"/>
      <c r="J532" s="18"/>
      <c r="K532" s="18"/>
      <c r="L532" s="69">
        <f>SUM(F532:K532)</f>
        <v>96405.36</v>
      </c>
      <c r="M532" s="8"/>
      <c r="N532" s="165"/>
    </row>
    <row r="533" spans="1:14" s="3" customFormat="1" ht="12.2" customHeight="1" x14ac:dyDescent="0.15">
      <c r="A533" s="21" t="s">
        <v>634</v>
      </c>
      <c r="B533" s="22">
        <v>21</v>
      </c>
      <c r="C533" s="22">
        <v>10</v>
      </c>
      <c r="D533" s="2" t="s">
        <v>432</v>
      </c>
      <c r="E533" s="22"/>
      <c r="F533" s="18">
        <f>35924.36</f>
        <v>35924.36</v>
      </c>
      <c r="G533" s="18">
        <f>9634.64</f>
        <v>9634.64</v>
      </c>
      <c r="H533" s="18"/>
      <c r="I533" s="18"/>
      <c r="J533" s="18"/>
      <c r="K533" s="18"/>
      <c r="L533" s="69">
        <f>SUM(F533:K533)</f>
        <v>45559</v>
      </c>
      <c r="M533" s="8"/>
      <c r="N533" s="165"/>
    </row>
    <row r="534" spans="1:14" s="3" customFormat="1" ht="12.2" customHeight="1" thickBot="1" x14ac:dyDescent="0.2">
      <c r="A534" s="21" t="s">
        <v>635</v>
      </c>
      <c r="B534" s="22">
        <v>21</v>
      </c>
      <c r="C534" s="22">
        <v>11</v>
      </c>
      <c r="D534" s="2" t="s">
        <v>432</v>
      </c>
      <c r="E534" s="22"/>
      <c r="F534" s="18">
        <f>52848.35</f>
        <v>52848.35</v>
      </c>
      <c r="G534" s="18">
        <f>14173.53</f>
        <v>14173.53</v>
      </c>
      <c r="H534" s="18"/>
      <c r="I534" s="18"/>
      <c r="J534" s="18"/>
      <c r="K534" s="18"/>
      <c r="L534" s="69">
        <f>SUM(F534:K534)</f>
        <v>67021.88</v>
      </c>
      <c r="M534" s="8"/>
      <c r="N534" s="165"/>
    </row>
    <row r="535" spans="1:14" s="3" customFormat="1" ht="12.2" customHeight="1" thickTop="1" x14ac:dyDescent="0.15">
      <c r="A535" s="97" t="s">
        <v>67</v>
      </c>
      <c r="B535" s="41">
        <v>21</v>
      </c>
      <c r="C535" s="41">
        <v>12</v>
      </c>
      <c r="D535" s="115" t="s">
        <v>432</v>
      </c>
      <c r="E535" s="41"/>
      <c r="F535" s="70">
        <f>SUM(F532:F534)</f>
        <v>164790.63</v>
      </c>
      <c r="G535" s="70">
        <f t="shared" ref="G535:L535" si="38">SUM(G532:G534)</f>
        <v>44195.61</v>
      </c>
      <c r="H535" s="70">
        <f t="shared" si="38"/>
        <v>0</v>
      </c>
      <c r="I535" s="70">
        <f t="shared" si="38"/>
        <v>0</v>
      </c>
      <c r="J535" s="70">
        <f t="shared" si="38"/>
        <v>0</v>
      </c>
      <c r="K535" s="70">
        <f t="shared" si="38"/>
        <v>0</v>
      </c>
      <c r="L535" s="70">
        <f t="shared" si="38"/>
        <v>208986.23999999999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14776.59</f>
        <v>14776.59</v>
      </c>
      <c r="I537" s="18"/>
      <c r="J537" s="18"/>
      <c r="K537" s="18"/>
      <c r="L537" s="69">
        <f>SUM(F537:K537)</f>
        <v>14776.59</v>
      </c>
      <c r="M537" s="8"/>
      <c r="N537" s="165"/>
    </row>
    <row r="538" spans="1:14" s="3" customFormat="1" ht="12.2" customHeight="1" x14ac:dyDescent="0.15">
      <c r="A538" s="21" t="s">
        <v>634</v>
      </c>
      <c r="B538" s="22">
        <v>21</v>
      </c>
      <c r="C538" s="22">
        <v>14</v>
      </c>
      <c r="D538" s="2" t="s">
        <v>432</v>
      </c>
      <c r="E538" s="22"/>
      <c r="F538" s="18"/>
      <c r="G538" s="18"/>
      <c r="H538" s="18">
        <f>6983.09</f>
        <v>6983.09</v>
      </c>
      <c r="I538" s="18"/>
      <c r="J538" s="18"/>
      <c r="K538" s="18"/>
      <c r="L538" s="69">
        <f>SUM(F538:K538)</f>
        <v>6983.09</v>
      </c>
      <c r="M538" s="8"/>
      <c r="N538" s="165"/>
    </row>
    <row r="539" spans="1:14" s="3" customFormat="1" ht="12.2" customHeight="1" thickBot="1" x14ac:dyDescent="0.2">
      <c r="A539" s="21" t="s">
        <v>635</v>
      </c>
      <c r="B539" s="22">
        <v>21</v>
      </c>
      <c r="C539" s="22">
        <v>15</v>
      </c>
      <c r="D539" s="2" t="s">
        <v>432</v>
      </c>
      <c r="E539" s="22"/>
      <c r="F539" s="18"/>
      <c r="G539" s="18"/>
      <c r="H539" s="18">
        <f>10272.82</f>
        <v>10272.82</v>
      </c>
      <c r="I539" s="18"/>
      <c r="J539" s="18"/>
      <c r="K539" s="18"/>
      <c r="L539" s="69">
        <f>SUM(F539:K539)</f>
        <v>10272.82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32032.5</v>
      </c>
      <c r="I540" s="70">
        <f t="shared" si="39"/>
        <v>0</v>
      </c>
      <c r="J540" s="70">
        <f t="shared" si="39"/>
        <v>0</v>
      </c>
      <c r="K540" s="70">
        <f t="shared" si="39"/>
        <v>0</v>
      </c>
      <c r="L540" s="70">
        <f t="shared" si="39"/>
        <v>32032.5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241837.63</f>
        <v>241837.63</v>
      </c>
      <c r="G542" s="18">
        <f>88770.89</f>
        <v>88770.89</v>
      </c>
      <c r="H542" s="18">
        <f>237610.28</f>
        <v>237610.28</v>
      </c>
      <c r="I542" s="18">
        <f>42.29</f>
        <v>42.29</v>
      </c>
      <c r="J542" s="18">
        <f>0</f>
        <v>0</v>
      </c>
      <c r="K542" s="18">
        <f>302.89</f>
        <v>302.89</v>
      </c>
      <c r="L542" s="69">
        <f>SUM(F542:K542)</f>
        <v>568563.9800000001</v>
      </c>
      <c r="M542" s="8"/>
      <c r="N542" s="165"/>
    </row>
    <row r="543" spans="1:14" s="3" customFormat="1" ht="12.2" customHeight="1" x14ac:dyDescent="0.15">
      <c r="A543" s="21" t="s">
        <v>634</v>
      </c>
      <c r="B543" s="22">
        <v>21</v>
      </c>
      <c r="C543" s="22">
        <v>18</v>
      </c>
      <c r="D543" s="2" t="s">
        <v>432</v>
      </c>
      <c r="E543" s="22"/>
      <c r="F543" s="18">
        <f>115892.17</f>
        <v>115892.17</v>
      </c>
      <c r="G543" s="18">
        <f>42540.33</f>
        <v>42540.33</v>
      </c>
      <c r="H543" s="18">
        <f>113866.36</f>
        <v>113866.36</v>
      </c>
      <c r="I543" s="18">
        <f>20.27</f>
        <v>20.27</v>
      </c>
      <c r="J543" s="18">
        <f>0</f>
        <v>0</v>
      </c>
      <c r="K543" s="18">
        <f>145.16</f>
        <v>145.16</v>
      </c>
      <c r="L543" s="69">
        <f>SUM(F543:K543)</f>
        <v>272464.28999999998</v>
      </c>
      <c r="M543" s="8"/>
      <c r="N543" s="165"/>
    </row>
    <row r="544" spans="1:14" s="3" customFormat="1" ht="12.2" customHeight="1" thickBot="1" x14ac:dyDescent="0.2">
      <c r="A544" s="21" t="s">
        <v>635</v>
      </c>
      <c r="B544" s="22">
        <v>21</v>
      </c>
      <c r="C544" s="22">
        <v>19</v>
      </c>
      <c r="D544" s="2" t="s">
        <v>432</v>
      </c>
      <c r="E544" s="22"/>
      <c r="F544" s="18">
        <f>200786.67</f>
        <v>200786.67</v>
      </c>
      <c r="G544" s="18">
        <f>73702.39</f>
        <v>73702.39</v>
      </c>
      <c r="H544" s="18">
        <f>197276.89</f>
        <v>197276.89</v>
      </c>
      <c r="I544" s="18">
        <f>35.11</f>
        <v>35.11</v>
      </c>
      <c r="J544" s="18">
        <f>0</f>
        <v>0</v>
      </c>
      <c r="K544" s="18">
        <f>251.48</f>
        <v>251.48</v>
      </c>
      <c r="L544" s="69">
        <f>SUM(F544:K544)</f>
        <v>472052.54</v>
      </c>
      <c r="M544" s="8"/>
      <c r="N544" s="165"/>
    </row>
    <row r="545" spans="1:14" s="3" customFormat="1" ht="12.2" customHeight="1" thickTop="1" thickBot="1" x14ac:dyDescent="0.2">
      <c r="A545" s="93" t="s">
        <v>71</v>
      </c>
      <c r="B545" s="63">
        <v>21</v>
      </c>
      <c r="C545" s="63">
        <v>20</v>
      </c>
      <c r="D545" s="140" t="s">
        <v>432</v>
      </c>
      <c r="E545" s="63"/>
      <c r="F545" s="141">
        <f>SUM(F542:F544)</f>
        <v>558516.47</v>
      </c>
      <c r="G545" s="141">
        <f t="shared" ref="G545:L545" si="40">SUM(G542:G544)</f>
        <v>205013.61</v>
      </c>
      <c r="H545" s="141">
        <f t="shared" si="40"/>
        <v>548753.53</v>
      </c>
      <c r="I545" s="141">
        <f t="shared" si="40"/>
        <v>97.67</v>
      </c>
      <c r="J545" s="141">
        <f t="shared" si="40"/>
        <v>0</v>
      </c>
      <c r="K545" s="141">
        <f t="shared" si="40"/>
        <v>699.53</v>
      </c>
      <c r="L545" s="141">
        <f t="shared" si="40"/>
        <v>1313080.81</v>
      </c>
      <c r="M545" s="8"/>
      <c r="N545" s="165"/>
    </row>
    <row r="546" spans="1:14" s="3" customFormat="1" ht="12.2" customHeight="1" thickTop="1" x14ac:dyDescent="0.15">
      <c r="A546" s="75" t="s">
        <v>72</v>
      </c>
      <c r="B546" s="41">
        <v>21</v>
      </c>
      <c r="C546" s="41">
        <v>21</v>
      </c>
      <c r="D546" s="115" t="s">
        <v>432</v>
      </c>
      <c r="E546" s="41"/>
      <c r="F546" s="70">
        <f>F525+F530+F535+F540+F545</f>
        <v>13618209.610000001</v>
      </c>
      <c r="G546" s="70">
        <f t="shared" ref="G546:L546" si="41">G525+G530+G535+G540+G545</f>
        <v>5582347.040000001</v>
      </c>
      <c r="H546" s="70">
        <f t="shared" si="41"/>
        <v>5073504.6300000008</v>
      </c>
      <c r="I546" s="70">
        <f t="shared" si="41"/>
        <v>176143.89</v>
      </c>
      <c r="J546" s="70">
        <f t="shared" si="41"/>
        <v>62462.97</v>
      </c>
      <c r="K546" s="70">
        <f t="shared" si="41"/>
        <v>6945.53</v>
      </c>
      <c r="L546" s="70">
        <f t="shared" si="41"/>
        <v>24519613.669999994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8190929.5700000003</v>
      </c>
      <c r="G550" s="69">
        <f>L527</f>
        <v>3430022.9699999993</v>
      </c>
      <c r="H550" s="69">
        <f>L532</f>
        <v>96405.36</v>
      </c>
      <c r="I550" s="69">
        <f>L537</f>
        <v>14776.59</v>
      </c>
      <c r="J550" s="69">
        <f>L542</f>
        <v>568563.9800000001</v>
      </c>
      <c r="K550" s="69">
        <f>SUM(F550:J550)</f>
        <v>12300698.469999999</v>
      </c>
      <c r="L550" s="23" t="s">
        <v>288</v>
      </c>
      <c r="M550" s="8"/>
      <c r="N550" s="165"/>
    </row>
    <row r="551" spans="1:14" s="3" customFormat="1" ht="12.2" customHeight="1" x14ac:dyDescent="0.15">
      <c r="A551" s="21" t="s">
        <v>634</v>
      </c>
      <c r="B551" s="22">
        <v>21</v>
      </c>
      <c r="C551" s="22">
        <v>23</v>
      </c>
      <c r="D551" s="2" t="s">
        <v>432</v>
      </c>
      <c r="E551" s="22"/>
      <c r="F551" s="69">
        <f>L523</f>
        <v>2789166.3400000003</v>
      </c>
      <c r="G551" s="69">
        <f>L528</f>
        <v>789640.29999999993</v>
      </c>
      <c r="H551" s="69">
        <f>L533</f>
        <v>45559</v>
      </c>
      <c r="I551" s="69">
        <f>L538</f>
        <v>6983.09</v>
      </c>
      <c r="J551" s="69">
        <f>L543</f>
        <v>272464.28999999998</v>
      </c>
      <c r="K551" s="69">
        <f>SUM(F551:J551)</f>
        <v>3903813.02</v>
      </c>
      <c r="L551" s="23" t="s">
        <v>288</v>
      </c>
      <c r="M551" s="8"/>
      <c r="N551" s="165"/>
    </row>
    <row r="552" spans="1:14" s="3" customFormat="1" ht="12.2" customHeight="1" thickBot="1" x14ac:dyDescent="0.2">
      <c r="A552" s="21" t="s">
        <v>635</v>
      </c>
      <c r="B552" s="22">
        <v>21</v>
      </c>
      <c r="C552" s="22">
        <v>24</v>
      </c>
      <c r="D552" s="2" t="s">
        <v>432</v>
      </c>
      <c r="E552" s="22"/>
      <c r="F552" s="69">
        <f>L524</f>
        <v>6219332.8800000008</v>
      </c>
      <c r="G552" s="69">
        <f>L529</f>
        <v>1546422.06</v>
      </c>
      <c r="H552" s="69">
        <f>L534</f>
        <v>67021.88</v>
      </c>
      <c r="I552" s="69">
        <f>L539</f>
        <v>10272.82</v>
      </c>
      <c r="J552" s="69">
        <f>L544</f>
        <v>472052.54</v>
      </c>
      <c r="K552" s="69">
        <f>SUM(F552:J552)</f>
        <v>8315102.1800000016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17199428.789999999</v>
      </c>
      <c r="G553" s="70">
        <f t="shared" si="42"/>
        <v>5766085.3300000001</v>
      </c>
      <c r="H553" s="70">
        <f t="shared" si="42"/>
        <v>208986.23999999999</v>
      </c>
      <c r="I553" s="70">
        <f t="shared" si="42"/>
        <v>32032.5</v>
      </c>
      <c r="J553" s="70">
        <f t="shared" si="42"/>
        <v>1313080.81</v>
      </c>
      <c r="K553" s="70">
        <f t="shared" si="42"/>
        <v>24519613.670000002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f>458452.17</f>
        <v>458452.17</v>
      </c>
      <c r="G563" s="18">
        <f>176551.72</f>
        <v>176551.72</v>
      </c>
      <c r="H563" s="18">
        <f>2192+19091.76</f>
        <v>21283.759999999998</v>
      </c>
      <c r="I563" s="18">
        <f>2799.55+153.75</f>
        <v>2953.3</v>
      </c>
      <c r="J563" s="18"/>
      <c r="K563" s="18"/>
      <c r="L563" s="69">
        <f>SUM(F563:K563)</f>
        <v>659240.95000000007</v>
      </c>
      <c r="M563" s="8"/>
      <c r="N563" s="165"/>
    </row>
    <row r="564" spans="1:14" s="3" customFormat="1" ht="12.2" customHeight="1" x14ac:dyDescent="0.15">
      <c r="A564" s="21" t="s">
        <v>634</v>
      </c>
      <c r="B564" s="22">
        <v>22</v>
      </c>
      <c r="C564" s="22">
        <v>6</v>
      </c>
      <c r="D564" s="2" t="s">
        <v>432</v>
      </c>
      <c r="E564" s="22"/>
      <c r="F564" s="18">
        <f>130993.11</f>
        <v>130993.11</v>
      </c>
      <c r="G564" s="18">
        <f>43606.99</f>
        <v>43606.99</v>
      </c>
      <c r="H564" s="18">
        <f>1050.44+2563.73</f>
        <v>3614.17</v>
      </c>
      <c r="I564" s="18">
        <f>1341.58+169.46</f>
        <v>1511.04</v>
      </c>
      <c r="J564" s="18"/>
      <c r="K564" s="18"/>
      <c r="L564" s="69">
        <f>SUM(F564:K564)</f>
        <v>179725.31000000003</v>
      </c>
      <c r="M564" s="8"/>
      <c r="N564" s="165"/>
    </row>
    <row r="565" spans="1:14" s="3" customFormat="1" ht="12.2" customHeight="1" thickBot="1" x14ac:dyDescent="0.2">
      <c r="A565" s="21" t="s">
        <v>635</v>
      </c>
      <c r="B565" s="22">
        <v>22</v>
      </c>
      <c r="C565" s="22">
        <v>7</v>
      </c>
      <c r="D565" s="2" t="s">
        <v>432</v>
      </c>
      <c r="E565" s="22"/>
      <c r="F565" s="18">
        <f>195474.72</f>
        <v>195474.72</v>
      </c>
      <c r="G565" s="18">
        <f>88461.36</f>
        <v>88461.36</v>
      </c>
      <c r="H565" s="18">
        <f>1819.91+11431.48</f>
        <v>13251.39</v>
      </c>
      <c r="I565" s="18">
        <f>2324.34</f>
        <v>2324.34</v>
      </c>
      <c r="J565" s="18"/>
      <c r="K565" s="18"/>
      <c r="L565" s="69">
        <f>SUM(F565:K565)</f>
        <v>299511.81000000006</v>
      </c>
      <c r="M565" s="8"/>
      <c r="N565" s="165"/>
    </row>
    <row r="566" spans="1:14" s="3" customFormat="1" ht="12.2" customHeight="1" thickTop="1" x14ac:dyDescent="0.15">
      <c r="A566" s="97" t="s">
        <v>65</v>
      </c>
      <c r="B566" s="41">
        <v>22</v>
      </c>
      <c r="C566" s="41">
        <v>8</v>
      </c>
      <c r="D566" s="115" t="s">
        <v>432</v>
      </c>
      <c r="E566" s="41"/>
      <c r="F566" s="70">
        <f t="shared" ref="F566:L566" si="44">SUM(F563:F565)</f>
        <v>784920</v>
      </c>
      <c r="G566" s="70">
        <f t="shared" si="44"/>
        <v>308620.07</v>
      </c>
      <c r="H566" s="70">
        <f t="shared" si="44"/>
        <v>38149.32</v>
      </c>
      <c r="I566" s="70">
        <f t="shared" si="44"/>
        <v>6788.68</v>
      </c>
      <c r="J566" s="70">
        <f t="shared" si="44"/>
        <v>0</v>
      </c>
      <c r="K566" s="70">
        <f t="shared" si="44"/>
        <v>0</v>
      </c>
      <c r="L566" s="70">
        <f t="shared" si="44"/>
        <v>1138478.0700000003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784920</v>
      </c>
      <c r="G572" s="70">
        <f t="shared" ref="G572:L572" si="46">G561+G566+G571</f>
        <v>308620.07</v>
      </c>
      <c r="H572" s="70">
        <f t="shared" si="46"/>
        <v>38149.32</v>
      </c>
      <c r="I572" s="70">
        <f t="shared" si="46"/>
        <v>6788.68</v>
      </c>
      <c r="J572" s="70">
        <f t="shared" si="46"/>
        <v>0</v>
      </c>
      <c r="K572" s="70">
        <f t="shared" si="46"/>
        <v>0</v>
      </c>
      <c r="L572" s="70">
        <f t="shared" si="46"/>
        <v>1138478.0700000003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52345.45</f>
        <v>52345.45</v>
      </c>
      <c r="G580" s="18">
        <f>4055.19</f>
        <v>4055.19</v>
      </c>
      <c r="H580" s="18"/>
      <c r="I580" s="69">
        <f t="shared" si="47"/>
        <v>56400.639999999999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172862.86</f>
        <v>172862.86</v>
      </c>
      <c r="G583" s="18">
        <f>276483.54</f>
        <v>276483.53999999998</v>
      </c>
      <c r="H583" s="18">
        <f>2125923.44</f>
        <v>2125923.44</v>
      </c>
      <c r="I583" s="69">
        <f t="shared" si="47"/>
        <v>2575269.84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772901.44</v>
      </c>
      <c r="I592" s="18">
        <v>370385.8</v>
      </c>
      <c r="J592" s="18">
        <v>641704.59</v>
      </c>
      <c r="K592" s="80">
        <f t="shared" ref="K592:K598" si="48">SUM(H592:J592)</f>
        <v>1784991.83</v>
      </c>
      <c r="L592" s="23" t="s">
        <v>288</v>
      </c>
      <c r="M592" s="8"/>
      <c r="N592" s="165"/>
    </row>
    <row r="593" spans="1:14" s="3" customFormat="1" ht="12.2" customHeight="1" x14ac:dyDescent="0.15">
      <c r="A593" s="3" t="s">
        <v>638</v>
      </c>
      <c r="B593" s="22">
        <v>23</v>
      </c>
      <c r="C593" s="22">
        <v>2</v>
      </c>
      <c r="D593" s="2" t="s">
        <v>432</v>
      </c>
      <c r="E593" s="22"/>
      <c r="F593" s="78">
        <v>2722</v>
      </c>
      <c r="G593" s="79" t="s">
        <v>97</v>
      </c>
      <c r="H593" s="18">
        <v>568563.98</v>
      </c>
      <c r="I593" s="18">
        <v>272464.28999999998</v>
      </c>
      <c r="J593" s="18">
        <v>472052.54</v>
      </c>
      <c r="K593" s="80">
        <f t="shared" si="48"/>
        <v>1313080.81</v>
      </c>
      <c r="L593" s="23" t="s">
        <v>288</v>
      </c>
      <c r="M593" s="8"/>
      <c r="N593" s="165"/>
    </row>
    <row r="594" spans="1:14" s="3" customFormat="1" ht="12.2" customHeight="1" x14ac:dyDescent="0.15">
      <c r="A594" s="3" t="s">
        <v>639</v>
      </c>
      <c r="B594" s="22">
        <v>23</v>
      </c>
      <c r="C594" s="22">
        <v>3</v>
      </c>
      <c r="D594" s="2" t="s">
        <v>432</v>
      </c>
      <c r="E594" s="22"/>
      <c r="F594" s="78">
        <v>2723</v>
      </c>
      <c r="G594" s="79" t="s">
        <v>97</v>
      </c>
      <c r="H594" s="18">
        <v>2838.98</v>
      </c>
      <c r="I594" s="18">
        <v>1360.48</v>
      </c>
      <c r="J594" s="18">
        <v>6135.11</v>
      </c>
      <c r="K594" s="80">
        <f t="shared" si="48"/>
        <v>10334.57</v>
      </c>
      <c r="L594" s="23" t="s">
        <v>288</v>
      </c>
      <c r="M594" s="8"/>
      <c r="N594" s="165"/>
    </row>
    <row r="595" spans="1:14" s="3" customFormat="1" ht="12.2" customHeight="1" x14ac:dyDescent="0.15">
      <c r="A595" s="21" t="s">
        <v>640</v>
      </c>
      <c r="B595" s="22">
        <v>23</v>
      </c>
      <c r="C595" s="22">
        <v>4</v>
      </c>
      <c r="D595" s="2" t="s">
        <v>432</v>
      </c>
      <c r="E595" s="22"/>
      <c r="F595" s="78">
        <v>2724</v>
      </c>
      <c r="G595" s="79" t="s">
        <v>97</v>
      </c>
      <c r="H595" s="18">
        <v>6412.19</v>
      </c>
      <c r="I595" s="18">
        <v>35744.21</v>
      </c>
      <c r="J595" s="18">
        <v>146185.91</v>
      </c>
      <c r="K595" s="80">
        <f t="shared" si="48"/>
        <v>188342.31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5022.6400000000003</v>
      </c>
      <c r="I596" s="18">
        <v>7988.09</v>
      </c>
      <c r="J596" s="18">
        <v>19465.900000000001</v>
      </c>
      <c r="K596" s="80">
        <f t="shared" si="48"/>
        <v>32476.63</v>
      </c>
      <c r="L596" s="23" t="s">
        <v>288</v>
      </c>
      <c r="M596" s="8"/>
      <c r="N596" s="165"/>
    </row>
    <row r="597" spans="1:14" s="3" customFormat="1" ht="12.2" customHeight="1" x14ac:dyDescent="0.15">
      <c r="A597" s="21" t="s">
        <v>641</v>
      </c>
      <c r="B597" s="22">
        <v>23</v>
      </c>
      <c r="C597" s="22">
        <v>6</v>
      </c>
      <c r="D597" s="2" t="s">
        <v>432</v>
      </c>
      <c r="E597" s="22"/>
      <c r="F597" s="78">
        <v>2726</v>
      </c>
      <c r="G597" s="79" t="s">
        <v>97</v>
      </c>
      <c r="H597" s="18">
        <v>2104.7600000000002</v>
      </c>
      <c r="I597" s="18">
        <v>1008.63</v>
      </c>
      <c r="J597" s="18">
        <v>1747.48</v>
      </c>
      <c r="K597" s="80">
        <f t="shared" si="48"/>
        <v>4860.8700000000008</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23880.5</v>
      </c>
      <c r="I598" s="18">
        <v>3107.66</v>
      </c>
      <c r="J598" s="18">
        <v>5384.14</v>
      </c>
      <c r="K598" s="80">
        <f t="shared" si="48"/>
        <v>32372.3</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1381724.4899999998</v>
      </c>
      <c r="I599" s="81">
        <f>SUM(I592:I598)</f>
        <v>692059.15999999992</v>
      </c>
      <c r="J599" s="81">
        <f>SUM(J592:J598)</f>
        <v>1292675.6699999997</v>
      </c>
      <c r="K599" s="81">
        <f>SUM(K592:K598)</f>
        <v>3366459.32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612520.91</v>
      </c>
      <c r="I605" s="18">
        <v>231874.51</v>
      </c>
      <c r="J605" s="18">
        <f>589599.41-56365-26592.57</f>
        <v>506641.84</v>
      </c>
      <c r="K605" s="80">
        <f>SUM(H605:J605)</f>
        <v>1351037.26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612520.91</v>
      </c>
      <c r="I606" s="81">
        <f>SUM(I603:I605)</f>
        <v>231874.51</v>
      </c>
      <c r="J606" s="81">
        <f>SUM(J603:J605)</f>
        <v>506641.84</v>
      </c>
      <c r="K606" s="81">
        <f>SUM(K603:K605)</f>
        <v>1351037.26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142142682.54999998</v>
      </c>
      <c r="H618" s="80">
        <f>SUM(F52)</f>
        <v>142142682.54999995</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8346560.7199999997</v>
      </c>
      <c r="H619" s="80">
        <f>SUM(G52)</f>
        <v>8346560.7199999997</v>
      </c>
      <c r="I619" s="87" t="s">
        <v>876</v>
      </c>
      <c r="J619" s="80">
        <f>G619-H619</f>
        <v>0</v>
      </c>
      <c r="K619" s="80"/>
      <c r="L619" s="80"/>
      <c r="M619" s="8"/>
    </row>
    <row r="620" spans="1:14" s="3" customFormat="1" ht="12.2" customHeight="1" x14ac:dyDescent="0.15">
      <c r="A620" s="74"/>
      <c r="B620" s="22"/>
      <c r="C620" s="22"/>
      <c r="D620" s="22"/>
      <c r="E620" s="22"/>
      <c r="F620" s="87" t="s">
        <v>685</v>
      </c>
      <c r="G620" s="80">
        <f>SUM(H19)</f>
        <v>65791380.920000002</v>
      </c>
      <c r="H620" s="80">
        <f>SUM(H52)</f>
        <v>65791380.920000002</v>
      </c>
      <c r="I620" s="87" t="s">
        <v>877</v>
      </c>
      <c r="J620" s="80">
        <f>G620-H620</f>
        <v>0</v>
      </c>
      <c r="K620" s="80"/>
      <c r="L620" s="80"/>
      <c r="M620" s="8"/>
    </row>
    <row r="621" spans="1:14" s="3" customFormat="1" ht="12.2" customHeight="1" x14ac:dyDescent="0.15">
      <c r="A621" s="74"/>
      <c r="B621" s="22"/>
      <c r="C621" s="22"/>
      <c r="D621" s="22"/>
      <c r="E621" s="22"/>
      <c r="F621" s="87" t="s">
        <v>686</v>
      </c>
      <c r="G621" s="80">
        <f>SUM(I19)</f>
        <v>67771230.36999999</v>
      </c>
      <c r="H621" s="80">
        <f>SUM(I52)</f>
        <v>67771230.370000005</v>
      </c>
      <c r="I621" s="87" t="s">
        <v>878</v>
      </c>
      <c r="J621" s="80">
        <f>G621-H621</f>
        <v>0</v>
      </c>
      <c r="K621" s="80"/>
      <c r="L621" s="80"/>
      <c r="M621" s="8"/>
    </row>
    <row r="622" spans="1:14" s="3" customFormat="1" ht="12.2" customHeight="1" x14ac:dyDescent="0.15">
      <c r="A622" s="74"/>
      <c r="B622" s="22"/>
      <c r="C622" s="22"/>
      <c r="D622" s="22"/>
      <c r="E622" s="22"/>
      <c r="F622" s="87" t="s">
        <v>687</v>
      </c>
      <c r="G622" s="80">
        <f>SUM(J19)</f>
        <v>14363865.179999998</v>
      </c>
      <c r="H622" s="80">
        <f>SUM(J52)</f>
        <v>14363865.18</v>
      </c>
      <c r="I622" s="87" t="s">
        <v>879</v>
      </c>
      <c r="J622" s="80">
        <f>G622-H622</f>
        <v>0</v>
      </c>
      <c r="K622" s="80"/>
      <c r="L622" s="80"/>
      <c r="M622" s="8"/>
    </row>
    <row r="623" spans="1:14" s="3" customFormat="1" ht="12.2" customHeight="1" x14ac:dyDescent="0.15">
      <c r="A623" s="74"/>
      <c r="B623" s="22"/>
      <c r="C623" s="22"/>
      <c r="D623" s="22"/>
      <c r="E623" s="22"/>
      <c r="F623" s="87" t="s">
        <v>865</v>
      </c>
      <c r="G623" s="80">
        <f>F51</f>
        <v>4277954.17</v>
      </c>
      <c r="H623" s="80">
        <f>F477</f>
        <v>4277954.1700000018</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1232320.3399999999</v>
      </c>
      <c r="H624" s="80">
        <f>G477</f>
        <v>1232320.3400000003</v>
      </c>
      <c r="I624" s="87" t="s">
        <v>102</v>
      </c>
      <c r="J624" s="80">
        <f t="shared" si="50"/>
        <v>0</v>
      </c>
      <c r="K624" s="80"/>
      <c r="L624" s="80"/>
      <c r="M624" s="8"/>
    </row>
    <row r="625" spans="1:13" s="3" customFormat="1" ht="12.2" customHeight="1" x14ac:dyDescent="0.15">
      <c r="A625" s="74"/>
      <c r="B625" s="22"/>
      <c r="C625" s="22"/>
      <c r="D625" s="22"/>
      <c r="E625" s="22"/>
      <c r="F625" s="86" t="s">
        <v>867</v>
      </c>
      <c r="G625" s="80">
        <f>H51</f>
        <v>367826.65000000026</v>
      </c>
      <c r="H625" s="80">
        <f>H477</f>
        <v>367826.65000000037</v>
      </c>
      <c r="I625" s="87" t="s">
        <v>103</v>
      </c>
      <c r="J625" s="80">
        <f t="shared" si="50"/>
        <v>0</v>
      </c>
      <c r="K625" s="80"/>
      <c r="L625" s="80"/>
      <c r="M625" s="8"/>
    </row>
    <row r="626" spans="1:13" s="3" customFormat="1" ht="12.2" customHeight="1" x14ac:dyDescent="0.15">
      <c r="A626" s="74"/>
      <c r="B626" s="22"/>
      <c r="C626" s="22"/>
      <c r="D626" s="22"/>
      <c r="E626" s="22"/>
      <c r="F626" s="86" t="s">
        <v>868</v>
      </c>
      <c r="G626" s="80">
        <f>I51</f>
        <v>-17674.269999996442</v>
      </c>
      <c r="H626" s="80">
        <f>I477</f>
        <v>-17674.270000000019</v>
      </c>
      <c r="I626" s="87" t="s">
        <v>104</v>
      </c>
      <c r="J626" s="80">
        <f t="shared" si="50"/>
        <v>3.5761331673711538E-9</v>
      </c>
      <c r="K626" s="80"/>
      <c r="L626" s="80"/>
      <c r="M626" s="8"/>
    </row>
    <row r="627" spans="1:13" s="3" customFormat="1" ht="12.2" customHeight="1" x14ac:dyDescent="0.15">
      <c r="A627" s="21"/>
      <c r="B627" s="22"/>
      <c r="C627" s="22"/>
      <c r="D627" s="22"/>
      <c r="E627" s="22"/>
      <c r="F627" s="86" t="s">
        <v>869</v>
      </c>
      <c r="G627" s="80">
        <f>J51</f>
        <v>18986887.27</v>
      </c>
      <c r="H627" s="80">
        <f>J477</f>
        <v>18986887.27</v>
      </c>
      <c r="I627" s="87" t="s">
        <v>105</v>
      </c>
      <c r="J627" s="80">
        <f t="shared" si="50"/>
        <v>0</v>
      </c>
      <c r="K627" s="67"/>
      <c r="L627" s="69"/>
      <c r="M627" s="8"/>
    </row>
    <row r="628" spans="1:13" s="3" customFormat="1" ht="12.2" customHeight="1" x14ac:dyDescent="0.15">
      <c r="A628" s="21"/>
      <c r="B628" s="22"/>
      <c r="C628" s="22"/>
      <c r="D628" s="22"/>
      <c r="E628" s="22"/>
      <c r="F628" s="86" t="s">
        <v>658</v>
      </c>
      <c r="G628" s="80">
        <f>F194</f>
        <v>90293688.189999998</v>
      </c>
      <c r="H628" s="80">
        <f>SUM(F469)</f>
        <v>90293688.189999998</v>
      </c>
      <c r="I628" s="87" t="s">
        <v>106</v>
      </c>
      <c r="J628" s="80">
        <f>G628-H628</f>
        <v>0</v>
      </c>
      <c r="K628" s="67"/>
      <c r="L628" s="69"/>
      <c r="M628" s="8"/>
    </row>
    <row r="629" spans="1:13" s="3" customFormat="1" ht="12.2" customHeight="1" x14ac:dyDescent="0.15">
      <c r="A629" s="21"/>
      <c r="B629" s="22"/>
      <c r="C629" s="22"/>
      <c r="D629" s="22"/>
      <c r="E629" s="22"/>
      <c r="F629" s="86" t="s">
        <v>659</v>
      </c>
      <c r="G629" s="80">
        <f>G194</f>
        <v>3241671.3499999996</v>
      </c>
      <c r="H629" s="80">
        <f>SUM(G469)</f>
        <v>3241671.35</v>
      </c>
      <c r="I629" s="87" t="s">
        <v>107</v>
      </c>
      <c r="J629" s="80">
        <f>G629-H629</f>
        <v>0</v>
      </c>
      <c r="K629" s="67"/>
      <c r="L629" s="69"/>
      <c r="M629" s="8"/>
    </row>
    <row r="630" spans="1:13" s="3" customFormat="1" ht="12.2" customHeight="1" x14ac:dyDescent="0.15">
      <c r="A630" s="21"/>
      <c r="B630" s="22"/>
      <c r="C630" s="22"/>
      <c r="D630" s="22"/>
      <c r="E630" s="22"/>
      <c r="F630" s="86" t="s">
        <v>660</v>
      </c>
      <c r="G630" s="80">
        <f>H194</f>
        <v>7443333.1500000004</v>
      </c>
      <c r="H630" s="80">
        <f>SUM(H469)</f>
        <v>7443333.1500000004</v>
      </c>
      <c r="I630" s="87" t="s">
        <v>108</v>
      </c>
      <c r="J630" s="80">
        <f>G630-H630</f>
        <v>0</v>
      </c>
      <c r="K630" s="67"/>
      <c r="L630" s="69"/>
      <c r="M630" s="8"/>
    </row>
    <row r="631" spans="1:13" s="3" customFormat="1" ht="12.2" customHeight="1" x14ac:dyDescent="0.15">
      <c r="A631" s="21"/>
      <c r="B631" s="22"/>
      <c r="C631" s="22"/>
      <c r="D631" s="22"/>
      <c r="E631" s="22"/>
      <c r="F631" s="86" t="s">
        <v>661</v>
      </c>
      <c r="G631" s="80">
        <f>I194</f>
        <v>112108.79999999999</v>
      </c>
      <c r="H631" s="80">
        <f>SUM(I469)</f>
        <v>112108.8</v>
      </c>
      <c r="I631" s="87" t="s">
        <v>109</v>
      </c>
      <c r="J631" s="80">
        <f>G631-H631</f>
        <v>0</v>
      </c>
      <c r="K631" s="67"/>
      <c r="L631" s="69"/>
      <c r="M631" s="8"/>
    </row>
    <row r="632" spans="1:13" s="3" customFormat="1" ht="12.2" customHeight="1" x14ac:dyDescent="0.15">
      <c r="A632" s="21"/>
      <c r="B632" s="22"/>
      <c r="C632" s="22"/>
      <c r="D632" s="22"/>
      <c r="E632" s="22"/>
      <c r="F632" s="86" t="s">
        <v>662</v>
      </c>
      <c r="G632" s="80">
        <f>J194</f>
        <v>3200991.7800000003</v>
      </c>
      <c r="H632" s="80">
        <f>SUM(J469)</f>
        <v>3200991.78</v>
      </c>
      <c r="I632" s="87" t="s">
        <v>110</v>
      </c>
      <c r="J632" s="80">
        <f>G632-H632</f>
        <v>0</v>
      </c>
      <c r="K632" s="67"/>
      <c r="L632" s="69"/>
      <c r="M632" s="8"/>
    </row>
    <row r="633" spans="1:13" s="3" customFormat="1" ht="12.2" customHeight="1" x14ac:dyDescent="0.15">
      <c r="A633" s="21"/>
      <c r="B633" s="22"/>
      <c r="C633" s="22"/>
      <c r="D633" s="22"/>
      <c r="E633" s="22"/>
      <c r="F633" s="86" t="s">
        <v>394</v>
      </c>
      <c r="G633" s="80">
        <f>SUM(L272)</f>
        <v>89989415.549999997</v>
      </c>
      <c r="H633" s="80">
        <f>SUM(F473)</f>
        <v>89989415.549999997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7430534.9400000004</v>
      </c>
      <c r="H634" s="80">
        <f>SUM(H473)</f>
        <v>7430534.9400000004</v>
      </c>
      <c r="I634" s="87" t="s">
        <v>112</v>
      </c>
      <c r="J634" s="80">
        <f>G634-H634</f>
        <v>0</v>
      </c>
      <c r="K634" s="67"/>
      <c r="L634" s="69"/>
      <c r="M634" s="8"/>
    </row>
    <row r="635" spans="1:13" s="124" customFormat="1" ht="12.2" customHeight="1" x14ac:dyDescent="0.15">
      <c r="A635" s="21"/>
      <c r="B635" s="22"/>
      <c r="C635" s="22"/>
      <c r="D635" s="22"/>
      <c r="E635" s="22"/>
      <c r="F635" s="99" t="s">
        <v>247</v>
      </c>
      <c r="G635" s="80">
        <f>I363</f>
        <v>1349666.3599999999</v>
      </c>
      <c r="H635" s="80">
        <f>I370</f>
        <v>1349666.36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2229537.73</v>
      </c>
      <c r="H636" s="80">
        <f>SUM(G473)</f>
        <v>2229537.73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613188.80999999994</v>
      </c>
      <c r="H637" s="80">
        <f>SUM(I473)</f>
        <v>613188.81000000006</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3200991.78</v>
      </c>
      <c r="H638" s="108">
        <f>SUM(J469)</f>
        <v>3200991.78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225883.68</v>
      </c>
      <c r="H639" s="108">
        <f>SUM(J473)</f>
        <v>225883.68</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14363865.179999998</v>
      </c>
      <c r="H641" s="80">
        <f>SUM(G462)</f>
        <v>14363865.18</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14363865.179999998</v>
      </c>
      <c r="H643" s="80">
        <f>SUM(I462)</f>
        <v>14363865.18</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16859.11</v>
      </c>
      <c r="H645" s="80">
        <f>H409</f>
        <v>16859.11</v>
      </c>
      <c r="I645" s="87" t="s">
        <v>480</v>
      </c>
      <c r="J645" s="80">
        <f t="shared" si="50"/>
        <v>0</v>
      </c>
      <c r="K645" s="67"/>
      <c r="L645" s="69"/>
      <c r="M645" s="8"/>
    </row>
    <row r="646" spans="1:13" s="3" customFormat="1" ht="12.2" customHeight="1" x14ac:dyDescent="0.15">
      <c r="A646" s="21"/>
      <c r="B646" s="22"/>
      <c r="C646" s="22"/>
      <c r="D646" s="22"/>
      <c r="E646" s="22"/>
      <c r="F646" s="86" t="s">
        <v>664</v>
      </c>
      <c r="G646" s="80">
        <f>J184</f>
        <v>3166348.54</v>
      </c>
      <c r="H646" s="80">
        <f>G409</f>
        <v>3166348.54</v>
      </c>
      <c r="I646" s="87" t="s">
        <v>481</v>
      </c>
      <c r="J646" s="80">
        <f t="shared" si="50"/>
        <v>0</v>
      </c>
      <c r="K646" s="67"/>
      <c r="L646" s="69"/>
      <c r="M646" s="8"/>
    </row>
    <row r="647" spans="1:13" s="3" customFormat="1" ht="12.2" customHeight="1" x14ac:dyDescent="0.15">
      <c r="A647" s="21"/>
      <c r="B647" s="22"/>
      <c r="C647" s="22"/>
      <c r="D647" s="22"/>
      <c r="E647" s="22"/>
      <c r="F647" s="86" t="s">
        <v>662</v>
      </c>
      <c r="G647" s="80">
        <f>J194</f>
        <v>3200991.7800000003</v>
      </c>
      <c r="H647" s="80">
        <f>L409</f>
        <v>3200991.78</v>
      </c>
      <c r="I647" s="87" t="s">
        <v>477</v>
      </c>
      <c r="J647" s="80">
        <f t="shared" si="50"/>
        <v>0</v>
      </c>
      <c r="K647" s="67"/>
      <c r="L647" s="69"/>
      <c r="M647" s="8"/>
    </row>
    <row r="648" spans="1:13" s="3" customFormat="1" ht="12.2" customHeight="1" x14ac:dyDescent="0.15">
      <c r="A648" s="21"/>
      <c r="B648" s="22"/>
      <c r="C648" s="22"/>
      <c r="D648" s="22"/>
      <c r="E648" s="22"/>
      <c r="F648" s="86" t="s">
        <v>51</v>
      </c>
      <c r="G648" s="80">
        <f>K599</f>
        <v>3366459.32</v>
      </c>
      <c r="H648" s="80">
        <f>L209+L227+L245</f>
        <v>3366459.3200000003</v>
      </c>
      <c r="I648" s="87" t="s">
        <v>396</v>
      </c>
      <c r="J648" s="80">
        <f t="shared" si="50"/>
        <v>0</v>
      </c>
      <c r="K648" s="67"/>
      <c r="L648" s="69"/>
      <c r="M648" s="8"/>
    </row>
    <row r="649" spans="1:13" s="3" customFormat="1" ht="12.2" customHeight="1" x14ac:dyDescent="0.15">
      <c r="A649" s="21"/>
      <c r="B649" s="22"/>
      <c r="C649" s="22"/>
      <c r="D649" s="22"/>
      <c r="E649" s="22"/>
      <c r="F649" s="86" t="s">
        <v>52</v>
      </c>
      <c r="G649" s="80">
        <f>K606</f>
        <v>1351037.26</v>
      </c>
      <c r="H649" s="80">
        <f>(J258+J339)-(J256+J337)</f>
        <v>1351037.2600000002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1381724.4900000002</v>
      </c>
      <c r="H650" s="80">
        <f>H599</f>
        <v>1381724.4899999998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692059.16</v>
      </c>
      <c r="H651" s="80">
        <f>I599</f>
        <v>692059.15999999992</v>
      </c>
      <c r="I651" s="87" t="s">
        <v>389</v>
      </c>
      <c r="J651" s="80">
        <f t="shared" si="50"/>
        <v>0</v>
      </c>
      <c r="K651" s="67"/>
      <c r="L651" s="69"/>
      <c r="M651" s="8"/>
    </row>
    <row r="652" spans="1:13" s="3" customFormat="1" ht="12.2" customHeight="1" x14ac:dyDescent="0.15">
      <c r="A652" s="21"/>
      <c r="B652" s="22"/>
      <c r="C652" s="22"/>
      <c r="D652" s="22"/>
      <c r="E652" s="22"/>
      <c r="F652" s="86" t="s">
        <v>393</v>
      </c>
      <c r="G652" s="80">
        <f>L245</f>
        <v>1292675.67</v>
      </c>
      <c r="H652" s="80">
        <f>J599</f>
        <v>1292675.6699999997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3166348.54</v>
      </c>
      <c r="H656" s="80">
        <f>K267+K348</f>
        <v>3166348.54</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41035836.539999999</v>
      </c>
      <c r="G661" s="13">
        <f>(L230+L310+L360)</f>
        <v>17284267.299999997</v>
      </c>
      <c r="H661" s="13">
        <f>(L248+L329+L361)</f>
        <v>32116002.099999998</v>
      </c>
      <c r="I661" s="13">
        <f>SUM(F661:H661)</f>
        <v>90436105.939999998</v>
      </c>
      <c r="J661" s="13"/>
      <c r="K661" s="13"/>
      <c r="L661" s="13"/>
      <c r="M661" s="9"/>
    </row>
    <row r="662" spans="1:13" s="3" customFormat="1" ht="12.2" customHeight="1" x14ac:dyDescent="0.2">
      <c r="A662" s="1" t="s">
        <v>127</v>
      </c>
      <c r="F662" s="13">
        <f>(L359/IF(SUM(L359:L361)=0,1,SUM(L359:L361))*(SUM(G97:G110)))</f>
        <v>63866.038921850581</v>
      </c>
      <c r="G662" s="13">
        <f>(L360/IF(SUM(L359:L361)=0,1,SUM(L359:L361))*(SUM(G97:G110)))</f>
        <v>22637.626161530083</v>
      </c>
      <c r="H662" s="13">
        <f>(L361/IF(SUM(L359:L361)=0,1,SUM(L359:L361))*(SUM(G97:G110)))</f>
        <v>44826.454916619332</v>
      </c>
      <c r="I662" s="13">
        <f>SUM(F662:H662)</f>
        <v>131330.12</v>
      </c>
      <c r="J662"/>
      <c r="K662" s="13"/>
      <c r="L662" s="13"/>
      <c r="M662" s="8"/>
    </row>
    <row r="663" spans="1:13" s="3" customFormat="1" ht="12.2" customHeight="1" x14ac:dyDescent="0.2">
      <c r="A663" s="1" t="s">
        <v>128</v>
      </c>
      <c r="F663" s="13">
        <f>(L209+L288)-(J209+J288)</f>
        <v>1430993.0100000002</v>
      </c>
      <c r="G663" s="13">
        <f>(L227+L307)-(J227+J307)</f>
        <v>692059.16</v>
      </c>
      <c r="H663" s="13">
        <f>(L245+L326)-(J245+J326)</f>
        <v>1384129.98</v>
      </c>
      <c r="I663" s="13">
        <f>SUM(F663:H663)</f>
        <v>3507182.1500000004</v>
      </c>
      <c r="J663"/>
      <c r="K663" s="13"/>
      <c r="L663" s="13"/>
      <c r="M663" s="9"/>
    </row>
    <row r="664" spans="1:13" s="3" customFormat="1" ht="12.2" customHeight="1" x14ac:dyDescent="0.15">
      <c r="A664" s="142" t="s">
        <v>129</v>
      </c>
      <c r="B664" s="124"/>
      <c r="C664" s="124"/>
      <c r="D664" s="124"/>
      <c r="E664" s="124"/>
      <c r="F664" s="143">
        <f>SUM(F576:F588)+SUM(H603:H605)+SUM(L612)</f>
        <v>837729.22</v>
      </c>
      <c r="G664" s="143">
        <f>SUM(G576:G588)+SUM(I603:I605)+L613</f>
        <v>512413.24</v>
      </c>
      <c r="H664" s="143">
        <f>SUM(H576:H588)+SUM(J603:J605)+L614</f>
        <v>2632565.2799999998</v>
      </c>
      <c r="I664" s="13">
        <f>SUM(F664:H664)</f>
        <v>3982707.7399999998</v>
      </c>
      <c r="J664" s="13"/>
      <c r="K664" s="13"/>
      <c r="L664" s="13"/>
      <c r="M664" s="9"/>
    </row>
    <row r="665" spans="1:13" s="3" customFormat="1" ht="12.2" customHeight="1" x14ac:dyDescent="0.15">
      <c r="A665" s="1" t="s">
        <v>130</v>
      </c>
      <c r="F665" s="13">
        <f>F661-SUM(F662:F664)</f>
        <v>38703248.271078147</v>
      </c>
      <c r="G665" s="13">
        <f>G661-SUM(G662:G664)</f>
        <v>16057157.273838468</v>
      </c>
      <c r="H665" s="13">
        <f>H661-SUM(H662:H664)</f>
        <v>28054480.385083377</v>
      </c>
      <c r="I665" s="13">
        <f>I661-SUM(I662:I664)</f>
        <v>82814885.929999992</v>
      </c>
      <c r="J665" s="13"/>
      <c r="K665" s="13"/>
      <c r="L665" s="13"/>
      <c r="M665" s="8"/>
    </row>
    <row r="666" spans="1:13" s="3" customFormat="1" ht="12.2" customHeight="1" x14ac:dyDescent="0.2">
      <c r="A666" s="1" t="s">
        <v>131</v>
      </c>
      <c r="F666" s="183">
        <v>1698.25</v>
      </c>
      <c r="G666" s="184">
        <v>862.59</v>
      </c>
      <c r="H666" s="184">
        <v>1485.48</v>
      </c>
      <c r="I666" s="13">
        <f>SUM(F666:H666)</f>
        <v>4046.32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22790.080000000002</v>
      </c>
      <c r="G668" s="13">
        <f>ROUND(G665/G666,2)</f>
        <v>18615.05</v>
      </c>
      <c r="H668" s="13">
        <f>ROUND(H665/H666,2)</f>
        <v>18885.8</v>
      </c>
      <c r="I668" s="13">
        <f>ROUND(I665/I666,2)</f>
        <v>20466.72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141.77000000000001</v>
      </c>
      <c r="I671" s="13">
        <f>SUM(F671:H671)</f>
        <v>141.77000000000001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22790.080000000002</v>
      </c>
      <c r="G673" s="13">
        <f>ROUND((G665+G670)/(G666+G671),2)</f>
        <v>18615.05</v>
      </c>
      <c r="H673" s="13">
        <f>ROUND((H665+H670)/(H666+H671),2)</f>
        <v>17240.419999999998</v>
      </c>
      <c r="I673" s="13">
        <f>ROUND((I665+I670)/(I666+I671),2)</f>
        <v>19773.900000000001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E16" sqref="E16"/>
    </sheetView>
  </sheetViews>
  <sheetFormatPr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934913.9</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f>55906.3+120973.78+96530.16+15218.87</f>
        <v>288629.11</v>
      </c>
      <c r="F9" s="276" t="s">
        <v>1644</v>
      </c>
    </row>
    <row r="10" spans="2:8" x14ac:dyDescent="0.25">
      <c r="B10" s="275"/>
      <c r="C10" s="275"/>
      <c r="D10" s="275"/>
      <c r="E10" s="275"/>
      <c r="F10" s="275"/>
    </row>
    <row r="11" spans="2:8" x14ac:dyDescent="0.25">
      <c r="B11" s="275"/>
      <c r="C11" s="279" t="s">
        <v>1648</v>
      </c>
      <c r="D11" s="276" t="s">
        <v>1651</v>
      </c>
      <c r="E11" s="263">
        <f>423.75+36510.04+8801.16+7623.2+9415.07</f>
        <v>62773.219999999994</v>
      </c>
      <c r="F11" s="276" t="s">
        <v>1645</v>
      </c>
    </row>
    <row r="12" spans="2:8" x14ac:dyDescent="0.25">
      <c r="B12" s="275"/>
      <c r="C12" s="275"/>
      <c r="D12" s="276"/>
      <c r="E12" s="275"/>
      <c r="F12" s="275"/>
    </row>
    <row r="13" spans="2:8" x14ac:dyDescent="0.25">
      <c r="B13" s="275"/>
      <c r="C13" s="276" t="s">
        <v>1638</v>
      </c>
      <c r="D13" s="276" t="s">
        <v>1652</v>
      </c>
      <c r="E13" s="263">
        <f>34179.18+3191.71+66566.92</f>
        <v>103937.81</v>
      </c>
      <c r="F13" s="276" t="s">
        <v>1646</v>
      </c>
    </row>
    <row r="14" spans="2:8" x14ac:dyDescent="0.25">
      <c r="B14" s="275"/>
      <c r="C14" s="275"/>
      <c r="D14" s="276"/>
      <c r="E14" s="275"/>
      <c r="F14" s="275"/>
    </row>
    <row r="15" spans="2:8" x14ac:dyDescent="0.25">
      <c r="B15" s="275"/>
      <c r="C15" s="276" t="s">
        <v>1640</v>
      </c>
      <c r="D15" s="276" t="s">
        <v>1653</v>
      </c>
      <c r="E15" s="263">
        <f>197634.1+270737.41+5984.8+5169.01+48.44</f>
        <v>479573.76000000001</v>
      </c>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5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Concord</v>
      </c>
      <c r="C5" s="302"/>
      <c r="D5" s="302"/>
      <c r="E5" s="302"/>
      <c r="F5" s="302"/>
    </row>
    <row r="8" spans="1:9" ht="18" x14ac:dyDescent="0.25">
      <c r="A8" s="240" t="s">
        <v>1568</v>
      </c>
      <c r="F8" s="247" t="s">
        <v>1586</v>
      </c>
    </row>
    <row r="9" spans="1:9" ht="15" x14ac:dyDescent="0.2">
      <c r="A9" s="238" t="s">
        <v>1569</v>
      </c>
      <c r="B9" s="241">
        <f>'DOE25'!G97</f>
        <v>128255.69</v>
      </c>
      <c r="F9" s="238" t="s">
        <v>1582</v>
      </c>
    </row>
    <row r="10" spans="1:9" ht="15" x14ac:dyDescent="0.2">
      <c r="A10" s="238" t="s">
        <v>1570</v>
      </c>
      <c r="B10" s="241">
        <f>'DOE25'!G112-'DOE25'!G97</f>
        <v>3120.8699999999953</v>
      </c>
      <c r="F10" s="238" t="s">
        <v>1583</v>
      </c>
    </row>
    <row r="11" spans="1:9" ht="15" x14ac:dyDescent="0.2">
      <c r="A11" s="238" t="s">
        <v>1571</v>
      </c>
      <c r="B11" s="241">
        <f>'DOE25'!G140</f>
        <v>27588.17</v>
      </c>
      <c r="F11" s="238" t="s">
        <v>1584</v>
      </c>
    </row>
    <row r="12" spans="1:9" ht="15" x14ac:dyDescent="0.2">
      <c r="A12" s="238" t="s">
        <v>1572</v>
      </c>
      <c r="B12" s="241">
        <f>'DOE25'!G170</f>
        <v>3082706.6199999996</v>
      </c>
      <c r="F12" s="238" t="s">
        <v>1585</v>
      </c>
    </row>
    <row r="13" spans="1:9" ht="15" x14ac:dyDescent="0.2">
      <c r="A13" s="238" t="s">
        <v>1573</v>
      </c>
      <c r="B13" s="241">
        <f>'DOE25'!G193-'DOE25'!G180</f>
        <v>0</v>
      </c>
      <c r="F13" s="238" t="s">
        <v>1595</v>
      </c>
    </row>
    <row r="14" spans="1:9" ht="18" x14ac:dyDescent="0.25">
      <c r="A14" s="240" t="s">
        <v>732</v>
      </c>
      <c r="B14" s="242">
        <f>SUM(B9:B13)</f>
        <v>3241671.3499999996</v>
      </c>
    </row>
    <row r="16" spans="1:9" ht="18" x14ac:dyDescent="0.25">
      <c r="A16" s="240" t="s">
        <v>786</v>
      </c>
      <c r="F16" s="247" t="s">
        <v>1587</v>
      </c>
    </row>
    <row r="17" spans="1:6" ht="15" x14ac:dyDescent="0.2">
      <c r="A17" s="238" t="s">
        <v>1574</v>
      </c>
      <c r="B17" s="241">
        <f>'DOE25'!L363-'DOE25'!L362</f>
        <v>2229537.73</v>
      </c>
      <c r="F17" s="238" t="s">
        <v>1588</v>
      </c>
    </row>
    <row r="18" spans="1:6" ht="15" x14ac:dyDescent="0.2">
      <c r="A18" s="238" t="s">
        <v>1575</v>
      </c>
      <c r="B18" s="251"/>
      <c r="F18" s="247" t="s">
        <v>1612</v>
      </c>
    </row>
    <row r="19" spans="1:6" ht="18" x14ac:dyDescent="0.25">
      <c r="A19" s="240" t="s">
        <v>725</v>
      </c>
      <c r="B19" s="242">
        <f>SUM(B17:B18)</f>
        <v>2229537.73</v>
      </c>
    </row>
    <row r="21" spans="1:6" ht="18.75" thickBot="1" x14ac:dyDescent="0.3">
      <c r="A21" s="240" t="s">
        <v>1576</v>
      </c>
    </row>
    <row r="22" spans="1:6" ht="18.75" thickTop="1" x14ac:dyDescent="0.25">
      <c r="A22" s="240" t="s">
        <v>1577</v>
      </c>
      <c r="B22" s="246">
        <f>B14-B19</f>
        <v>1012133.6199999996</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220186.72</v>
      </c>
      <c r="F31" s="238" t="s">
        <v>1592</v>
      </c>
    </row>
    <row r="33" spans="1:6" ht="15" x14ac:dyDescent="0.2">
      <c r="A33" s="238" t="s">
        <v>1635</v>
      </c>
      <c r="B33" s="241">
        <f>'DOE25'!G477</f>
        <v>1232320.3400000003</v>
      </c>
      <c r="F33" s="238" t="s">
        <v>1593</v>
      </c>
    </row>
    <row r="36" spans="1:6" ht="15" x14ac:dyDescent="0.2">
      <c r="A36" s="238" t="s">
        <v>1579</v>
      </c>
      <c r="B36" s="252">
        <v>45834.13</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Concord</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22225572.099999994</v>
      </c>
      <c r="C9" s="167">
        <f>'DOE25'!G198+'DOE25'!G216+'DOE25'!G234+'DOE25'!G277+'DOE25'!G296+'DOE25'!G315</f>
        <v>10683440.789999999</v>
      </c>
    </row>
    <row r="10" spans="1:3" x14ac:dyDescent="0.2">
      <c r="A10" t="s">
        <v>775</v>
      </c>
      <c r="B10" s="177">
        <f>21851316.65-314.37-115145.66-347135.38-9174.24</f>
        <v>21379547</v>
      </c>
      <c r="C10" s="177">
        <f>B10/B9*C9</f>
        <v>10276771.435346862</v>
      </c>
    </row>
    <row r="11" spans="1:3" x14ac:dyDescent="0.2">
      <c r="A11" t="s">
        <v>776</v>
      </c>
      <c r="B11" s="177">
        <f>314.37+115145.66+347135.38+9174.24</f>
        <v>471769.65</v>
      </c>
      <c r="C11" s="177">
        <f>B11/B9*C9</f>
        <v>226771.35596856131</v>
      </c>
    </row>
    <row r="12" spans="1:3" x14ac:dyDescent="0.2">
      <c r="A12" t="s">
        <v>777</v>
      </c>
      <c r="B12" s="177">
        <f>B9-B10-B11</f>
        <v>374255.44999999402</v>
      </c>
      <c r="C12" s="177">
        <f>B12/B9*C9</f>
        <v>179897.99868457569</v>
      </c>
    </row>
    <row r="13" spans="1:3" x14ac:dyDescent="0.2">
      <c r="A13" t="str">
        <f>IF(B9=B13,IF(C9=C13,"Check Total OK","Check Total Error"),"Check Total Error")</f>
        <v>Check Total OK</v>
      </c>
      <c r="B13" s="169">
        <f>SUM(B10:B12)</f>
        <v>22225572.099999994</v>
      </c>
      <c r="C13" s="169">
        <f>SUM(C10:C12)</f>
        <v>10683440.789999999</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9454375.1899999995</v>
      </c>
      <c r="C18" s="167">
        <f>'DOE25'!G199+'DOE25'!G217+'DOE25'!G235+'DOE25'!G278+'DOE25'!G297+'DOE25'!G316</f>
        <v>4037214.51</v>
      </c>
    </row>
    <row r="19" spans="1:3" x14ac:dyDescent="0.2">
      <c r="A19" t="s">
        <v>775</v>
      </c>
      <c r="B19" s="177">
        <v>5123436.09</v>
      </c>
      <c r="C19" s="177">
        <f>B19/B18*C18</f>
        <v>2187813.5897847381</v>
      </c>
    </row>
    <row r="20" spans="1:3" x14ac:dyDescent="0.2">
      <c r="A20" t="s">
        <v>776</v>
      </c>
      <c r="B20" s="177">
        <v>3698632.38</v>
      </c>
      <c r="C20" s="177">
        <f>B20/B18*C18</f>
        <v>1579392.8220117351</v>
      </c>
    </row>
    <row r="21" spans="1:3" x14ac:dyDescent="0.2">
      <c r="A21" t="s">
        <v>777</v>
      </c>
      <c r="B21" s="177">
        <f>B18-B19-B20</f>
        <v>632306.71999999974</v>
      </c>
      <c r="C21" s="177">
        <f>B21/B18*C18</f>
        <v>270008.09820352664</v>
      </c>
    </row>
    <row r="22" spans="1:3" x14ac:dyDescent="0.2">
      <c r="A22" t="str">
        <f>IF(B18=B22,IF(C18=C22,"Check Total OK","Check Total Error"),"Check Total Error")</f>
        <v>Check Total OK</v>
      </c>
      <c r="B22" s="169">
        <f>SUM(B19:B21)</f>
        <v>9454375.1899999976</v>
      </c>
      <c r="C22" s="169">
        <f>SUM(C19:C21)</f>
        <v>4037214.51</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1141157.48</v>
      </c>
      <c r="C27" s="172">
        <f>'DOE25'!G200+'DOE25'!G218+'DOE25'!G236+'DOE25'!G279+'DOE25'!G298+'DOE25'!G317</f>
        <v>596538.28999999992</v>
      </c>
    </row>
    <row r="28" spans="1:3" x14ac:dyDescent="0.2">
      <c r="A28" t="s">
        <v>775</v>
      </c>
      <c r="B28" s="177">
        <v>1007364.76</v>
      </c>
      <c r="C28" s="177">
        <f>B28/B27*C27</f>
        <v>526598.35462556873</v>
      </c>
    </row>
    <row r="29" spans="1:3" x14ac:dyDescent="0.2">
      <c r="A29" t="s">
        <v>776</v>
      </c>
      <c r="B29" s="177">
        <v>21674.02</v>
      </c>
      <c r="C29" s="177">
        <f>B29/B27*C27</f>
        <v>11330.060096723722</v>
      </c>
    </row>
    <row r="30" spans="1:3" x14ac:dyDescent="0.2">
      <c r="A30" t="s">
        <v>777</v>
      </c>
      <c r="B30" s="177">
        <f>B27-B28-B29</f>
        <v>112118.69999999997</v>
      </c>
      <c r="C30" s="177">
        <f>B30/B27*C27</f>
        <v>58609.875277707484</v>
      </c>
    </row>
    <row r="31" spans="1:3" x14ac:dyDescent="0.2">
      <c r="A31" t="str">
        <f>IF(B27=B31,IF(C27=C31,"Check Total OK","Check Total Error"),"Check Total Error")</f>
        <v>Check Total OK</v>
      </c>
      <c r="B31" s="169">
        <f>SUM(B28:B30)</f>
        <v>1141157.48</v>
      </c>
      <c r="C31" s="169">
        <f>SUM(C28:C30)</f>
        <v>596538.28999999992</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1200865.6400000001</v>
      </c>
      <c r="C36" s="173">
        <f>'DOE25'!G201+'DOE25'!G219+'DOE25'!G237+'DOE25'!G280+'DOE25'!G299+'DOE25'!G318</f>
        <v>291482.91999999993</v>
      </c>
    </row>
    <row r="37" spans="1:3" x14ac:dyDescent="0.2">
      <c r="A37" t="s">
        <v>775</v>
      </c>
      <c r="B37" s="177">
        <v>48389.4</v>
      </c>
      <c r="C37" s="177">
        <f>B37/B36*C36</f>
        <v>11745.430245675107</v>
      </c>
    </row>
    <row r="38" spans="1:3" x14ac:dyDescent="0.2">
      <c r="A38" t="s">
        <v>776</v>
      </c>
      <c r="B38" s="177"/>
      <c r="C38" s="177">
        <f>B38/B36*C36</f>
        <v>0</v>
      </c>
    </row>
    <row r="39" spans="1:3" x14ac:dyDescent="0.2">
      <c r="A39" t="s">
        <v>777</v>
      </c>
      <c r="B39" s="177">
        <f>B36-B37-B38</f>
        <v>1152476.2400000002</v>
      </c>
      <c r="C39" s="177">
        <f>B39/B36*C36</f>
        <v>279737.48975432484</v>
      </c>
    </row>
    <row r="40" spans="1:3" x14ac:dyDescent="0.2">
      <c r="A40" t="str">
        <f>IF(B36=B40,IF(C36=C40,"Check Total OK","Check Total Error"),"Check Total Error")</f>
        <v>Check Total OK</v>
      </c>
      <c r="B40" s="169">
        <f>SUM(B37:B39)</f>
        <v>1200865.6400000001</v>
      </c>
      <c r="C40" s="169">
        <f>SUM(C37:C39)</f>
        <v>291482.91999999993</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Concord</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50477329.460000001</v>
      </c>
      <c r="D5" s="19">
        <f>SUM('DOE25'!L198:L201)+SUM('DOE25'!L216:L219)+SUM('DOE25'!L234:L237)-F5-G5-H5</f>
        <v>49392068.289999999</v>
      </c>
      <c r="E5" s="180"/>
      <c r="F5" s="181">
        <v>986451.91</v>
      </c>
      <c r="G5" s="19">
        <f>SUM('DOE25'!J198:J201)+SUM('DOE25'!J216:J219)+SUM('DOE25'!J234:J237)</f>
        <v>75924.7</v>
      </c>
      <c r="H5" s="19">
        <f>SUM('DOE25'!K198:K201)+SUM('DOE25'!K216:K219)+SUM('DOE25'!K234:K237)</f>
        <v>22884.560000000001</v>
      </c>
      <c r="I5" s="192"/>
    </row>
    <row r="6" spans="1:9" x14ac:dyDescent="0.2">
      <c r="A6" s="31">
        <v>2100</v>
      </c>
      <c r="B6" t="s">
        <v>796</v>
      </c>
      <c r="C6" s="206">
        <f t="shared" si="0"/>
        <v>7791269.8399999989</v>
      </c>
      <c r="D6" s="19">
        <f>'DOE25'!L203+'DOE25'!L221+'DOE25'!L239-F6-G6-H6</f>
        <v>7458874.2999999989</v>
      </c>
      <c r="E6" s="180"/>
      <c r="F6" s="181">
        <v>310056.37</v>
      </c>
      <c r="G6" s="19">
        <f>'DOE25'!J203+'DOE25'!J221+'DOE25'!J239</f>
        <v>15805.67</v>
      </c>
      <c r="H6" s="19">
        <f>'DOE25'!K203+'DOE25'!K221+'DOE25'!K239</f>
        <v>6533.5</v>
      </c>
      <c r="I6" s="192"/>
    </row>
    <row r="7" spans="1:9" x14ac:dyDescent="0.2">
      <c r="A7" s="31">
        <v>2200</v>
      </c>
      <c r="B7" t="s">
        <v>821</v>
      </c>
      <c r="C7" s="206">
        <f t="shared" si="0"/>
        <v>4262018.83</v>
      </c>
      <c r="D7" s="19">
        <f>'DOE25'!L204+'DOE25'!L222+'DOE25'!L240-F7-G7-H7</f>
        <v>3303631.58</v>
      </c>
      <c r="E7" s="180"/>
      <c r="F7" s="181"/>
      <c r="G7" s="19">
        <f>'DOE25'!J204+'DOE25'!J222+'DOE25'!J240</f>
        <v>952010.62000000011</v>
      </c>
      <c r="H7" s="19">
        <f>'DOE25'!K204+'DOE25'!K222+'DOE25'!K240</f>
        <v>6376.63</v>
      </c>
      <c r="I7" s="192"/>
    </row>
    <row r="8" spans="1:9" x14ac:dyDescent="0.2">
      <c r="A8" s="31">
        <v>2300</v>
      </c>
      <c r="B8" t="s">
        <v>797</v>
      </c>
      <c r="C8" s="206">
        <f t="shared" si="0"/>
        <v>233299.79999999973</v>
      </c>
      <c r="D8" s="180"/>
      <c r="E8" s="19">
        <f>'DOE25'!L205+'DOE25'!L223+'DOE25'!L241-F8-G8-H8-D9-D11</f>
        <v>189524.45999999973</v>
      </c>
      <c r="F8" s="181"/>
      <c r="G8" s="19">
        <f>'DOE25'!J205+'DOE25'!J223+'DOE25'!J241</f>
        <v>27040</v>
      </c>
      <c r="H8" s="19">
        <f>'DOE25'!K205+'DOE25'!K223+'DOE25'!K241</f>
        <v>16735.34</v>
      </c>
      <c r="I8" s="192"/>
    </row>
    <row r="9" spans="1:9" ht="14.25" x14ac:dyDescent="0.2">
      <c r="A9" s="31">
        <v>2310</v>
      </c>
      <c r="B9" s="71" t="s">
        <v>888</v>
      </c>
      <c r="C9" s="206">
        <f t="shared" si="0"/>
        <v>75171.61</v>
      </c>
      <c r="D9" s="181">
        <v>75171.61</v>
      </c>
      <c r="E9" s="180"/>
      <c r="F9" s="180"/>
      <c r="G9" s="180"/>
      <c r="H9" s="180"/>
      <c r="I9" s="192"/>
    </row>
    <row r="10" spans="1:9" ht="14.25" x14ac:dyDescent="0.2">
      <c r="A10" s="31">
        <v>2317</v>
      </c>
      <c r="B10" s="71" t="s">
        <v>889</v>
      </c>
      <c r="C10" s="206">
        <f t="shared" si="0"/>
        <v>48150</v>
      </c>
      <c r="D10" s="180"/>
      <c r="E10" s="181">
        <v>48150</v>
      </c>
      <c r="F10" s="180"/>
      <c r="G10" s="180"/>
      <c r="H10" s="180"/>
      <c r="I10" s="192"/>
    </row>
    <row r="11" spans="1:9" ht="14.25" x14ac:dyDescent="0.2">
      <c r="A11" s="31">
        <v>2321</v>
      </c>
      <c r="B11" s="71" t="s">
        <v>890</v>
      </c>
      <c r="C11" s="206">
        <f t="shared" si="0"/>
        <v>878317.85000000009</v>
      </c>
      <c r="D11" s="181">
        <f>659047.16+219270.69</f>
        <v>878317.85000000009</v>
      </c>
      <c r="E11" s="180"/>
      <c r="F11" s="180"/>
      <c r="G11" s="180"/>
      <c r="H11" s="180"/>
      <c r="I11" s="192"/>
    </row>
    <row r="12" spans="1:9" x14ac:dyDescent="0.2">
      <c r="A12" s="31">
        <v>2400</v>
      </c>
      <c r="B12" t="s">
        <v>711</v>
      </c>
      <c r="C12" s="206">
        <f t="shared" si="0"/>
        <v>5339668.1899999995</v>
      </c>
      <c r="D12" s="19">
        <f>'DOE25'!L206+'DOE25'!L224+'DOE25'!L242-F12-G12-H12</f>
        <v>5316321.5599999996</v>
      </c>
      <c r="E12" s="180"/>
      <c r="F12" s="181"/>
      <c r="G12" s="19">
        <f>'DOE25'!J206+'DOE25'!J224+'DOE25'!J242</f>
        <v>3891.63</v>
      </c>
      <c r="H12" s="19">
        <f>'DOE25'!K206+'DOE25'!K224+'DOE25'!K242</f>
        <v>19455</v>
      </c>
      <c r="I12" s="192"/>
    </row>
    <row r="13" spans="1:9" x14ac:dyDescent="0.2">
      <c r="A13" s="31">
        <v>2500</v>
      </c>
      <c r="B13" t="s">
        <v>798</v>
      </c>
      <c r="C13" s="206">
        <f t="shared" si="0"/>
        <v>1038046.5700000001</v>
      </c>
      <c r="D13" s="180"/>
      <c r="E13" s="19">
        <f>'DOE25'!L207+'DOE25'!L225+'DOE25'!L243-F13-G13-H13</f>
        <v>1009370.03</v>
      </c>
      <c r="F13" s="181"/>
      <c r="G13" s="19">
        <f>'DOE25'!J207+'DOE25'!J225+'DOE25'!J243</f>
        <v>3868.54</v>
      </c>
      <c r="H13" s="19">
        <f>'DOE25'!K207+'DOE25'!K225+'DOE25'!K243</f>
        <v>24808</v>
      </c>
      <c r="I13" s="192"/>
    </row>
    <row r="14" spans="1:9" x14ac:dyDescent="0.2">
      <c r="A14" s="31">
        <v>2600</v>
      </c>
      <c r="B14" t="s">
        <v>819</v>
      </c>
      <c r="C14" s="206">
        <f t="shared" si="0"/>
        <v>6824003.9299999997</v>
      </c>
      <c r="D14" s="19">
        <f>'DOE25'!L208+'DOE25'!L226+'DOE25'!L244-F14-G14-H14</f>
        <v>6222539.9099999992</v>
      </c>
      <c r="E14" s="180"/>
      <c r="F14" s="181">
        <v>390019.33</v>
      </c>
      <c r="G14" s="19">
        <f>'DOE25'!J208+'DOE25'!J226+'DOE25'!J244</f>
        <v>211314.69</v>
      </c>
      <c r="H14" s="19">
        <f>'DOE25'!K208+'DOE25'!K226+'DOE25'!K244</f>
        <v>130</v>
      </c>
      <c r="I14" s="192"/>
    </row>
    <row r="15" spans="1:9" x14ac:dyDescent="0.2">
      <c r="A15" s="31">
        <v>2700</v>
      </c>
      <c r="B15" t="s">
        <v>799</v>
      </c>
      <c r="C15" s="206">
        <f t="shared" si="0"/>
        <v>3366459.3200000003</v>
      </c>
      <c r="D15" s="19">
        <f>'DOE25'!L209+'DOE25'!L227+'DOE25'!L245-F15-G15-H15</f>
        <v>3363624.8800000004</v>
      </c>
      <c r="E15" s="180"/>
      <c r="F15" s="181"/>
      <c r="G15" s="19">
        <f>'DOE25'!J209+'DOE25'!J227+'DOE25'!J245</f>
        <v>0</v>
      </c>
      <c r="H15" s="19">
        <f>'DOE25'!K209+'DOE25'!K227+'DOE25'!K245</f>
        <v>2834.44</v>
      </c>
      <c r="I15" s="192"/>
    </row>
    <row r="16" spans="1:9" x14ac:dyDescent="0.2">
      <c r="A16" s="31">
        <v>2800</v>
      </c>
      <c r="B16" t="s">
        <v>800</v>
      </c>
      <c r="C16" s="206">
        <f t="shared" si="0"/>
        <v>735211.35</v>
      </c>
      <c r="D16" s="180"/>
      <c r="E16" s="19">
        <f>'DOE25'!L210+'DOE25'!L228+'DOE25'!L246-F16-G16-H16</f>
        <v>670406.35</v>
      </c>
      <c r="F16" s="181">
        <v>64805</v>
      </c>
      <c r="G16" s="19">
        <f>'DOE25'!J210+'DOE25'!J228+'DOE25'!J246</f>
        <v>0</v>
      </c>
      <c r="H16" s="19">
        <f>'DOE25'!K210+'DOE25'!K228+'DOE25'!K246</f>
        <v>0</v>
      </c>
      <c r="I16" s="192"/>
    </row>
    <row r="17" spans="1:9" x14ac:dyDescent="0.2">
      <c r="A17" s="31">
        <v>1600</v>
      </c>
      <c r="B17" t="s">
        <v>801</v>
      </c>
      <c r="C17" s="206">
        <f t="shared" si="0"/>
        <v>85437.04</v>
      </c>
      <c r="D17" s="19">
        <f>'DOE25'!L252-F17-G17-H17</f>
        <v>85223.25</v>
      </c>
      <c r="E17" s="180"/>
      <c r="F17" s="181"/>
      <c r="G17" s="19">
        <f>'DOE25'!J252</f>
        <v>213.79</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770464.87</v>
      </c>
      <c r="D22" s="180"/>
      <c r="E22" s="180"/>
      <c r="F22" s="180"/>
      <c r="G22" s="19">
        <f>'DOE25'!L256+'DOE25'!L337</f>
        <v>770464.87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4828341.5</v>
      </c>
      <c r="D25" s="180"/>
      <c r="E25" s="180"/>
      <c r="F25" s="191"/>
      <c r="G25" s="180"/>
      <c r="H25" s="180"/>
      <c r="I25" s="190">
        <f>'DOE25'!L261+'DOE25'!L262+'DOE25'!L342+'DOE25'!L343</f>
        <v>4828341.5</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1040572.44</v>
      </c>
      <c r="D29" s="212">
        <f>'DOE25'!L359+'DOE25'!L360+'DOE25'!L361-'DOE25'!I368-F29-G29-H29</f>
        <v>1038787.44</v>
      </c>
      <c r="E29" s="180"/>
      <c r="F29" s="181"/>
      <c r="G29" s="19">
        <f>'DOE25'!J359+'DOE25'!J360+'DOE25'!J361</f>
        <v>0</v>
      </c>
      <c r="H29" s="19">
        <f>'DOE25'!K359+'DOE25'!K360+'DOE25'!K361</f>
        <v>1785</v>
      </c>
      <c r="I29" s="192"/>
    </row>
    <row r="30" spans="1:9" x14ac:dyDescent="0.2">
      <c r="A30" s="31"/>
      <c r="C30" s="207"/>
      <c r="D30" s="19"/>
      <c r="F30" s="201"/>
      <c r="G30" s="19"/>
      <c r="H30" s="19"/>
      <c r="I30" s="192"/>
    </row>
    <row r="31" spans="1:9" x14ac:dyDescent="0.2">
      <c r="A31" s="31" t="s">
        <v>818</v>
      </c>
      <c r="B31" t="s">
        <v>817</v>
      </c>
      <c r="C31" s="206">
        <f>SUM(D31:I31)</f>
        <v>7200283.3900000006</v>
      </c>
      <c r="D31" s="19">
        <f>'DOE25'!L291+'DOE25'!L310+'DOE25'!L329+'DOE25'!L334+'DOE25'!L335+'DOE25'!L336-F31-G31-H31</f>
        <v>6971042.4300000006</v>
      </c>
      <c r="E31" s="180"/>
      <c r="F31" s="181">
        <v>168034.34</v>
      </c>
      <c r="G31" s="19">
        <f>'DOE25'!J291+'DOE25'!J310+'DOE25'!J329+'DOE25'!J334+'DOE25'!J335+'DOE25'!J336</f>
        <v>60967.62</v>
      </c>
      <c r="H31" s="19">
        <f>'DOE25'!K291+'DOE25'!K310+'DOE25'!K329+'DOE25'!K334+'DOE25'!K335+'DOE25'!K336</f>
        <v>239</v>
      </c>
      <c r="I31" s="192"/>
    </row>
    <row r="32" spans="1:9" ht="12" thickBot="1" x14ac:dyDescent="0.25">
      <c r="C32" s="207"/>
      <c r="G32" s="188"/>
      <c r="H32" s="188"/>
      <c r="I32" s="194"/>
    </row>
    <row r="33" spans="1:9" ht="12" thickTop="1" x14ac:dyDescent="0.2">
      <c r="B33" t="s">
        <v>809</v>
      </c>
      <c r="D33" s="182">
        <f t="shared" ref="D33:I33" si="1">SUM(D5:D31)</f>
        <v>84105603.099999994</v>
      </c>
      <c r="E33" s="182">
        <f t="shared" si="1"/>
        <v>1917450.8399999999</v>
      </c>
      <c r="F33" s="182">
        <f t="shared" si="1"/>
        <v>1919366.9500000002</v>
      </c>
      <c r="G33" s="182">
        <f t="shared" si="1"/>
        <v>2121502.1300000004</v>
      </c>
      <c r="H33" s="182">
        <f t="shared" si="1"/>
        <v>101781.47</v>
      </c>
      <c r="I33" s="182">
        <f t="shared" si="1"/>
        <v>4828341.5</v>
      </c>
    </row>
    <row r="35" spans="1:9" ht="12" thickBot="1" x14ac:dyDescent="0.25">
      <c r="B35" s="188" t="s">
        <v>831</v>
      </c>
      <c r="D35" s="189">
        <f>E33</f>
        <v>1917450.8399999999</v>
      </c>
      <c r="E35" s="185"/>
      <c r="F35" s="255" t="s">
        <v>1617</v>
      </c>
      <c r="G35" s="256"/>
      <c r="H35" s="256"/>
      <c r="I35" s="256"/>
    </row>
    <row r="36" spans="1:9" ht="12" thickTop="1" x14ac:dyDescent="0.2">
      <c r="B36" t="s">
        <v>810</v>
      </c>
      <c r="D36" s="19">
        <f>D33</f>
        <v>84105603.099999994</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E14" sqref="E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Concord</v>
      </c>
      <c r="B2">
        <f>'DOE25'!B2</f>
        <v>111</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39951608.920000002</v>
      </c>
      <c r="G4" s="229">
        <f>'DOE25'!L212+'DOE25'!L291</f>
        <v>39951608.920000002</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10955588.82</v>
      </c>
      <c r="E5" s="220">
        <v>1754946.84</v>
      </c>
      <c r="F5" s="232">
        <f>D5+E5</f>
        <v>12710535.66</v>
      </c>
      <c r="G5" s="223"/>
      <c r="H5" s="223"/>
      <c r="I5" s="311"/>
      <c r="N5"/>
    </row>
    <row r="6" spans="1:18" x14ac:dyDescent="0.2">
      <c r="A6" t="str" cm="1">
        <f t="array" ref="A6">IFERROR(INDEX('School Tables'!$A$4:$G$325,'School Tables'!$J4,3),"")</f>
        <v>Abbot-Downing School</v>
      </c>
      <c r="B6" s="230">
        <f>IFERROR(VLOOKUP(A6,'School Tables'!$C$3:$D$365,2,FALSE),"")</f>
        <v>20240</v>
      </c>
      <c r="C6" s="223" t="str">
        <f>IFERROR(INDEX('School Tables'!$B$3:$B$365,MATCH('School Level Expenditures'!B6,'School Tables'!$D$3:$D$365,0)),"")</f>
        <v>Concord</v>
      </c>
      <c r="D6" s="220">
        <v>4585350.33</v>
      </c>
      <c r="E6" s="220">
        <v>608013.99</v>
      </c>
      <c r="F6" s="232">
        <f t="shared" ref="F6:F20" si="0">D6+E6</f>
        <v>5193364.32</v>
      </c>
      <c r="G6" s="223"/>
      <c r="H6" s="223"/>
      <c r="I6" s="311"/>
      <c r="N6"/>
    </row>
    <row r="7" spans="1:18" x14ac:dyDescent="0.2">
      <c r="A7" t="str" cm="1">
        <f t="array" ref="A7">IFERROR(INDEX('School Tables'!$A$4:$G$325,'School Tables'!$J5,3),"")</f>
        <v>Beaver Meadow School</v>
      </c>
      <c r="B7" s="230">
        <f>IFERROR(VLOOKUP(A7,'School Tables'!$C$3:$D$365,2,FALSE),"")</f>
        <v>26490</v>
      </c>
      <c r="C7" s="223" t="str">
        <f>IFERROR(INDEX('School Tables'!$B$3:$B$365,MATCH('School Level Expenditures'!B7,'School Tables'!$D$3:$D$365,0)),"")</f>
        <v>Concord</v>
      </c>
      <c r="D7" s="220">
        <v>4627431.03</v>
      </c>
      <c r="E7" s="220">
        <v>472059.18</v>
      </c>
      <c r="F7" s="232">
        <f t="shared" si="0"/>
        <v>5099490.21</v>
      </c>
      <c r="G7" s="223"/>
      <c r="H7" s="223"/>
      <c r="I7" s="268"/>
      <c r="N7"/>
    </row>
    <row r="8" spans="1:18" x14ac:dyDescent="0.2">
      <c r="A8" t="str" cm="1">
        <f t="array" ref="A8">IFERROR(INDEX('School Tables'!$A$4:$G$325,'School Tables'!$J6,3),"")</f>
        <v>Broken Ground School</v>
      </c>
      <c r="B8" s="230">
        <f>IFERROR(VLOOKUP(A8,'School Tables'!$C$3:$D$365,2,FALSE),"")</f>
        <v>20260</v>
      </c>
      <c r="C8" s="223" t="str">
        <f>IFERROR(INDEX('School Tables'!$B$3:$B$365,MATCH('School Level Expenditures'!B8,'School Tables'!$D$3:$D$365,0)),"")</f>
        <v>Concord</v>
      </c>
      <c r="D8" s="220">
        <v>4964960.82</v>
      </c>
      <c r="E8" s="220">
        <v>468210.24</v>
      </c>
      <c r="F8" s="232">
        <f t="shared" si="0"/>
        <v>5433171.0600000005</v>
      </c>
      <c r="G8" s="223"/>
      <c r="H8" s="223"/>
      <c r="I8" s="268"/>
      <c r="N8"/>
    </row>
    <row r="9" spans="1:18" x14ac:dyDescent="0.2">
      <c r="A9" t="str" cm="1">
        <f t="array" ref="A9">IFERROR(INDEX('School Tables'!$A$4:$G$325,'School Tables'!$J7,3),"")</f>
        <v>Christa McAuliffe School</v>
      </c>
      <c r="B9" s="230">
        <f>IFERROR(VLOOKUP(A9,'School Tables'!$C$3:$D$365,2,FALSE),"")</f>
        <v>20305</v>
      </c>
      <c r="C9" s="223" t="str">
        <f>IFERROR(INDEX('School Tables'!$B$3:$B$365,MATCH('School Level Expenditures'!B9,'School Tables'!$D$3:$D$365,0)),"")</f>
        <v>Concord</v>
      </c>
      <c r="D9" s="220">
        <v>4865078.5</v>
      </c>
      <c r="E9" s="220">
        <v>883399.85</v>
      </c>
      <c r="F9" s="232">
        <f t="shared" si="0"/>
        <v>5748478.3499999996</v>
      </c>
      <c r="G9" s="223"/>
      <c r="H9" s="223"/>
      <c r="I9" s="268"/>
      <c r="N9"/>
    </row>
    <row r="10" spans="1:18" x14ac:dyDescent="0.2">
      <c r="A10" t="str" cm="1">
        <f t="array" ref="A10">IFERROR(INDEX('School Tables'!$A$4:$G$325,'School Tables'!$J8,3),"")</f>
        <v>Mill Brook School</v>
      </c>
      <c r="B10" s="230">
        <f>IFERROR(VLOOKUP(A10,'School Tables'!$C$3:$D$365,2,FALSE),"")</f>
        <v>20250</v>
      </c>
      <c r="C10" s="223" t="str">
        <f>IFERROR(INDEX('School Tables'!$B$3:$B$365,MATCH('School Level Expenditures'!B10,'School Tables'!$D$3:$D$365,0)),"")</f>
        <v>Concord</v>
      </c>
      <c r="D10" s="220">
        <v>5029718.0999999996</v>
      </c>
      <c r="E10" s="220">
        <v>736851.22</v>
      </c>
      <c r="F10" s="232">
        <f t="shared" si="0"/>
        <v>5766569.3199999994</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35028127.600000001</v>
      </c>
      <c r="E21" s="265">
        <f>SUM(E5:E20)</f>
        <v>4923481.32</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16899957.579999998</v>
      </c>
      <c r="G24" s="229">
        <f>'DOE25'!L230+'DOE25'!L310</f>
        <v>16899957.579999998</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Rundlett Middle School</v>
      </c>
      <c r="B26" s="230">
        <f>IFERROR(VLOOKUP(A26,'School Tables'!$N$4:$O$75,2,FALSE),"")</f>
        <v>20270</v>
      </c>
      <c r="C26" s="223" t="str">
        <f>IFERROR(INDEX('School Tables'!$M$4:$M$75,MATCH('School Level Expenditures'!A26,'School Tables'!$N$4:$N$75,0)),"")</f>
        <v>Concord</v>
      </c>
      <c r="D26" s="220">
        <v>16065667.67</v>
      </c>
      <c r="E26" s="220">
        <v>834289.91</v>
      </c>
      <c r="F26" s="232">
        <f t="shared" ref="F26:F32" si="1">D26+E26</f>
        <v>16899957.579999998</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16065667.67</v>
      </c>
      <c r="E33" s="265">
        <f>SUM(E25:E32)</f>
        <v>834289.91</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31355001.710000001</v>
      </c>
      <c r="G36" s="229">
        <f>'DOE25'!L248+'DOE25'!L329</f>
        <v>31355001.709999997</v>
      </c>
      <c r="H36" s="267">
        <f>F36-G36</f>
        <v>0</v>
      </c>
      <c r="I36" s="310" t="str">
        <f>IF(H36=0,"","ISSUES!! Please review page 9 and 13 totals in comparison with total on this page")</f>
        <v/>
      </c>
      <c r="N36"/>
    </row>
    <row r="37" spans="1:14" x14ac:dyDescent="0.2">
      <c r="A37" t="s">
        <v>1548</v>
      </c>
      <c r="B37" s="230">
        <v>99999</v>
      </c>
      <c r="C37" s="223" t="s">
        <v>1548</v>
      </c>
      <c r="D37" s="220"/>
      <c r="E37" s="220"/>
      <c r="F37" s="232">
        <f t="shared" ref="F37:F42" si="2">D37+E37</f>
        <v>0</v>
      </c>
      <c r="G37" s="223"/>
      <c r="H37" s="223"/>
      <c r="I37" s="311"/>
      <c r="N37"/>
    </row>
    <row r="38" spans="1:14" x14ac:dyDescent="0.2">
      <c r="A38" t="str" cm="1">
        <f t="array" ref="A38">IFERROR(INDEX('School Tables'!$W$4:$AC$100,'School Tables'!$AF4,3),"")</f>
        <v>Concord High School</v>
      </c>
      <c r="B38" s="230">
        <f>IFERROR(VLOOKUP(A38,'School Tables'!$Y$4:$Z$100,2,FALSE),"")</f>
        <v>20285</v>
      </c>
      <c r="C38" s="223" t="str">
        <f>IFERROR(INDEX('School Tables'!$X$4:$X$100,MATCH('School Level Expenditures'!A38,'School Tables'!$Y$4:$Y$100,0)),"")</f>
        <v>Concord</v>
      </c>
      <c r="D38" s="220">
        <v>29927001.48</v>
      </c>
      <c r="E38" s="220">
        <v>1428000.23</v>
      </c>
      <c r="F38" s="232">
        <f t="shared" si="2"/>
        <v>31355001.710000001</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29927001.48</v>
      </c>
      <c r="E43" s="266">
        <f>SUM(E37:E42)</f>
        <v>1428000.23</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18" zoomScale="80" zoomScaleNormal="80" workbookViewId="0">
      <selection activeCell="G11" sqref="G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Concord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1430009.1</v>
      </c>
      <c r="D8" s="73">
        <f>'DOE25'!G9</f>
        <v>798061.48</v>
      </c>
      <c r="E8" s="73">
        <f>'DOE25'!H9</f>
        <v>-200340.99</v>
      </c>
      <c r="F8" s="73">
        <f>'DOE25'!I9</f>
        <v>191166.04</v>
      </c>
      <c r="G8" s="73">
        <f>'DOE25'!J9</f>
        <v>0</v>
      </c>
      <c r="H8" s="90"/>
      <c r="I8" s="90"/>
    </row>
    <row r="9" spans="1:9" x14ac:dyDescent="0.2">
      <c r="A9" s="1" t="s">
        <v>140</v>
      </c>
      <c r="B9" s="6">
        <v>110</v>
      </c>
      <c r="C9" s="73">
        <f>'DOE25'!F10</f>
        <v>191.38</v>
      </c>
      <c r="D9" s="73">
        <f>'DOE25'!G10</f>
        <v>0</v>
      </c>
      <c r="E9" s="73">
        <f>'DOE25'!H10</f>
        <v>0</v>
      </c>
      <c r="F9" s="73">
        <f>'DOE25'!I10</f>
        <v>3751.56</v>
      </c>
      <c r="G9" s="73">
        <f>'DOE25'!J10</f>
        <v>16067749.979999999</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135863701.94999999</v>
      </c>
      <c r="D11" s="73">
        <f>'DOE25'!G12</f>
        <v>6884107.6200000001</v>
      </c>
      <c r="E11" s="73">
        <f>'DOE25'!H12</f>
        <v>61472960.200000003</v>
      </c>
      <c r="F11" s="73">
        <f>'DOE25'!I12</f>
        <v>67576312.769999996</v>
      </c>
      <c r="G11" s="73">
        <f>'DOE25'!J12</f>
        <v>-1703884.8</v>
      </c>
      <c r="H11" s="90"/>
      <c r="I11" s="90"/>
    </row>
    <row r="12" spans="1:9" x14ac:dyDescent="0.2">
      <c r="A12" s="1" t="s">
        <v>143</v>
      </c>
      <c r="B12" s="6">
        <v>140</v>
      </c>
      <c r="C12" s="73">
        <f>'DOE25'!F13</f>
        <v>0</v>
      </c>
      <c r="D12" s="73">
        <f>'DOE25'!G13</f>
        <v>0</v>
      </c>
      <c r="E12" s="73">
        <f>'DOE25'!H13</f>
        <v>0</v>
      </c>
      <c r="F12" s="73">
        <f>'DOE25'!I13</f>
        <v>0</v>
      </c>
      <c r="G12" s="73">
        <f>'DOE25'!J13</f>
        <v>0</v>
      </c>
      <c r="H12" s="90"/>
      <c r="I12" s="90"/>
    </row>
    <row r="13" spans="1:9" x14ac:dyDescent="0.2">
      <c r="A13" s="1" t="s">
        <v>144</v>
      </c>
      <c r="B13" s="6">
        <v>150</v>
      </c>
      <c r="C13" s="73">
        <f>'DOE25'!F14</f>
        <v>4171676.86</v>
      </c>
      <c r="D13" s="73">
        <f>'DOE25'!G14</f>
        <v>588343.05000000005</v>
      </c>
      <c r="E13" s="73">
        <f>'DOE25'!H14</f>
        <v>4518761.71</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76048.570000000007</v>
      </c>
      <c r="E15" s="73">
        <f>'DOE25'!H16</f>
        <v>0</v>
      </c>
      <c r="F15" s="73">
        <f>'DOE25'!I16</f>
        <v>0</v>
      </c>
      <c r="G15" s="23" t="s">
        <v>288</v>
      </c>
      <c r="H15" s="90"/>
      <c r="I15" s="90"/>
    </row>
    <row r="16" spans="1:9" x14ac:dyDescent="0.2">
      <c r="A16" s="1" t="s">
        <v>147</v>
      </c>
      <c r="B16" s="6">
        <v>180</v>
      </c>
      <c r="C16" s="73">
        <f>'DOE25'!F17</f>
        <v>558403.26</v>
      </c>
      <c r="D16" s="73">
        <f>'DOE25'!G17</f>
        <v>0</v>
      </c>
      <c r="E16" s="73">
        <f>'DOE25'!H17</f>
        <v>0</v>
      </c>
      <c r="F16" s="73">
        <f>'DOE25'!I17</f>
        <v>0</v>
      </c>
      <c r="G16" s="73">
        <f>'DOE25'!J17</f>
        <v>0</v>
      </c>
      <c r="H16" s="90"/>
      <c r="I16" s="90"/>
    </row>
    <row r="17" spans="1:9" ht="12" thickBot="1" x14ac:dyDescent="0.25">
      <c r="A17" s="1" t="s">
        <v>148</v>
      </c>
      <c r="B17" s="6">
        <v>190</v>
      </c>
      <c r="C17" s="73">
        <f>'DOE25'!F18</f>
        <v>118700</v>
      </c>
      <c r="D17" s="73">
        <f>'DOE25'!G18</f>
        <v>0</v>
      </c>
      <c r="E17" s="73">
        <f>'DOE25'!H18</f>
        <v>0</v>
      </c>
      <c r="F17" s="73">
        <f>'DOE25'!I18</f>
        <v>0</v>
      </c>
      <c r="G17" s="73">
        <f>'DOE25'!J18</f>
        <v>0</v>
      </c>
      <c r="H17" s="90"/>
      <c r="I17" s="90"/>
    </row>
    <row r="18" spans="1:9" ht="12" thickTop="1" x14ac:dyDescent="0.2">
      <c r="A18" s="35" t="s">
        <v>149</v>
      </c>
      <c r="B18" s="36"/>
      <c r="C18" s="38">
        <f>SUM(C8:C17)</f>
        <v>142142682.54999998</v>
      </c>
      <c r="D18" s="38">
        <f>SUM(D8:D17)</f>
        <v>8346560.7199999997</v>
      </c>
      <c r="E18" s="38">
        <f>SUM(E8:E17)</f>
        <v>65791380.920000002</v>
      </c>
      <c r="F18" s="38">
        <f>SUM(F8:F17)</f>
        <v>67771230.36999999</v>
      </c>
      <c r="G18" s="38">
        <f>SUM(G8:G17)</f>
        <v>14363865.179999998</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134515979.94999999</v>
      </c>
      <c r="D21" s="73">
        <f>'DOE25'!G22</f>
        <v>7060930.6699999999</v>
      </c>
      <c r="E21" s="73">
        <f>'DOE25'!H22</f>
        <v>65350184.600000001</v>
      </c>
      <c r="F21" s="73">
        <f>'DOE25'!I22</f>
        <v>67788904.640000001</v>
      </c>
      <c r="G21" s="73">
        <f>'DOE25'!J22</f>
        <v>-4623022.09</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0</v>
      </c>
      <c r="D23" s="73">
        <f>'DOE25'!G24</f>
        <v>0</v>
      </c>
      <c r="E23" s="73">
        <f>'DOE25'!H24</f>
        <v>0</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845192.39</v>
      </c>
      <c r="D27" s="73">
        <f>'DOE25'!G28</f>
        <v>3575.37</v>
      </c>
      <c r="E27" s="73">
        <f>'DOE25'!H28</f>
        <v>73369.67</v>
      </c>
      <c r="F27" s="73">
        <f>'DOE25'!I28</f>
        <v>0</v>
      </c>
      <c r="G27" s="23" t="s">
        <v>288</v>
      </c>
      <c r="H27" s="90"/>
      <c r="I27" s="90"/>
    </row>
    <row r="28" spans="1:9" x14ac:dyDescent="0.2">
      <c r="A28" s="1" t="s">
        <v>157</v>
      </c>
      <c r="B28" s="6">
        <v>470</v>
      </c>
      <c r="C28" s="73">
        <f>'DOE25'!F29</f>
        <v>2485401.04</v>
      </c>
      <c r="D28" s="73">
        <f>'DOE25'!G29</f>
        <v>0</v>
      </c>
      <c r="E28" s="73">
        <f>'DOE25'!H29</f>
        <v>0</v>
      </c>
      <c r="F28" s="73">
        <f>'DOE25'!I29</f>
        <v>0</v>
      </c>
      <c r="G28" s="23" t="s">
        <v>288</v>
      </c>
      <c r="H28" s="90"/>
      <c r="I28" s="90"/>
    </row>
    <row r="29" spans="1:9" x14ac:dyDescent="0.2">
      <c r="A29" s="1" t="s">
        <v>158</v>
      </c>
      <c r="B29" s="6">
        <v>480</v>
      </c>
      <c r="C29" s="73">
        <f>'DOE25'!F30</f>
        <v>18155</v>
      </c>
      <c r="D29" s="73">
        <f>'DOE25'!G30</f>
        <v>49734.34</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137864728.37999997</v>
      </c>
      <c r="D31" s="38">
        <f>SUM(D21:D30)</f>
        <v>7114240.3799999999</v>
      </c>
      <c r="E31" s="38">
        <f>SUM(E21:E30)</f>
        <v>65423554.270000003</v>
      </c>
      <c r="F31" s="38">
        <f>SUM(F21:F30)</f>
        <v>67788904.640000001</v>
      </c>
      <c r="G31" s="38">
        <f>SUM(G21:G30)</f>
        <v>-4623022.09</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2177554.87</v>
      </c>
      <c r="D44" s="73">
        <f>'DOE25'!G45</f>
        <v>37100.89</v>
      </c>
      <c r="E44" s="73">
        <f>'DOE25'!H45</f>
        <v>529413.12</v>
      </c>
      <c r="F44" s="73">
        <f>'DOE25'!I45</f>
        <v>29133.16</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1195219.45</v>
      </c>
      <c r="E47" s="73">
        <f>'DOE25'!H48</f>
        <v>-161586.46999999974</v>
      </c>
      <c r="F47" s="73">
        <f>'DOE25'!I48</f>
        <v>-46807.429999996442</v>
      </c>
      <c r="G47" s="73">
        <f>'DOE25'!J48</f>
        <v>18986887.27</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2100399.2999999998</v>
      </c>
      <c r="D49" s="23" t="s">
        <v>288</v>
      </c>
      <c r="E49" s="23" t="s">
        <v>288</v>
      </c>
      <c r="F49" s="23" t="s">
        <v>288</v>
      </c>
      <c r="G49" s="23" t="s">
        <v>288</v>
      </c>
      <c r="H49" s="90"/>
      <c r="I49" s="90"/>
    </row>
    <row r="50" spans="1:9" ht="12.75" thickTop="1" thickBot="1" x14ac:dyDescent="0.25">
      <c r="A50" s="35" t="s">
        <v>884</v>
      </c>
      <c r="B50" s="44"/>
      <c r="C50" s="38">
        <f>SUM(C34:C49)</f>
        <v>4277954.17</v>
      </c>
      <c r="D50" s="38">
        <f>SUM(D34:D49)</f>
        <v>1232320.3399999999</v>
      </c>
      <c r="E50" s="38">
        <f>SUM(E34:E49)</f>
        <v>367826.65000000026</v>
      </c>
      <c r="F50" s="38">
        <f>SUM(F34:F49)</f>
        <v>-17674.269999996442</v>
      </c>
      <c r="G50" s="38">
        <f>SUM(G34:G49)</f>
        <v>18986887.27</v>
      </c>
      <c r="H50" s="90"/>
      <c r="I50" s="90"/>
    </row>
    <row r="51" spans="1:9" ht="12" thickTop="1" x14ac:dyDescent="0.2">
      <c r="A51" s="35" t="s">
        <v>885</v>
      </c>
      <c r="B51" s="2"/>
      <c r="C51" s="38">
        <f>C50+C31</f>
        <v>142142682.54999995</v>
      </c>
      <c r="D51" s="38">
        <f>D50+D31</f>
        <v>8346560.7199999997</v>
      </c>
      <c r="E51" s="38">
        <f>E50+E31</f>
        <v>65791380.920000002</v>
      </c>
      <c r="F51" s="38">
        <f>F50+F31</f>
        <v>67771230.370000005</v>
      </c>
      <c r="G51" s="38">
        <f>G50+G31</f>
        <v>14363865.18</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57656146.880000003</v>
      </c>
      <c r="D56" s="73">
        <f>'DOE25'!G60</f>
        <v>0</v>
      </c>
      <c r="E56" s="73">
        <f>'DOE25'!H60</f>
        <v>0</v>
      </c>
      <c r="F56" s="73">
        <f>'DOE25'!I60</f>
        <v>0</v>
      </c>
      <c r="G56" s="73">
        <f>'DOE25'!J60</f>
        <v>0</v>
      </c>
      <c r="H56"/>
      <c r="I56"/>
    </row>
    <row r="57" spans="1:9" x14ac:dyDescent="0.2">
      <c r="A57" s="1" t="s">
        <v>164</v>
      </c>
      <c r="B57" s="6" t="s">
        <v>165</v>
      </c>
      <c r="C57" s="73">
        <f>'DOE25'!F79</f>
        <v>4915056.41</v>
      </c>
      <c r="D57" s="23" t="s">
        <v>288</v>
      </c>
      <c r="E57" s="73">
        <f>'DOE25'!H79</f>
        <v>0</v>
      </c>
      <c r="F57" s="23" t="s">
        <v>288</v>
      </c>
      <c r="G57" s="23" t="s">
        <v>288</v>
      </c>
      <c r="H57"/>
      <c r="I57"/>
    </row>
    <row r="58" spans="1:9" x14ac:dyDescent="0.2">
      <c r="A58" s="1" t="s">
        <v>166</v>
      </c>
      <c r="B58" s="6" t="s">
        <v>167</v>
      </c>
      <c r="C58" s="73">
        <f>'DOE25'!F94</f>
        <v>217153.91999999998</v>
      </c>
      <c r="D58" s="23" t="s">
        <v>288</v>
      </c>
      <c r="E58" s="73">
        <f>'DOE25'!H94</f>
        <v>0</v>
      </c>
      <c r="F58" s="23" t="s">
        <v>288</v>
      </c>
      <c r="G58" s="23" t="s">
        <v>288</v>
      </c>
      <c r="H58"/>
      <c r="I58"/>
    </row>
    <row r="59" spans="1:9" x14ac:dyDescent="0.2">
      <c r="A59" s="1" t="s">
        <v>168</v>
      </c>
      <c r="B59" s="6" t="s">
        <v>169</v>
      </c>
      <c r="C59" s="73">
        <f>'DOE25'!F96</f>
        <v>1781.35</v>
      </c>
      <c r="D59" s="73">
        <f>'DOE25'!G96</f>
        <v>46.44</v>
      </c>
      <c r="E59" s="73">
        <f>'DOE25'!H96</f>
        <v>0</v>
      </c>
      <c r="F59" s="73">
        <f>'DOE25'!I96</f>
        <v>164.87</v>
      </c>
      <c r="G59" s="73">
        <f>'DOE25'!J96</f>
        <v>16859.11</v>
      </c>
      <c r="H59"/>
      <c r="I59"/>
    </row>
    <row r="60" spans="1:9" x14ac:dyDescent="0.2">
      <c r="A60" s="1" t="s">
        <v>170</v>
      </c>
      <c r="B60" s="22" t="s">
        <v>171</v>
      </c>
      <c r="C60" s="23" t="s">
        <v>288</v>
      </c>
      <c r="D60" s="73">
        <f>'DOE25'!G97</f>
        <v>128255.69</v>
      </c>
      <c r="E60" s="23" t="s">
        <v>288</v>
      </c>
      <c r="F60" s="23" t="s">
        <v>288</v>
      </c>
      <c r="G60" s="23" t="s">
        <v>288</v>
      </c>
      <c r="H60"/>
      <c r="I60"/>
    </row>
    <row r="61" spans="1:9" ht="12" thickBot="1" x14ac:dyDescent="0.25">
      <c r="A61" s="1" t="s">
        <v>172</v>
      </c>
      <c r="B61" s="22" t="s">
        <v>173</v>
      </c>
      <c r="C61" s="73">
        <f>SUM('DOE25'!F98:F110)</f>
        <v>374470.75</v>
      </c>
      <c r="D61" s="73">
        <f>SUM('DOE25'!G98:G110)</f>
        <v>3074.43</v>
      </c>
      <c r="E61" s="73">
        <f>SUM('DOE25'!H98:H110)</f>
        <v>165908.39000000001</v>
      </c>
      <c r="F61" s="73">
        <f>SUM('DOE25'!I98:I110)</f>
        <v>0</v>
      </c>
      <c r="G61" s="73">
        <f>SUM('DOE25'!J98:J110)</f>
        <v>17784.13</v>
      </c>
      <c r="H61"/>
      <c r="I61"/>
    </row>
    <row r="62" spans="1:9" ht="12.75" thickTop="1" thickBot="1" x14ac:dyDescent="0.25">
      <c r="A62" s="28" t="s">
        <v>174</v>
      </c>
      <c r="B62" s="6"/>
      <c r="C62" s="93">
        <f>SUM(C57:C61)</f>
        <v>5508462.4299999997</v>
      </c>
      <c r="D62" s="93">
        <f>SUM(D57:D61)</f>
        <v>131376.56</v>
      </c>
      <c r="E62" s="93">
        <f>SUM(E57:E61)</f>
        <v>165908.39000000001</v>
      </c>
      <c r="F62" s="93">
        <f>SUM(F57:F61)</f>
        <v>164.87</v>
      </c>
      <c r="G62" s="93">
        <f>SUM(G57:G61)</f>
        <v>34643.240000000005</v>
      </c>
      <c r="H62"/>
      <c r="I62"/>
    </row>
    <row r="63" spans="1:9" ht="12" thickTop="1" x14ac:dyDescent="0.2">
      <c r="A63" s="28" t="s">
        <v>175</v>
      </c>
      <c r="B63" s="6"/>
      <c r="C63" s="21">
        <f>C56+C62</f>
        <v>63164609.310000002</v>
      </c>
      <c r="D63" s="21">
        <f>D56+D62</f>
        <v>131376.56</v>
      </c>
      <c r="E63" s="21">
        <f>E56+E62</f>
        <v>165908.39000000001</v>
      </c>
      <c r="F63" s="21">
        <f>F56+F62</f>
        <v>164.87</v>
      </c>
      <c r="G63" s="21">
        <f>G56+G62</f>
        <v>34643.240000000005</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14768031.43</v>
      </c>
      <c r="D66" s="23" t="s">
        <v>288</v>
      </c>
      <c r="E66" s="23" t="s">
        <v>288</v>
      </c>
      <c r="F66" s="23" t="s">
        <v>288</v>
      </c>
      <c r="G66" s="23" t="s">
        <v>288</v>
      </c>
      <c r="H66"/>
      <c r="I66"/>
    </row>
    <row r="67" spans="1:9" x14ac:dyDescent="0.2">
      <c r="A67" s="1" t="s">
        <v>770</v>
      </c>
      <c r="B67" s="6">
        <v>3112</v>
      </c>
      <c r="C67" s="73">
        <f>'DOE25'!F118</f>
        <v>7308384</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52540.46</v>
      </c>
      <c r="D69" s="73">
        <f>'DOE25'!G120</f>
        <v>0</v>
      </c>
      <c r="E69" s="73">
        <f>'DOE25'!H120</f>
        <v>0</v>
      </c>
      <c r="F69" s="73">
        <f>'DOE25'!I120</f>
        <v>0</v>
      </c>
      <c r="G69" s="73">
        <f>'DOE25'!J120</f>
        <v>0</v>
      </c>
      <c r="H69"/>
      <c r="I69"/>
    </row>
    <row r="70" spans="1:9" ht="12" thickTop="1" x14ac:dyDescent="0.2">
      <c r="A70" s="28" t="s">
        <v>252</v>
      </c>
      <c r="B70" s="2"/>
      <c r="C70" s="97">
        <f>SUM(C66:C69)</f>
        <v>22128955.890000001</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932752.76</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640563.85</v>
      </c>
      <c r="D75" s="23" t="s">
        <v>288</v>
      </c>
      <c r="E75" s="23" t="s">
        <v>288</v>
      </c>
      <c r="F75" s="23" t="s">
        <v>288</v>
      </c>
      <c r="G75" s="23" t="s">
        <v>288</v>
      </c>
      <c r="H75"/>
      <c r="I75"/>
    </row>
    <row r="76" spans="1:9" x14ac:dyDescent="0.2">
      <c r="A76" s="1" t="s">
        <v>257</v>
      </c>
      <c r="B76" s="6" t="s">
        <v>179</v>
      </c>
      <c r="C76" s="73">
        <f>SUM('DOE25'!F127:F130)</f>
        <v>1522605.7200000002</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27588.17</v>
      </c>
      <c r="E77" s="73">
        <f>SUM('DOE25'!H131:H135)</f>
        <v>77756.939999999988</v>
      </c>
      <c r="F77" s="73">
        <f>SUM('DOE25'!I131:I135)</f>
        <v>0</v>
      </c>
      <c r="G77" s="73">
        <f>SUM('DOE25'!J131:J135)</f>
        <v>0</v>
      </c>
      <c r="H77"/>
      <c r="I77"/>
    </row>
    <row r="78" spans="1:9" ht="12.75" thickTop="1" thickBot="1" x14ac:dyDescent="0.25">
      <c r="A78" s="28" t="s">
        <v>259</v>
      </c>
      <c r="B78" s="6"/>
      <c r="C78" s="93">
        <f>SUM(C72:C77)</f>
        <v>3095922.33</v>
      </c>
      <c r="D78" s="93">
        <f>SUM(D72:D77)</f>
        <v>27588.17</v>
      </c>
      <c r="E78" s="93">
        <f>SUM(E72:E77)</f>
        <v>77756.939999999988</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25224878.219999999</v>
      </c>
      <c r="D81" s="93">
        <f>SUM(D79:D80)+D78+D70</f>
        <v>27588.17</v>
      </c>
      <c r="E81" s="93">
        <f>SUM(E79:E80)+E78+E70</f>
        <v>77756.939999999988</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75592.12</v>
      </c>
      <c r="D85" s="73">
        <f>'DOE25'!G147</f>
        <v>97082.71</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17" t="s">
        <v>747</v>
      </c>
      <c r="B88" s="231" t="s">
        <v>184</v>
      </c>
      <c r="C88" s="253">
        <f>SUM('DOE25'!F153:F162)</f>
        <v>1577616.87</v>
      </c>
      <c r="D88" s="253">
        <f>SUM('DOE25'!G153:G162)</f>
        <v>2985623.9099999997</v>
      </c>
      <c r="E88" s="253">
        <f>SUM('DOE25'!H153:H162)</f>
        <v>7169999.04</v>
      </c>
      <c r="F88" s="253">
        <f>SUM('DOE25'!I153:I162)</f>
        <v>0</v>
      </c>
      <c r="G88" s="23" t="s">
        <v>288</v>
      </c>
    </row>
    <row r="89" spans="1:9" x14ac:dyDescent="0.2">
      <c r="A89" t="s">
        <v>748</v>
      </c>
      <c r="B89" s="31" t="s">
        <v>185</v>
      </c>
      <c r="C89" s="73">
        <f>'DOE25'!F164+'DOE25'!F167+'DOE25'!F169</f>
        <v>0</v>
      </c>
      <c r="D89" s="73">
        <f>'DOE25'!G164+'DOE25'!G169</f>
        <v>0</v>
      </c>
      <c r="E89" s="73">
        <f>'DOE25'!H164+'DOE25'!H169</f>
        <v>29668.780000000261</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1653208.9900000002</v>
      </c>
      <c r="D91" s="94">
        <f>SUM(D85:D90)</f>
        <v>3082706.6199999996</v>
      </c>
      <c r="E91" s="94">
        <f>SUM(E85:E90)</f>
        <v>7199667.8200000003</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0</v>
      </c>
      <c r="E96" s="73">
        <f>'DOE25'!H180</f>
        <v>0</v>
      </c>
      <c r="F96" s="73">
        <f>'DOE25'!I180</f>
        <v>0</v>
      </c>
      <c r="G96" s="73">
        <f>'DOE25'!J180</f>
        <v>3166348.54</v>
      </c>
    </row>
    <row r="97" spans="1:7" x14ac:dyDescent="0.2">
      <c r="A97" t="s">
        <v>754</v>
      </c>
      <c r="B97" s="31" t="s">
        <v>188</v>
      </c>
      <c r="C97" s="73">
        <f>SUM('DOE25'!F181:F182)</f>
        <v>167320.42000000001</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83671.25</v>
      </c>
      <c r="D100" s="73">
        <f>SUM('DOE25'!G187:G188)</f>
        <v>0</v>
      </c>
      <c r="E100" s="73">
        <f>SUM('DOE25'!H187:H188)</f>
        <v>0</v>
      </c>
      <c r="F100" s="73">
        <f>SUM('DOE25'!I187:I188)</f>
        <v>111943.93</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250991.67</v>
      </c>
      <c r="D103" s="68">
        <f>SUM(D93:D102)</f>
        <v>0</v>
      </c>
      <c r="E103" s="68">
        <f>SUM(E93:E102)</f>
        <v>0</v>
      </c>
      <c r="F103" s="68">
        <f>SUM(F93:F102)</f>
        <v>111943.93</v>
      </c>
      <c r="G103" s="68">
        <f>SUM(G93:G102)</f>
        <v>3166348.54</v>
      </c>
    </row>
    <row r="104" spans="1:7" ht="12.75" thickTop="1" thickBot="1" x14ac:dyDescent="0.25">
      <c r="A104" s="32" t="s">
        <v>761</v>
      </c>
      <c r="C104" s="68">
        <f>C63+C81+C91+C103</f>
        <v>90293688.189999998</v>
      </c>
      <c r="D104" s="68">
        <f>D63+D81+D91+D103</f>
        <v>3241671.3499999996</v>
      </c>
      <c r="E104" s="68">
        <f>E63+E81+E91+E103</f>
        <v>7443333.1500000004</v>
      </c>
      <c r="F104" s="68">
        <f>F63+F81+F91+F103</f>
        <v>112108.79999999999</v>
      </c>
      <c r="G104" s="68">
        <f>G63+G81+G103</f>
        <v>3200991.7800000003</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32279692.060000002</v>
      </c>
      <c r="D109" s="23" t="s">
        <v>288</v>
      </c>
      <c r="E109" s="73">
        <f>('DOE25'!L277)+('DOE25'!L296)+('DOE25'!L315)</f>
        <v>2099023.62</v>
      </c>
      <c r="F109" s="23" t="s">
        <v>288</v>
      </c>
      <c r="G109" s="23" t="s">
        <v>288</v>
      </c>
    </row>
    <row r="110" spans="1:7" x14ac:dyDescent="0.2">
      <c r="A110" t="s">
        <v>198</v>
      </c>
      <c r="B110" s="31" t="s">
        <v>199</v>
      </c>
      <c r="C110" s="73">
        <f>('DOE25'!L199)+('DOE25'!L217)+('DOE25'!L235)</f>
        <v>15283840.68</v>
      </c>
      <c r="D110" s="23" t="s">
        <v>288</v>
      </c>
      <c r="E110" s="73">
        <f>('DOE25'!L278)+('DOE25'!L297)+('DOE25'!L316)</f>
        <v>1976094.8799999997</v>
      </c>
      <c r="F110" s="23" t="s">
        <v>288</v>
      </c>
      <c r="G110" s="23" t="s">
        <v>288</v>
      </c>
    </row>
    <row r="111" spans="1:7" x14ac:dyDescent="0.2">
      <c r="A111" t="s">
        <v>200</v>
      </c>
      <c r="B111" s="31" t="s">
        <v>165</v>
      </c>
      <c r="C111" s="73">
        <f>('DOE25'!L200)+('DOE25'!L218)+('DOE25'!L236)</f>
        <v>1765454.04</v>
      </c>
      <c r="D111" s="23" t="s">
        <v>288</v>
      </c>
      <c r="E111" s="73">
        <f>('DOE25'!L279)+('DOE25'!L298)+('DOE25'!L317)</f>
        <v>186589.32</v>
      </c>
      <c r="F111" s="23" t="s">
        <v>288</v>
      </c>
      <c r="G111" s="23" t="s">
        <v>288</v>
      </c>
    </row>
    <row r="112" spans="1:7" x14ac:dyDescent="0.2">
      <c r="A112" t="s">
        <v>201</v>
      </c>
      <c r="B112" s="31" t="s">
        <v>167</v>
      </c>
      <c r="C112" s="73">
        <f>('DOE25'!L201)+('DOE25'!L219)+('DOE25'!L237)</f>
        <v>1148342.6800000002</v>
      </c>
      <c r="D112" s="23" t="s">
        <v>288</v>
      </c>
      <c r="E112" s="73">
        <f>+('DOE25'!L280)+('DOE25'!L299)+('DOE25'!L318)</f>
        <v>630717.49</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85437.04</v>
      </c>
      <c r="D114" s="23" t="s">
        <v>288</v>
      </c>
      <c r="E114" s="73">
        <f>+ SUM('DOE25'!L334:L336)</f>
        <v>14511.93</v>
      </c>
      <c r="F114" s="23" t="s">
        <v>288</v>
      </c>
      <c r="G114" s="23" t="s">
        <v>288</v>
      </c>
    </row>
    <row r="115" spans="1:7" ht="12.75" thickTop="1" thickBot="1" x14ac:dyDescent="0.25">
      <c r="A115" s="32" t="s">
        <v>205</v>
      </c>
      <c r="C115" s="68">
        <f>SUM(C109:C114)</f>
        <v>50562766.5</v>
      </c>
      <c r="D115" s="68">
        <f>SUM(D109:D114)</f>
        <v>0</v>
      </c>
      <c r="E115" s="68">
        <f>SUM(E109:E114)</f>
        <v>4906937.24</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7791269.8399999989</v>
      </c>
      <c r="D118" s="23" t="s">
        <v>288</v>
      </c>
      <c r="E118" s="73">
        <f>+('DOE25'!L282)+('DOE25'!L301)+('DOE25'!L320)</f>
        <v>1065045.51</v>
      </c>
      <c r="F118" s="23" t="s">
        <v>288</v>
      </c>
      <c r="G118" s="23" t="s">
        <v>288</v>
      </c>
    </row>
    <row r="119" spans="1:7" x14ac:dyDescent="0.2">
      <c r="A119" t="s">
        <v>208</v>
      </c>
      <c r="B119" s="31" t="s">
        <v>209</v>
      </c>
      <c r="C119" s="73">
        <f>('DOE25'!L204)+('DOE25'!L222)+('DOE25'!L240)</f>
        <v>4262018.83</v>
      </c>
      <c r="D119" s="23" t="s">
        <v>288</v>
      </c>
      <c r="E119" s="73">
        <f>+('DOE25'!L283)+('DOE25'!L302)+('DOE25'!L321)</f>
        <v>820912.71000000008</v>
      </c>
      <c r="F119" s="23" t="s">
        <v>288</v>
      </c>
      <c r="G119" s="23" t="s">
        <v>288</v>
      </c>
    </row>
    <row r="120" spans="1:7" x14ac:dyDescent="0.2">
      <c r="A120" t="s">
        <v>210</v>
      </c>
      <c r="B120" s="31" t="s">
        <v>211</v>
      </c>
      <c r="C120" s="73">
        <f>('DOE25'!L205)+('DOE25'!L223)+('DOE25'!L241)</f>
        <v>1186789.26</v>
      </c>
      <c r="D120" s="23" t="s">
        <v>288</v>
      </c>
      <c r="E120" s="73">
        <f>+('DOE25'!L284)+('DOE25'!L303)+('DOE25'!L322)</f>
        <v>100497.2</v>
      </c>
      <c r="F120" s="23" t="s">
        <v>288</v>
      </c>
      <c r="G120" s="23" t="s">
        <v>288</v>
      </c>
    </row>
    <row r="121" spans="1:7" x14ac:dyDescent="0.2">
      <c r="A121" t="s">
        <v>212</v>
      </c>
      <c r="B121" s="31" t="s">
        <v>213</v>
      </c>
      <c r="C121" s="73">
        <f>('DOE25'!L206)+('DOE25'!L224)+('DOE25'!L242)</f>
        <v>5339668.1899999995</v>
      </c>
      <c r="D121" s="23" t="s">
        <v>288</v>
      </c>
      <c r="E121" s="73">
        <f>+('DOE25'!L285)+('DOE25'!L304)+('DOE25'!L323)</f>
        <v>0</v>
      </c>
      <c r="F121" s="23" t="s">
        <v>288</v>
      </c>
      <c r="G121" s="23" t="s">
        <v>288</v>
      </c>
    </row>
    <row r="122" spans="1:7" x14ac:dyDescent="0.2">
      <c r="A122" t="s">
        <v>214</v>
      </c>
      <c r="B122" s="31" t="s">
        <v>215</v>
      </c>
      <c r="C122" s="73">
        <f>('DOE25'!L207)+('DOE25'!L225)+('DOE25'!L243)</f>
        <v>1038046.5700000001</v>
      </c>
      <c r="D122" s="23" t="s">
        <v>288</v>
      </c>
      <c r="E122" s="73">
        <f>+('DOE25'!L286)+('DOE25'!L305)+('DOE25'!L324)</f>
        <v>0</v>
      </c>
      <c r="F122" s="23" t="s">
        <v>288</v>
      </c>
      <c r="G122" s="23" t="s">
        <v>288</v>
      </c>
    </row>
    <row r="123" spans="1:7" x14ac:dyDescent="0.2">
      <c r="A123" t="s">
        <v>216</v>
      </c>
      <c r="B123" s="31" t="s">
        <v>217</v>
      </c>
      <c r="C123" s="73">
        <f>('DOE25'!L208)+('DOE25'!L226)+('DOE25'!L244)</f>
        <v>6824003.9299999997</v>
      </c>
      <c r="D123" s="23" t="s">
        <v>288</v>
      </c>
      <c r="E123" s="73">
        <f>+('DOE25'!L287)+('DOE25'!L306)+('DOE25'!L325)</f>
        <v>166167.90000000002</v>
      </c>
      <c r="F123" s="23" t="s">
        <v>288</v>
      </c>
      <c r="G123" s="23" t="s">
        <v>288</v>
      </c>
    </row>
    <row r="124" spans="1:7" x14ac:dyDescent="0.2">
      <c r="A124" t="s">
        <v>218</v>
      </c>
      <c r="B124" s="31" t="s">
        <v>219</v>
      </c>
      <c r="C124" s="73">
        <f>('DOE25'!L209)+('DOE25'!L227)+('DOE25'!L245+'DOE25'!L255)</f>
        <v>3366459.3200000003</v>
      </c>
      <c r="D124" s="23" t="s">
        <v>288</v>
      </c>
      <c r="E124" s="73">
        <f>+('DOE25'!L288)+('DOE25'!L307)+('DOE25'!L326)</f>
        <v>140722.82999999999</v>
      </c>
      <c r="F124" s="23" t="s">
        <v>288</v>
      </c>
      <c r="G124" s="23" t="s">
        <v>288</v>
      </c>
    </row>
    <row r="125" spans="1:7" x14ac:dyDescent="0.2">
      <c r="A125" t="s">
        <v>220</v>
      </c>
      <c r="B125" s="31" t="s">
        <v>221</v>
      </c>
      <c r="C125" s="73">
        <f>('DOE25'!L210)+('DOE25'!L228)+('DOE25'!L246)</f>
        <v>735211.35</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2229537.73</v>
      </c>
      <c r="E127" s="23" t="s">
        <v>288</v>
      </c>
      <c r="F127" s="23" t="s">
        <v>288</v>
      </c>
      <c r="G127" s="23" t="s">
        <v>288</v>
      </c>
    </row>
    <row r="128" spans="1:7" ht="12.75" thickTop="1" thickBot="1" x14ac:dyDescent="0.25">
      <c r="A128" s="32" t="s">
        <v>226</v>
      </c>
      <c r="C128" s="68">
        <f>SUM(C118:C127)</f>
        <v>30543467.289999999</v>
      </c>
      <c r="D128" s="68">
        <f>SUM(D118:D127)</f>
        <v>2229537.73</v>
      </c>
      <c r="E128" s="68">
        <f>SUM(E118:E127)</f>
        <v>2293346.1500000004</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707580.54</v>
      </c>
      <c r="D130" s="23" t="s">
        <v>288</v>
      </c>
      <c r="E130" s="92">
        <f>'DOE25'!L337</f>
        <v>62884.33</v>
      </c>
      <c r="F130" s="92">
        <f>SUM('DOE25'!L375:'DOE25'!L381)</f>
        <v>613188.80999999994</v>
      </c>
      <c r="G130" s="23" t="s">
        <v>288</v>
      </c>
    </row>
    <row r="131" spans="1:7" x14ac:dyDescent="0.2">
      <c r="A131" t="s">
        <v>229</v>
      </c>
      <c r="B131" s="31">
        <v>5110</v>
      </c>
      <c r="C131" s="73">
        <f>'DOE25'!L261</f>
        <v>3601700</v>
      </c>
      <c r="D131" s="23" t="s">
        <v>288</v>
      </c>
      <c r="E131" s="92">
        <f>'DOE25'!L342</f>
        <v>0</v>
      </c>
      <c r="F131" s="23" t="s">
        <v>288</v>
      </c>
      <c r="G131" s="23" t="s">
        <v>288</v>
      </c>
    </row>
    <row r="132" spans="1:7" x14ac:dyDescent="0.2">
      <c r="A132" t="s">
        <v>230</v>
      </c>
      <c r="B132" s="31">
        <v>5120</v>
      </c>
      <c r="C132" s="73">
        <f>'DOE25'!L262</f>
        <v>1226641.5</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167367.22</v>
      </c>
      <c r="F134" s="73">
        <f>'DOE25'!K382</f>
        <v>0</v>
      </c>
      <c r="G134" s="73">
        <f>'DOE25'!K435</f>
        <v>195615.18</v>
      </c>
    </row>
    <row r="135" spans="1:7" x14ac:dyDescent="0.2">
      <c r="A135" t="s">
        <v>233</v>
      </c>
      <c r="B135" s="31" t="s">
        <v>234</v>
      </c>
      <c r="C135" s="73">
        <f>'DOE25'!L264</f>
        <v>0</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3200991.78</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-34643.239999999758</v>
      </c>
      <c r="D141" s="23" t="s">
        <v>288</v>
      </c>
      <c r="E141" s="23" t="s">
        <v>288</v>
      </c>
      <c r="F141" s="23" t="s">
        <v>288</v>
      </c>
      <c r="G141" s="23" t="s">
        <v>288</v>
      </c>
    </row>
    <row r="142" spans="1:7" x14ac:dyDescent="0.2">
      <c r="A142" t="s">
        <v>241</v>
      </c>
      <c r="B142" s="31">
        <v>5310</v>
      </c>
      <c r="C142" s="92">
        <f>'DOE25'!L269</f>
        <v>180911.18</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8883181.7599999998</v>
      </c>
      <c r="D144" s="98">
        <f>SUM(D130:D143)</f>
        <v>0</v>
      </c>
      <c r="E144" s="98">
        <f>SUM(E130:E143)</f>
        <v>230251.55</v>
      </c>
      <c r="F144" s="98">
        <f>SUM(F130:F143)</f>
        <v>613188.80999999994</v>
      </c>
      <c r="G144" s="98">
        <f>SUM(G130:G143)</f>
        <v>195615.18</v>
      </c>
    </row>
    <row r="145" spans="1:9" ht="12.75" thickTop="1" thickBot="1" x14ac:dyDescent="0.25">
      <c r="A145" s="32" t="s">
        <v>244</v>
      </c>
      <c r="C145" s="68">
        <f>(C115+C128+C144)</f>
        <v>89989415.549999997</v>
      </c>
      <c r="D145" s="68">
        <f>(D115+D128+D144)</f>
        <v>2229537.73</v>
      </c>
      <c r="E145" s="68">
        <f>(E115+E128+E144)</f>
        <v>7430534.9400000004</v>
      </c>
      <c r="F145" s="68">
        <f>(F115+F128+F144)</f>
        <v>613188.80999999994</v>
      </c>
      <c r="G145" s="68">
        <f>(G115+G128+G144)</f>
        <v>195615.18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t="str">
        <f>'DOE25'!F491</f>
        <v>various</v>
      </c>
      <c r="C151" s="110">
        <f>'DOE25'!G491</f>
        <v>0</v>
      </c>
      <c r="D151" s="110">
        <f>'DOE25'!H491</f>
        <v>0</v>
      </c>
      <c r="E151" s="110">
        <f>'DOE25'!I491</f>
        <v>0</v>
      </c>
      <c r="F151" s="110">
        <f>'DOE25'!J491</f>
        <v>0</v>
      </c>
      <c r="G151" s="23" t="s">
        <v>288</v>
      </c>
    </row>
    <row r="152" spans="1:9" x14ac:dyDescent="0.2">
      <c r="A152" s="21" t="s">
        <v>28</v>
      </c>
      <c r="B152" s="109" t="str">
        <f>'DOE25'!F492</f>
        <v>6/10 - 8/20</v>
      </c>
      <c r="C152" s="109">
        <f>'DOE25'!G492</f>
        <v>0</v>
      </c>
      <c r="D152" s="109">
        <f>'DOE25'!H492</f>
        <v>0</v>
      </c>
      <c r="E152" s="109">
        <f>'DOE25'!I492</f>
        <v>0</v>
      </c>
      <c r="F152" s="109">
        <f>'DOE25'!J492</f>
        <v>0</v>
      </c>
      <c r="G152" s="23" t="s">
        <v>288</v>
      </c>
    </row>
    <row r="153" spans="1:9" x14ac:dyDescent="0.2">
      <c r="A153" s="21" t="s">
        <v>29</v>
      </c>
      <c r="B153" s="109" t="str">
        <f>'DOE25'!F493</f>
        <v>4/41</v>
      </c>
      <c r="C153" s="109">
        <f>'DOE25'!G493</f>
        <v>0</v>
      </c>
      <c r="D153" s="109">
        <f>'DOE25'!H493</f>
        <v>0</v>
      </c>
      <c r="E153" s="109">
        <f>'DOE25'!I493</f>
        <v>0</v>
      </c>
      <c r="F153" s="109">
        <f>'DOE25'!J493</f>
        <v>0</v>
      </c>
      <c r="G153" s="23" t="s">
        <v>288</v>
      </c>
    </row>
    <row r="154" spans="1:9" x14ac:dyDescent="0.2">
      <c r="A154" s="21" t="s">
        <v>30</v>
      </c>
      <c r="B154" s="19">
        <f>'DOE25'!F494</f>
        <v>108497234</v>
      </c>
      <c r="C154" s="19">
        <f>'DOE25'!G494</f>
        <v>0</v>
      </c>
      <c r="D154" s="19">
        <f>'DOE25'!H494</f>
        <v>0</v>
      </c>
      <c r="E154" s="19">
        <f>'DOE25'!I494</f>
        <v>0</v>
      </c>
      <c r="F154" s="19">
        <f>'DOE25'!J494</f>
        <v>0</v>
      </c>
      <c r="G154" s="23" t="s">
        <v>288</v>
      </c>
    </row>
    <row r="155" spans="1:9" x14ac:dyDescent="0.2">
      <c r="A155" s="21" t="s">
        <v>31</v>
      </c>
      <c r="B155" s="19" t="str">
        <f>'DOE25'!F495</f>
        <v>various</v>
      </c>
      <c r="C155" s="19">
        <f>'DOE25'!G495</f>
        <v>0</v>
      </c>
      <c r="D155" s="19">
        <f>'DOE25'!H495</f>
        <v>0</v>
      </c>
      <c r="E155" s="19">
        <f>'DOE25'!I495</f>
        <v>0</v>
      </c>
      <c r="F155" s="19">
        <f>'DOE25'!J495</f>
        <v>0</v>
      </c>
      <c r="G155" s="23" t="s">
        <v>288</v>
      </c>
    </row>
    <row r="156" spans="1:9" x14ac:dyDescent="0.2">
      <c r="A156" s="21" t="s">
        <v>32</v>
      </c>
      <c r="B156" s="19">
        <f>'DOE25'!F496</f>
        <v>46670000</v>
      </c>
      <c r="C156" s="19">
        <f>'DOE25'!G496</f>
        <v>0</v>
      </c>
      <c r="D156" s="19">
        <f>'DOE25'!H496</f>
        <v>0</v>
      </c>
      <c r="E156" s="19">
        <f>'DOE25'!I496</f>
        <v>0</v>
      </c>
      <c r="F156" s="19">
        <f>'DOE25'!J496</f>
        <v>0</v>
      </c>
      <c r="G156" s="96">
        <f>SUM(B156:F156)</f>
        <v>46670000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43560000</v>
      </c>
      <c r="C159" s="19">
        <f>'DOE25'!G499</f>
        <v>0</v>
      </c>
      <c r="D159" s="19">
        <f>'DOE25'!H499</f>
        <v>0</v>
      </c>
      <c r="E159" s="19">
        <f>'DOE25'!I499</f>
        <v>0</v>
      </c>
      <c r="F159" s="19">
        <f>'DOE25'!J499</f>
        <v>0</v>
      </c>
      <c r="G159" s="96">
        <f t="shared" si="0"/>
        <v>43560000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43560000</v>
      </c>
      <c r="C161" s="19">
        <f>'DOE25'!G501</f>
        <v>0</v>
      </c>
      <c r="D161" s="19">
        <f>'DOE25'!H501</f>
        <v>0</v>
      </c>
      <c r="E161" s="19">
        <f>'DOE25'!I501</f>
        <v>0</v>
      </c>
      <c r="F161" s="19">
        <f>'DOE25'!J501</f>
        <v>0</v>
      </c>
      <c r="G161" s="96">
        <f t="shared" si="0"/>
        <v>43560000</v>
      </c>
    </row>
    <row r="162" spans="1:7" x14ac:dyDescent="0.2">
      <c r="A162" s="21" t="s">
        <v>38</v>
      </c>
      <c r="B162" s="19">
        <f>'DOE25'!F502</f>
        <v>2950000</v>
      </c>
      <c r="C162" s="19">
        <f>'DOE25'!G502</f>
        <v>0</v>
      </c>
      <c r="D162" s="19">
        <f>'DOE25'!H502</f>
        <v>0</v>
      </c>
      <c r="E162" s="19">
        <f>'DOE25'!I502</f>
        <v>0</v>
      </c>
      <c r="F162" s="19">
        <f>'DOE25'!J502</f>
        <v>0</v>
      </c>
      <c r="G162" s="96">
        <f t="shared" si="0"/>
        <v>2950000</v>
      </c>
    </row>
    <row r="163" spans="1:7" x14ac:dyDescent="0.2">
      <c r="A163" s="21" t="s">
        <v>39</v>
      </c>
      <c r="B163" s="19">
        <f>'DOE25'!F503</f>
        <v>1495675</v>
      </c>
      <c r="C163" s="19">
        <f>'DOE25'!G503</f>
        <v>0</v>
      </c>
      <c r="D163" s="19">
        <f>'DOE25'!H503</f>
        <v>0</v>
      </c>
      <c r="E163" s="19">
        <f>'DOE25'!I503</f>
        <v>0</v>
      </c>
      <c r="F163" s="19">
        <f>'DOE25'!J503</f>
        <v>0</v>
      </c>
      <c r="G163" s="96">
        <f t="shared" si="0"/>
        <v>1495675</v>
      </c>
    </row>
    <row r="164" spans="1:7" x14ac:dyDescent="0.2">
      <c r="A164" s="21" t="s">
        <v>246</v>
      </c>
      <c r="B164" s="19">
        <f>'DOE25'!F504</f>
        <v>4445675</v>
      </c>
      <c r="C164" s="19">
        <f>'DOE25'!G504</f>
        <v>0</v>
      </c>
      <c r="D164" s="19">
        <f>'DOE25'!H504</f>
        <v>0</v>
      </c>
      <c r="E164" s="19">
        <f>'DOE25'!I504</f>
        <v>0</v>
      </c>
      <c r="F164" s="19">
        <f>'DOE25'!J504</f>
        <v>0</v>
      </c>
      <c r="G164" s="96">
        <f t="shared" si="0"/>
        <v>4445675</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Concord</v>
      </c>
    </row>
    <row r="3" spans="1:4" x14ac:dyDescent="0.2">
      <c r="B3" s="137" t="s">
        <v>1799</v>
      </c>
    </row>
    <row r="4" spans="1:4" x14ac:dyDescent="0.2">
      <c r="B4" t="s">
        <v>61</v>
      </c>
      <c r="C4" s="129">
        <f>IF('DOE25'!F666+'DOE25'!F671=0,0,ROUND('DOE25'!F673,0))</f>
        <v>22790</v>
      </c>
    </row>
    <row r="5" spans="1:4" x14ac:dyDescent="0.2">
      <c r="B5" t="s">
        <v>700</v>
      </c>
      <c r="C5" s="129">
        <f>IF('DOE25'!G666+'DOE25'!G671=0,0,ROUND('DOE25'!G673,0))</f>
        <v>18615</v>
      </c>
    </row>
    <row r="6" spans="1:4" x14ac:dyDescent="0.2">
      <c r="B6" t="s">
        <v>62</v>
      </c>
      <c r="C6" s="129">
        <f>IF('DOE25'!H666+'DOE25'!H671=0,0,ROUND('DOE25'!H673,0))</f>
        <v>17240</v>
      </c>
    </row>
    <row r="7" spans="1:4" x14ac:dyDescent="0.2">
      <c r="B7" t="s">
        <v>701</v>
      </c>
      <c r="C7" s="129">
        <f>IF('DOE25'!I666+'DOE25'!I671=0,0,ROUND('DOE25'!I673,0))</f>
        <v>19774</v>
      </c>
    </row>
    <row r="9" spans="1:4" x14ac:dyDescent="0.2">
      <c r="A9" s="136" t="s">
        <v>94</v>
      </c>
      <c r="B9" s="137" t="s">
        <v>1800</v>
      </c>
      <c r="C9" s="131" t="s">
        <v>720</v>
      </c>
      <c r="D9" s="131" t="s">
        <v>721</v>
      </c>
    </row>
    <row r="10" spans="1:4" x14ac:dyDescent="0.2">
      <c r="A10">
        <v>1100</v>
      </c>
      <c r="B10" t="s">
        <v>702</v>
      </c>
      <c r="C10" s="129">
        <f>ROUND('DOE25'!L198+'DOE25'!L216+'DOE25'!L234+'DOE25'!L277+'DOE25'!L296+'DOE25'!L315,0)</f>
        <v>34378716</v>
      </c>
      <c r="D10" s="132">
        <f>ROUND((C10/$C$28)*100,1)</f>
        <v>37.4</v>
      </c>
    </row>
    <row r="11" spans="1:4" x14ac:dyDescent="0.2">
      <c r="A11">
        <v>1200</v>
      </c>
      <c r="B11" t="s">
        <v>703</v>
      </c>
      <c r="C11" s="129">
        <f>ROUND('DOE25'!L199+'DOE25'!L217+'DOE25'!L235+'DOE25'!L278+'DOE25'!L297+'DOE25'!L316,0)</f>
        <v>17259936</v>
      </c>
      <c r="D11" s="132">
        <f>ROUND((C11/$C$28)*100,1)</f>
        <v>18.8</v>
      </c>
    </row>
    <row r="12" spans="1:4" x14ac:dyDescent="0.2">
      <c r="A12">
        <v>1300</v>
      </c>
      <c r="B12" t="s">
        <v>704</v>
      </c>
      <c r="C12" s="129">
        <f>ROUND('DOE25'!L200+'DOE25'!L218+'DOE25'!L236+'DOE25'!L279+'DOE25'!L298+'DOE25'!L317,0)</f>
        <v>1952043</v>
      </c>
      <c r="D12" s="132">
        <f>ROUND((C12/$C$28)*100,1)</f>
        <v>2.1</v>
      </c>
    </row>
    <row r="13" spans="1:4" x14ac:dyDescent="0.2">
      <c r="A13">
        <v>1400</v>
      </c>
      <c r="B13" t="s">
        <v>705</v>
      </c>
      <c r="C13" s="129">
        <f>ROUND('DOE25'!L201+'DOE25'!L219+'DOE25'!L237+'DOE25'!L280+'DOE25'!L299+'DOE25'!L318,0)</f>
        <v>1779060</v>
      </c>
      <c r="D13" s="132">
        <f>ROUND((C13/$C$28)*100,1)</f>
        <v>1.9</v>
      </c>
    </row>
    <row r="14" spans="1:4" x14ac:dyDescent="0.2">
      <c r="D14" s="132"/>
    </row>
    <row r="15" spans="1:4" x14ac:dyDescent="0.2">
      <c r="A15">
        <v>2100</v>
      </c>
      <c r="B15" t="s">
        <v>706</v>
      </c>
      <c r="C15" s="129">
        <f>ROUND('DOE25'!L203+'DOE25'!L221+'DOE25'!L239+'DOE25'!L282+'DOE25'!L301+'DOE25'!L320,0)</f>
        <v>8856315</v>
      </c>
      <c r="D15" s="132">
        <f t="shared" ref="D15:D27" si="0">ROUND((C15/$C$28)*100,1)</f>
        <v>9.6</v>
      </c>
    </row>
    <row r="16" spans="1:4" x14ac:dyDescent="0.2">
      <c r="A16">
        <v>2200</v>
      </c>
      <c r="B16" t="s">
        <v>707</v>
      </c>
      <c r="C16" s="129">
        <f>ROUND('DOE25'!L204+'DOE25'!L222+'DOE25'!L240+'DOE25'!L283+'DOE25'!L302+'DOE25'!L321,0)</f>
        <v>5082932</v>
      </c>
      <c r="D16" s="132">
        <f t="shared" si="0"/>
        <v>5.5</v>
      </c>
    </row>
    <row r="17" spans="1:4" x14ac:dyDescent="0.2">
      <c r="A17" s="133" t="s">
        <v>723</v>
      </c>
      <c r="B17" t="s">
        <v>738</v>
      </c>
      <c r="C17" s="129">
        <f>ROUND('DOE25'!L205+'DOE25'!L210+'DOE25'!L223+'DOE25'!L228+'DOE25'!L241+'DOE25'!L246+'DOE25'!L284+'DOE25'!L289+'DOE25'!L303+'DOE25'!L308+'DOE25'!L322+'DOE25'!L327,0)</f>
        <v>2022498</v>
      </c>
      <c r="D17" s="132">
        <f t="shared" si="0"/>
        <v>2.2000000000000002</v>
      </c>
    </row>
    <row r="18" spans="1:4" x14ac:dyDescent="0.2">
      <c r="A18">
        <v>2400</v>
      </c>
      <c r="B18" t="s">
        <v>711</v>
      </c>
      <c r="C18" s="129">
        <f>ROUND('DOE25'!L206+'DOE25'!L224+'DOE25'!L242+'DOE25'!L285+'DOE25'!L304+'DOE25'!L323,0)</f>
        <v>5339668</v>
      </c>
      <c r="D18" s="132">
        <f t="shared" si="0"/>
        <v>5.8</v>
      </c>
    </row>
    <row r="19" spans="1:4" x14ac:dyDescent="0.2">
      <c r="A19">
        <v>2500</v>
      </c>
      <c r="B19" t="s">
        <v>708</v>
      </c>
      <c r="C19" s="129">
        <f>ROUND('DOE25'!L207+'DOE25'!L225+'DOE25'!L243+'DOE25'!L286+'DOE25'!L305+'DOE25'!L324,0)</f>
        <v>1038047</v>
      </c>
      <c r="D19" s="132">
        <f t="shared" si="0"/>
        <v>1.1000000000000001</v>
      </c>
    </row>
    <row r="20" spans="1:4" x14ac:dyDescent="0.2">
      <c r="A20">
        <v>2600</v>
      </c>
      <c r="B20" t="s">
        <v>709</v>
      </c>
      <c r="C20" s="129">
        <f>ROUND('DOE25'!L208+'DOE25'!L226+'DOE25'!L244+'DOE25'!L287+'DOE25'!L306+'DOE25'!L325,0)</f>
        <v>6990172</v>
      </c>
      <c r="D20" s="132">
        <f t="shared" si="0"/>
        <v>7.6</v>
      </c>
    </row>
    <row r="21" spans="1:4" x14ac:dyDescent="0.2">
      <c r="A21">
        <v>2700</v>
      </c>
      <c r="B21" t="s">
        <v>710</v>
      </c>
      <c r="C21" s="129">
        <f>ROUND('DOE25'!L209+'DOE25'!L227+'DOE25'!L245+'DOE25'!L288+'DOE25'!L307+'DOE25'!L326,0)</f>
        <v>3507182</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99949</v>
      </c>
      <c r="D24" s="132">
        <f t="shared" si="0"/>
        <v>0.1</v>
      </c>
    </row>
    <row r="25" spans="1:4" x14ac:dyDescent="0.2">
      <c r="A25">
        <v>5120</v>
      </c>
      <c r="B25" t="s">
        <v>716</v>
      </c>
      <c r="C25" s="129">
        <f>ROUND('DOE25'!L262+'DOE25'!L343,0)</f>
        <v>1226642</v>
      </c>
      <c r="D25" s="132">
        <f t="shared" si="0"/>
        <v>1.3</v>
      </c>
    </row>
    <row r="26" spans="1:4" x14ac:dyDescent="0.2">
      <c r="A26" s="133" t="s">
        <v>717</v>
      </c>
      <c r="B26" t="s">
        <v>718</v>
      </c>
      <c r="C26" s="129">
        <f>'DOE25'!L269+'DOE25'!L270+'DOE25'!L350+'DOE25'!L351</f>
        <v>180911.18</v>
      </c>
      <c r="D26" s="132">
        <f t="shared" si="0"/>
        <v>0.2</v>
      </c>
    </row>
    <row r="27" spans="1:4" x14ac:dyDescent="0.2">
      <c r="A27">
        <v>3100</v>
      </c>
      <c r="B27" t="s">
        <v>11</v>
      </c>
      <c r="C27" s="129">
        <f>ROUND('DOE25'!L363-'DOE25'!L362,0)-SUM('DOE25'!G97:G110)</f>
        <v>2098207.88</v>
      </c>
      <c r="D27" s="132">
        <f t="shared" si="0"/>
        <v>2.2999999999999998</v>
      </c>
    </row>
    <row r="28" spans="1:4" x14ac:dyDescent="0.2">
      <c r="B28" s="136" t="s">
        <v>719</v>
      </c>
      <c r="C28" s="130">
        <f>SUM(C10:C27)</f>
        <v>91812279.060000002</v>
      </c>
      <c r="D28" s="134">
        <f>ROUND(SUM(D10:D27),0)</f>
        <v>100</v>
      </c>
    </row>
    <row r="29" spans="1:4" x14ac:dyDescent="0.2">
      <c r="A29">
        <v>4000</v>
      </c>
      <c r="B29" t="s">
        <v>724</v>
      </c>
      <c r="C29" s="129">
        <f>ROUND('DOE25'!L256+'DOE25'!L337+'DOE25'!L375+'DOE25'!L376+'DOE25'!L377+'DOE25'!L378+'DOE25'!L379+'DOE25'!L380+'DOE25'!L381,0)</f>
        <v>1383654</v>
      </c>
    </row>
    <row r="30" spans="1:4" x14ac:dyDescent="0.2">
      <c r="B30" s="136" t="s">
        <v>725</v>
      </c>
      <c r="C30" s="130">
        <f>SUM(C28:C29)</f>
        <v>93195933.060000002</v>
      </c>
    </row>
    <row r="31" spans="1:4" x14ac:dyDescent="0.2">
      <c r="B31" s="32"/>
      <c r="C31" s="130"/>
    </row>
    <row r="32" spans="1:4" x14ac:dyDescent="0.2">
      <c r="A32">
        <v>5100</v>
      </c>
      <c r="B32" s="32" t="s">
        <v>726</v>
      </c>
      <c r="C32" s="130">
        <f>ROUND('DOE25'!L261+'DOE25'!L342,0)</f>
        <v>3601700</v>
      </c>
    </row>
    <row r="34" spans="1:4" x14ac:dyDescent="0.2">
      <c r="A34" s="136" t="s">
        <v>94</v>
      </c>
      <c r="B34" s="137" t="s">
        <v>1801</v>
      </c>
      <c r="C34" s="131" t="s">
        <v>720</v>
      </c>
      <c r="D34" s="131" t="s">
        <v>721</v>
      </c>
    </row>
    <row r="35" spans="1:4" x14ac:dyDescent="0.2">
      <c r="A35">
        <v>1100</v>
      </c>
      <c r="B35" s="71" t="s">
        <v>727</v>
      </c>
      <c r="C35" s="129">
        <f>ROUND('DOE25'!F60+'DOE25'!G60+'DOE25'!H60+'DOE25'!I60+'DOE25'!J60,0)</f>
        <v>57656147</v>
      </c>
      <c r="D35" s="132">
        <f t="shared" ref="D35:D40" si="1">ROUND((C35/$C$41)*100,1)</f>
        <v>57.3</v>
      </c>
    </row>
    <row r="36" spans="1:4" x14ac:dyDescent="0.2">
      <c r="B36" s="71" t="s">
        <v>739</v>
      </c>
      <c r="C36" s="129">
        <f>SUM('DOE25'!F112:J112)-SUM('DOE25'!G97:G110)+('DOE25'!F175+'DOE25'!F176+'DOE25'!I175+'DOE25'!I176)-C35</f>
        <v>5709225.2500000149</v>
      </c>
      <c r="D36" s="132">
        <f t="shared" si="1"/>
        <v>5.7</v>
      </c>
    </row>
    <row r="37" spans="1:4" x14ac:dyDescent="0.2">
      <c r="A37" s="133" t="s">
        <v>835</v>
      </c>
      <c r="B37" s="71" t="s">
        <v>728</v>
      </c>
      <c r="C37" s="129">
        <f>ROUND('DOE25'!F117+'DOE25'!F118,0)</f>
        <v>22076415</v>
      </c>
      <c r="D37" s="132">
        <f t="shared" si="1"/>
        <v>21.9</v>
      </c>
    </row>
    <row r="38" spans="1:4" x14ac:dyDescent="0.2">
      <c r="A38" s="133" t="s">
        <v>734</v>
      </c>
      <c r="B38" s="71" t="s">
        <v>729</v>
      </c>
      <c r="C38" s="129">
        <f>ROUND(SUM('DOE25'!F140:J140)-SUM('DOE25'!F117:F119),0)</f>
        <v>3253808</v>
      </c>
      <c r="D38" s="132">
        <f t="shared" si="1"/>
        <v>3.2</v>
      </c>
    </row>
    <row r="39" spans="1:4" x14ac:dyDescent="0.2">
      <c r="A39">
        <v>4000</v>
      </c>
      <c r="B39" s="71" t="s">
        <v>730</v>
      </c>
      <c r="C39" s="129">
        <f>ROUND('DOE25'!F170+'DOE25'!G170+'DOE25'!H170+'DOE25'!I170,0)</f>
        <v>11935583</v>
      </c>
      <c r="D39" s="132">
        <f t="shared" si="1"/>
        <v>11.9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100631178.25000001</v>
      </c>
      <c r="D41" s="134">
        <f>SUM(D35:D40)</f>
        <v>100.00000000000001</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Concord</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f>IF('School Level Expenditures'!$B$2=A4,'School Tables'!H4,"")</f>
        <v>1</v>
      </c>
      <c r="J4" s="286">
        <f>IFERROR(SMALL($I$4:$I$325,ROWS($I$4:I4)),"")</f>
        <v>1</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f>IFERROR(SMALL($T$4:$T$75,ROWS($T$4:T4)),"")</f>
        <v>60</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14</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19</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f>IFERROR(SMALL($I$4:$I$325,ROWS($I$4:I6)),"")</f>
        <v>33</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f>IFERROR(SMALL($I$4:$I$325,ROWS($I$4:I7)),"")</f>
        <v>47</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f>IFERROR(SMALL($I$4:$I$325,ROWS($I$4:I8)),"")</f>
        <v>191</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f>IF('School Level Expenditures'!$B$2='School Tables'!W17,'School Tables'!AD17,"")</f>
        <v>14</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f>IF('School Level Expenditures'!$B$2=A22,'School Tables'!H22,"")</f>
        <v>19</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f>IF('School Level Expenditures'!$B$2=A36,'School Tables'!H36,"")</f>
        <v>33</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f>IF('School Level Expenditures'!$B$2=A50,'School Tables'!H50,"")</f>
        <v>47</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f>IF('School Level Expenditures'!$B$2='School Tables'!L63,'School Tables'!S63,"")</f>
        <v>60</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f>IF('School Level Expenditures'!$B$2=A194,'School Tables'!H194,"")</f>
        <v>191</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2022-09-20T17:13:05Z</cp:lastPrinted>
  <dcterms:created xsi:type="dcterms:W3CDTF">1997-12-04T19:04:30Z</dcterms:created>
  <dcterms:modified xsi:type="dcterms:W3CDTF">2022-12-19T13:13:31Z</dcterms:modified>
</cp:coreProperties>
</file>